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0" yWindow="60" windowWidth="20730" windowHeight="9240" tabRatio="373"/>
  </bookViews>
  <sheets>
    <sheet name="SALUD" sheetId="30" r:id="rId1"/>
    <sheet name="EDUCACIÓN Y CULTURA" sheetId="31" r:id="rId2"/>
    <sheet name="INFRAESTRUCTURA" sheetId="33" r:id="rId3"/>
    <sheet name="EMCASERVICIOS" sheetId="45" r:id="rId4"/>
    <sheet name="AGRICULTURA" sheetId="34" r:id="rId5"/>
    <sheet name="DESARROLLO ECONÓMICO" sheetId="35" r:id="rId6"/>
    <sheet name="GOBIERNO Y PARTICIPACIÓN" sheetId="36" r:id="rId7"/>
    <sheet name="MUJER" sheetId="37" r:id="rId8"/>
    <sheet name="GESTIÓN SOCIAL" sheetId="38" r:id="rId9"/>
    <sheet name="GESTIÓN DEL RIESGO" sheetId="39" r:id="rId10"/>
    <sheet name="INDEPORTES" sheetId="44" r:id="rId11"/>
    <sheet name="GENERAL" sheetId="41" r:id="rId12"/>
    <sheet name="PLANEACIÓN" sheetId="42" r:id="rId13"/>
    <sheet name="HACIENDA" sheetId="43" r:id="rId14"/>
  </sheets>
  <definedNames>
    <definedName name="_xlnm._FilterDatabase" localSheetId="0" hidden="1">SALUD!$A$13:$BA$145</definedName>
  </definedNames>
  <calcPr calcId="144525"/>
</workbook>
</file>

<file path=xl/calcChain.xml><?xml version="1.0" encoding="utf-8"?>
<calcChain xmlns="http://schemas.openxmlformats.org/spreadsheetml/2006/main">
  <c r="P74" i="36" l="1"/>
  <c r="P73" i="36"/>
  <c r="P72" i="36"/>
  <c r="P71" i="36"/>
  <c r="P70" i="36"/>
  <c r="P69" i="36"/>
  <c r="Q68" i="36"/>
  <c r="P68" i="36"/>
  <c r="Q67" i="36"/>
  <c r="P67" i="36" s="1"/>
  <c r="P66" i="36"/>
  <c r="P65" i="36"/>
  <c r="P64" i="36"/>
  <c r="P63" i="36"/>
  <c r="P62" i="36"/>
  <c r="N61" i="36"/>
  <c r="N60" i="36"/>
  <c r="N59" i="36"/>
  <c r="N58" i="36"/>
  <c r="N57" i="36"/>
  <c r="N56" i="36"/>
  <c r="N55" i="36"/>
  <c r="N54" i="36"/>
  <c r="P53" i="36"/>
  <c r="N53" i="36"/>
  <c r="Q52" i="36"/>
  <c r="P52" i="36"/>
  <c r="P51" i="36"/>
  <c r="P50" i="36"/>
  <c r="P49" i="36"/>
  <c r="P48" i="36"/>
  <c r="P47" i="36"/>
  <c r="P46" i="36"/>
  <c r="P27" i="36"/>
  <c r="Q26" i="36"/>
  <c r="P26" i="36"/>
  <c r="P25" i="36"/>
  <c r="P24" i="36"/>
  <c r="P23" i="36"/>
  <c r="P22" i="36"/>
  <c r="P21" i="36"/>
  <c r="Q20" i="36"/>
  <c r="P20" i="36"/>
  <c r="Q19" i="36"/>
  <c r="P19" i="36" s="1"/>
  <c r="P18" i="36"/>
  <c r="P17" i="36"/>
  <c r="P16" i="36"/>
  <c r="P15" i="36"/>
  <c r="AK172" i="45" l="1"/>
  <c r="AL164" i="45"/>
  <c r="AL163" i="45"/>
  <c r="AL162" i="45"/>
  <c r="AL160" i="45"/>
  <c r="AL159" i="45"/>
  <c r="AL158" i="45"/>
  <c r="AL157" i="45"/>
  <c r="AL156" i="45"/>
  <c r="AL155" i="45"/>
  <c r="AL154" i="45"/>
  <c r="AL153" i="45"/>
  <c r="AL152" i="45"/>
  <c r="AL151" i="45"/>
  <c r="AL150" i="45"/>
  <c r="AL149" i="45"/>
  <c r="AL138" i="45"/>
  <c r="AL117" i="45"/>
  <c r="AL118" i="45" s="1"/>
  <c r="AL119" i="45" s="1"/>
  <c r="AL114" i="45"/>
  <c r="AL105" i="45"/>
  <c r="AL97" i="45"/>
  <c r="AL94" i="45"/>
  <c r="AL92" i="45"/>
  <c r="P90" i="45"/>
  <c r="P76" i="45"/>
  <c r="P63" i="45"/>
  <c r="AL61" i="45"/>
  <c r="AL50" i="45"/>
  <c r="AL49" i="45"/>
  <c r="P43" i="45"/>
  <c r="AL38" i="45"/>
  <c r="AL37" i="45"/>
  <c r="AL22" i="45"/>
  <c r="AL19" i="45"/>
  <c r="M28" i="38" l="1"/>
  <c r="AK28" i="41" l="1"/>
  <c r="AC29" i="44" l="1"/>
  <c r="Q29" i="44"/>
  <c r="V28" i="44"/>
  <c r="Q27" i="44"/>
  <c r="Q26" i="44"/>
  <c r="Q25" i="44"/>
  <c r="AC24" i="44"/>
  <c r="Q24" i="44"/>
  <c r="Q23" i="44"/>
  <c r="Q22" i="44"/>
  <c r="AC21" i="44"/>
  <c r="Q21" i="44"/>
  <c r="AC20" i="44"/>
  <c r="Q20" i="44"/>
  <c r="AC19" i="44"/>
  <c r="Q19" i="44"/>
  <c r="AC18" i="44"/>
  <c r="Q18" i="44"/>
  <c r="T17" i="44"/>
  <c r="T16" i="44"/>
  <c r="P16" i="39" l="1"/>
  <c r="AG53" i="37" l="1"/>
  <c r="Q53" i="37"/>
  <c r="AM53" i="37" s="1"/>
  <c r="AM52" i="37"/>
  <c r="AG52" i="37"/>
  <c r="Q52" i="37"/>
  <c r="AM51" i="37"/>
  <c r="AG51" i="37"/>
  <c r="Q51" i="37"/>
  <c r="Q50" i="37"/>
  <c r="AM50" i="37" s="1"/>
  <c r="AM49" i="37"/>
  <c r="Q49" i="37"/>
  <c r="AG49" i="37" s="1"/>
  <c r="AM48" i="37"/>
  <c r="Q48" i="37"/>
  <c r="AG48" i="37" s="1"/>
  <c r="V47" i="37"/>
  <c r="AM47" i="37" s="1"/>
  <c r="O47" i="37"/>
  <c r="AG46" i="37"/>
  <c r="Z46" i="37"/>
  <c r="V46" i="37"/>
  <c r="AM46" i="37" s="1"/>
  <c r="O46" i="37"/>
  <c r="V45" i="37"/>
  <c r="AG45" i="37" s="1"/>
  <c r="O45" i="37"/>
  <c r="AM44" i="37"/>
  <c r="AG44" i="37"/>
  <c r="V44" i="37"/>
  <c r="O44" i="37"/>
  <c r="AM43" i="37"/>
  <c r="AD43" i="37"/>
  <c r="AG43" i="37" s="1"/>
  <c r="V43" i="37"/>
  <c r="O42" i="37"/>
  <c r="Q41" i="37"/>
  <c r="AG41" i="37" s="1"/>
  <c r="AM41" i="37" s="1"/>
  <c r="O41" i="37"/>
  <c r="AG40" i="37"/>
  <c r="AG39" i="37"/>
  <c r="AG38" i="37"/>
  <c r="V37" i="37"/>
  <c r="AG37" i="37" s="1"/>
  <c r="M37" i="37"/>
  <c r="V36" i="37"/>
  <c r="AM36" i="37" s="1"/>
  <c r="AG35" i="37"/>
  <c r="V35" i="37"/>
  <c r="Q35" i="37"/>
  <c r="O35" i="37"/>
  <c r="V34" i="37"/>
  <c r="AG34" i="37" s="1"/>
  <c r="O34" i="37"/>
  <c r="AM30" i="37"/>
  <c r="AG30" i="37"/>
  <c r="Q30" i="37"/>
  <c r="AG29" i="37"/>
  <c r="O29" i="37"/>
  <c r="AG28" i="37"/>
  <c r="AG27" i="37"/>
  <c r="O27" i="37"/>
  <c r="AM26" i="37"/>
  <c r="AG26" i="37"/>
  <c r="Z26" i="37"/>
  <c r="Q26" i="37"/>
  <c r="AM25" i="37"/>
  <c r="V25" i="37"/>
  <c r="AG25" i="37" s="1"/>
  <c r="O25" i="37"/>
  <c r="AM24" i="37"/>
  <c r="AG24" i="37"/>
  <c r="V24" i="37"/>
  <c r="O24" i="37"/>
  <c r="Z23" i="37"/>
  <c r="V23" i="37"/>
  <c r="AG23" i="37" s="1"/>
  <c r="AM22" i="37"/>
  <c r="AG22" i="37"/>
  <c r="V22" i="37"/>
  <c r="O22" i="37"/>
  <c r="AM21" i="37"/>
  <c r="V21" i="37"/>
  <c r="AG21" i="37" s="1"/>
  <c r="V20" i="37"/>
  <c r="AG20" i="37" s="1"/>
  <c r="O20" i="37"/>
  <c r="AM19" i="37"/>
  <c r="AG19" i="37"/>
  <c r="V19" i="37"/>
  <c r="O19" i="37"/>
  <c r="V18" i="37"/>
  <c r="AM18" i="37" s="1"/>
  <c r="O18" i="37"/>
  <c r="AG17" i="37"/>
  <c r="V16" i="37"/>
  <c r="AG16" i="37" s="1"/>
  <c r="O16" i="37"/>
  <c r="AG36" i="37" l="1"/>
  <c r="AM23" i="37"/>
  <c r="AG18" i="37"/>
  <c r="AG47" i="37"/>
  <c r="AM20" i="37"/>
  <c r="AG50" i="37"/>
  <c r="AM16" i="37"/>
  <c r="AL49" i="35" l="1"/>
  <c r="N49" i="35"/>
  <c r="AL48" i="35"/>
  <c r="N48" i="35"/>
  <c r="AL47" i="35"/>
  <c r="N47" i="35"/>
  <c r="N46" i="35"/>
  <c r="N45" i="35"/>
  <c r="N44" i="35"/>
  <c r="N43" i="35"/>
  <c r="N42" i="35"/>
  <c r="N41" i="35"/>
  <c r="N40" i="35"/>
  <c r="N38" i="35"/>
  <c r="N37" i="35"/>
  <c r="N36" i="35"/>
  <c r="N35" i="35"/>
  <c r="N34" i="35"/>
  <c r="N33" i="35"/>
  <c r="N32" i="35"/>
  <c r="N31" i="35"/>
  <c r="N30" i="35"/>
  <c r="N29" i="35"/>
  <c r="N28" i="35"/>
  <c r="N27" i="35"/>
  <c r="N26" i="35"/>
  <c r="AL25" i="35"/>
  <c r="N25" i="35"/>
  <c r="AL24" i="35"/>
  <c r="N24" i="35"/>
  <c r="AL23" i="35"/>
  <c r="N23" i="35"/>
  <c r="AL22" i="35"/>
  <c r="N22" i="35"/>
  <c r="AL21" i="35"/>
  <c r="N21" i="35"/>
  <c r="AL20" i="35"/>
  <c r="N20" i="35"/>
  <c r="AL19" i="35"/>
  <c r="N19" i="35"/>
  <c r="AL18" i="35"/>
  <c r="N18" i="35"/>
  <c r="N17" i="35"/>
  <c r="M17" i="35"/>
  <c r="AL16" i="35"/>
  <c r="N16" i="35"/>
  <c r="P53" i="34" l="1"/>
  <c r="P52" i="34"/>
  <c r="P51" i="34"/>
  <c r="P50" i="34"/>
  <c r="P49" i="34"/>
  <c r="AL49" i="34" s="1"/>
  <c r="W48" i="34"/>
  <c r="AL48" i="34" s="1"/>
  <c r="AL47" i="34"/>
  <c r="Q47" i="34"/>
  <c r="P47" i="34" s="1"/>
  <c r="P46" i="34"/>
  <c r="P45" i="34"/>
  <c r="AL45" i="34" s="1"/>
  <c r="P44" i="34"/>
  <c r="P43" i="34"/>
  <c r="P42" i="34"/>
  <c r="P41" i="34"/>
  <c r="P40" i="34"/>
  <c r="P39" i="34"/>
  <c r="P38" i="34"/>
  <c r="Q37" i="34"/>
  <c r="P36" i="34"/>
  <c r="P35" i="34"/>
  <c r="P34" i="34"/>
  <c r="P33" i="34"/>
  <c r="P32" i="34"/>
  <c r="P31" i="34"/>
  <c r="P30" i="34"/>
  <c r="P29" i="34"/>
  <c r="P28" i="34"/>
  <c r="P27" i="34"/>
  <c r="P26" i="34"/>
  <c r="P24" i="34"/>
  <c r="AL24" i="34" s="1"/>
  <c r="P23" i="34"/>
  <c r="AL23" i="34" s="1"/>
  <c r="P22" i="34"/>
  <c r="P21" i="34"/>
  <c r="P20" i="34"/>
  <c r="P19" i="34"/>
  <c r="P18" i="34"/>
  <c r="P16" i="34"/>
  <c r="AE148" i="33" l="1"/>
  <c r="W148" i="33"/>
  <c r="AL147" i="33"/>
  <c r="Q147" i="33"/>
  <c r="AL146" i="33"/>
  <c r="Q146" i="33"/>
  <c r="AL145" i="33"/>
  <c r="AL144" i="33"/>
  <c r="Q144" i="33"/>
  <c r="AL141" i="33"/>
  <c r="Q141" i="33"/>
  <c r="AL140" i="33"/>
  <c r="Q140" i="33"/>
  <c r="AL139" i="33"/>
  <c r="Q139" i="33"/>
  <c r="AL136" i="33"/>
  <c r="Y136" i="33"/>
  <c r="AL135" i="33"/>
  <c r="AL134" i="33"/>
  <c r="AL133" i="33"/>
  <c r="Q133" i="33"/>
  <c r="AL131" i="33"/>
  <c r="W131" i="33"/>
  <c r="AL130" i="33"/>
  <c r="AL127" i="33"/>
  <c r="AE127" i="33"/>
  <c r="W127" i="33"/>
  <c r="AL126" i="33"/>
  <c r="AL123" i="33"/>
  <c r="AE123" i="33"/>
  <c r="V123" i="33"/>
  <c r="AL122" i="33"/>
  <c r="V122" i="33"/>
  <c r="AL121" i="33"/>
  <c r="V121" i="33"/>
  <c r="AM116" i="33"/>
  <c r="AL116" i="33"/>
  <c r="AL115" i="33"/>
  <c r="Q115" i="33"/>
  <c r="AL112" i="33"/>
  <c r="AL111" i="33"/>
  <c r="AL108" i="33"/>
  <c r="W108" i="33"/>
  <c r="AK104" i="33"/>
  <c r="AK103" i="33"/>
  <c r="AK102" i="33"/>
  <c r="AK101" i="33"/>
  <c r="Q101" i="33"/>
  <c r="AL100" i="33"/>
  <c r="AL99" i="33"/>
  <c r="Q99" i="33"/>
  <c r="AL98" i="33"/>
  <c r="Q98" i="33"/>
  <c r="AL97" i="33"/>
  <c r="Q97" i="33"/>
  <c r="AL96" i="33"/>
  <c r="AL95" i="33"/>
  <c r="V95" i="33"/>
  <c r="AK94" i="33"/>
  <c r="AK93" i="33"/>
  <c r="AM87" i="33"/>
  <c r="AL87" i="33"/>
  <c r="J82" i="33"/>
  <c r="AL80" i="33"/>
  <c r="Y80" i="33"/>
  <c r="AL74" i="33"/>
  <c r="AE74" i="33"/>
  <c r="Y74" i="33"/>
  <c r="AL73" i="33"/>
  <c r="AE73" i="33"/>
  <c r="V73" i="33"/>
  <c r="AL72" i="33"/>
  <c r="AK69" i="33"/>
  <c r="AK68" i="33"/>
  <c r="AL64" i="33"/>
  <c r="AL63" i="33"/>
  <c r="W63" i="33"/>
  <c r="AL62" i="33"/>
  <c r="AA62" i="33"/>
  <c r="AL61" i="33"/>
  <c r="AE61" i="33"/>
  <c r="V61" i="33"/>
  <c r="AL60" i="33"/>
  <c r="AL59" i="33"/>
  <c r="AL58" i="33"/>
  <c r="AL57" i="33"/>
  <c r="V57" i="33"/>
  <c r="AL56" i="33"/>
  <c r="W56" i="33"/>
  <c r="AK55" i="33"/>
  <c r="AL54" i="33"/>
  <c r="W54" i="33"/>
  <c r="AK53" i="33"/>
  <c r="AK52" i="33"/>
  <c r="W51" i="33"/>
  <c r="V51" i="33"/>
  <c r="AL49" i="33"/>
  <c r="W49" i="33"/>
  <c r="AL48" i="33"/>
  <c r="Q48" i="33"/>
  <c r="AL47" i="33"/>
  <c r="Q47" i="33"/>
  <c r="AL46" i="33"/>
  <c r="Q46" i="33"/>
  <c r="AL45" i="33"/>
  <c r="Q45" i="33"/>
  <c r="AL44" i="33"/>
  <c r="Q44" i="33"/>
  <c r="AL43" i="33"/>
  <c r="Q43" i="33"/>
  <c r="AL42" i="33"/>
  <c r="Q42" i="33"/>
  <c r="AL41" i="33"/>
  <c r="Q41" i="33"/>
  <c r="AL40" i="33"/>
  <c r="Q40" i="33"/>
  <c r="AL39" i="33"/>
  <c r="Q39" i="33"/>
  <c r="AL38" i="33"/>
  <c r="Q38" i="33"/>
  <c r="AL37" i="33"/>
  <c r="Q37" i="33"/>
  <c r="AL35" i="33"/>
  <c r="Q35" i="33"/>
  <c r="AL34" i="33"/>
  <c r="AL33" i="33"/>
  <c r="Q33" i="33"/>
  <c r="AL32" i="33"/>
  <c r="Q32" i="33"/>
  <c r="AL31" i="33"/>
  <c r="Q31" i="33"/>
  <c r="Q30" i="33" s="1"/>
  <c r="AM30" i="33"/>
  <c r="AL30" i="33"/>
  <c r="AK30" i="33"/>
  <c r="AM28" i="33"/>
  <c r="AL28" i="33"/>
  <c r="AK28" i="33"/>
  <c r="W24" i="33"/>
  <c r="V24" i="33"/>
  <c r="U24" i="33"/>
  <c r="T24" i="33"/>
  <c r="S24" i="33"/>
  <c r="R24" i="33"/>
  <c r="Q24" i="33"/>
  <c r="AL23" i="33"/>
  <c r="Q23" i="33"/>
  <c r="AM21" i="33"/>
  <c r="AL21" i="33"/>
  <c r="AK21" i="33"/>
  <c r="V21" i="33"/>
  <c r="AL20" i="33"/>
  <c r="AM18" i="33"/>
  <c r="AL18" i="33"/>
  <c r="AK18" i="33"/>
  <c r="AD18" i="33"/>
  <c r="AA18" i="33"/>
  <c r="V18" i="33"/>
  <c r="Q18" i="33"/>
  <c r="AM15" i="33"/>
  <c r="AL15" i="33"/>
  <c r="AK15" i="33"/>
  <c r="AM12" i="33"/>
  <c r="AL12" i="33"/>
  <c r="AK12" i="33"/>
  <c r="V12" i="33"/>
  <c r="Q36" i="33" l="1"/>
  <c r="J64" i="31" l="1"/>
  <c r="AL38" i="31"/>
  <c r="AL36" i="31"/>
  <c r="AL49" i="30" l="1"/>
  <c r="AL48" i="30"/>
  <c r="AL47" i="30"/>
  <c r="AL46" i="30"/>
  <c r="N112" i="30" l="1"/>
  <c r="N111" i="30"/>
  <c r="N110" i="30"/>
  <c r="N109" i="30"/>
  <c r="O140" i="30" l="1"/>
  <c r="N140" i="30"/>
  <c r="N133" i="30" l="1"/>
  <c r="N132" i="30"/>
  <c r="N131" i="30"/>
  <c r="N130" i="30"/>
  <c r="N129" i="30"/>
  <c r="N128" i="30"/>
  <c r="N127" i="30"/>
  <c r="N126" i="30"/>
  <c r="N125" i="30"/>
  <c r="N124" i="30"/>
  <c r="N123" i="30"/>
  <c r="O122" i="30"/>
  <c r="N122" i="30"/>
</calcChain>
</file>

<file path=xl/comments1.xml><?xml version="1.0" encoding="utf-8"?>
<comments xmlns="http://schemas.openxmlformats.org/spreadsheetml/2006/main">
  <authors>
    <author>planeacion_9</author>
    <author>DELL</author>
  </authors>
  <commentList>
    <comment ref="AK12" authorId="0">
      <text>
        <r>
          <rPr>
            <b/>
            <sz val="8"/>
            <color indexed="81"/>
            <rFont val="Tahoma"/>
            <family val="2"/>
          </rPr>
          <t>planeacion_9:</t>
        </r>
        <r>
          <rPr>
            <sz val="8"/>
            <color indexed="81"/>
            <rFont val="Tahoma"/>
            <family val="2"/>
          </rPr>
          <t xml:space="preserve">
EN OBSERVACIONES CARACTERIZAR LA POBLACION
</t>
        </r>
      </text>
    </comment>
    <comment ref="M57" authorId="1">
      <text>
        <r>
          <rPr>
            <b/>
            <sz val="9"/>
            <color indexed="81"/>
            <rFont val="Tahoma"/>
            <family val="2"/>
          </rPr>
          <t>DELL:</t>
        </r>
        <r>
          <rPr>
            <sz val="9"/>
            <color indexed="81"/>
            <rFont val="Tahoma"/>
            <family val="2"/>
          </rPr>
          <t xml:space="preserve">
esta meta no esta programada para la vigencia 2019</t>
        </r>
      </text>
    </comment>
    <comment ref="P57" authorId="1">
      <text>
        <r>
          <rPr>
            <b/>
            <sz val="9"/>
            <color indexed="81"/>
            <rFont val="Tahoma"/>
            <family val="2"/>
          </rPr>
          <t>DELL:</t>
        </r>
        <r>
          <rPr>
            <sz val="9"/>
            <color indexed="81"/>
            <rFont val="Tahoma"/>
            <family val="2"/>
          </rPr>
          <t xml:space="preserve">
como esta meta no esta progamada en la vigencia 2019 no debe tenr recursos y además en la observación dice que todo se esta ejecutando en el 2018</t>
        </r>
      </text>
    </comment>
  </commentList>
</comments>
</file>

<file path=xl/comments10.xml><?xml version="1.0" encoding="utf-8"?>
<comments xmlns="http://schemas.openxmlformats.org/spreadsheetml/2006/main">
  <authors>
    <author>planeacion_9</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11.xml><?xml version="1.0" encoding="utf-8"?>
<comments xmlns="http://schemas.openxmlformats.org/spreadsheetml/2006/main">
  <authors>
    <author>planeacion_9</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12.xml><?xml version="1.0" encoding="utf-8"?>
<comments xmlns="http://schemas.openxmlformats.org/spreadsheetml/2006/main">
  <authors>
    <author>planeacion_9</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13.xml><?xml version="1.0" encoding="utf-8"?>
<comments xmlns="http://schemas.openxmlformats.org/spreadsheetml/2006/main">
  <authors>
    <author>planeacion_9</author>
  </authors>
  <commentList>
    <comment ref="AI14"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14.xml><?xml version="1.0" encoding="utf-8"?>
<comments xmlns="http://schemas.openxmlformats.org/spreadsheetml/2006/main">
  <authors>
    <author>planeacion_9</author>
  </authors>
  <commentList>
    <comment ref="AI14"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2.xml><?xml version="1.0" encoding="utf-8"?>
<comments xmlns="http://schemas.openxmlformats.org/spreadsheetml/2006/main">
  <authors>
    <author>planeacion_9</author>
    <author>casa de la cultura 3</author>
  </authors>
  <commentList>
    <comment ref="AK13" authorId="0">
      <text>
        <r>
          <rPr>
            <b/>
            <sz val="8"/>
            <color indexed="81"/>
            <rFont val="Tahoma"/>
            <family val="2"/>
          </rPr>
          <t>planeacion_9:</t>
        </r>
        <r>
          <rPr>
            <sz val="8"/>
            <color indexed="81"/>
            <rFont val="Tahoma"/>
            <family val="2"/>
          </rPr>
          <t xml:space="preserve">
EN OBSERVACIONES CARACTERIZAR LA POBLACION
</t>
        </r>
      </text>
    </comment>
    <comment ref="AL86" authorId="1">
      <text>
        <r>
          <rPr>
            <b/>
            <sz val="9"/>
            <color indexed="81"/>
            <rFont val="Tahoma"/>
            <family val="2"/>
          </rPr>
          <t>casa de la cultura 3:</t>
        </r>
        <r>
          <rPr>
            <sz val="9"/>
            <color indexed="81"/>
            <rFont val="Tahoma"/>
            <family val="2"/>
          </rPr>
          <t xml:space="preserve">
Recursos Estampilla Pro Cultura</t>
        </r>
      </text>
    </comment>
    <comment ref="AL90" authorId="1">
      <text>
        <r>
          <rPr>
            <b/>
            <sz val="9"/>
            <color indexed="81"/>
            <rFont val="Tahoma"/>
            <family val="2"/>
          </rPr>
          <t>casa de la cultura 3:</t>
        </r>
        <r>
          <rPr>
            <sz val="9"/>
            <color indexed="81"/>
            <rFont val="Tahoma"/>
            <family val="2"/>
          </rPr>
          <t xml:space="preserve">
Recursos de Estampilla Pro Cultura</t>
        </r>
      </text>
    </comment>
    <comment ref="AL93" authorId="1">
      <text>
        <r>
          <rPr>
            <b/>
            <sz val="9"/>
            <color indexed="81"/>
            <rFont val="Tahoma"/>
            <family val="2"/>
          </rPr>
          <t>casa de la cultura 3:</t>
        </r>
        <r>
          <rPr>
            <sz val="9"/>
            <color indexed="81"/>
            <rFont val="Tahoma"/>
            <family val="2"/>
          </rPr>
          <t xml:space="preserve">
Recursos de estampilla Pro Cultura</t>
        </r>
      </text>
    </comment>
  </commentList>
</comments>
</file>

<file path=xl/comments3.xml><?xml version="1.0" encoding="utf-8"?>
<comments xmlns="http://schemas.openxmlformats.org/spreadsheetml/2006/main">
  <authors>
    <author>planeacion_9</author>
  </authors>
  <commentList>
    <comment ref="AK10"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4.xml><?xml version="1.0" encoding="utf-8"?>
<comments xmlns="http://schemas.openxmlformats.org/spreadsheetml/2006/main">
  <authors>
    <author>planeacion_9</author>
  </authors>
  <commentList>
    <comment ref="AK13" authorId="0">
      <text>
        <r>
          <rPr>
            <b/>
            <sz val="8"/>
            <color indexed="81"/>
            <rFont val="Tahoma"/>
            <family val="2"/>
          </rPr>
          <t>planeacion_9:</t>
        </r>
        <r>
          <rPr>
            <sz val="8"/>
            <color indexed="81"/>
            <rFont val="Tahoma"/>
            <family val="2"/>
          </rPr>
          <t xml:space="preserve">
EN OBSERVACIONES CARACTERIZAR LA POBLACION
</t>
        </r>
      </text>
    </comment>
  </commentList>
</comments>
</file>

<file path=xl/comments5.xml><?xml version="1.0" encoding="utf-8"?>
<comments xmlns="http://schemas.openxmlformats.org/spreadsheetml/2006/main">
  <authors>
    <author>planeacion_9</author>
    <author>Usuario</author>
    <author>Felipe Garcia</author>
    <author>Toshiba</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 ref="Q16" authorId="1">
      <text>
        <r>
          <rPr>
            <b/>
            <sz val="9"/>
            <color indexed="81"/>
            <rFont val="Tahoma"/>
            <family val="2"/>
          </rPr>
          <t>Usuario:</t>
        </r>
        <r>
          <rPr>
            <sz val="9"/>
            <color indexed="81"/>
            <rFont val="Tahoma"/>
            <family val="2"/>
          </rPr>
          <t xml:space="preserve">
Numero de eventos de capacitacion en agroindustria realizados</t>
        </r>
      </text>
    </comment>
    <comment ref="Q20" authorId="1">
      <text>
        <r>
          <rPr>
            <b/>
            <sz val="9"/>
            <color indexed="81"/>
            <rFont val="Tahoma"/>
            <family val="2"/>
          </rPr>
          <t>Usuario:</t>
        </r>
        <r>
          <rPr>
            <sz val="9"/>
            <color indexed="81"/>
            <rFont val="Tahoma"/>
            <family val="2"/>
          </rPr>
          <t xml:space="preserve">
se suman 32 mll de PROGRAMA "Numero de Número de Instituciones educativas donde se mejoran las condiciones para el procesamiento de alimentos "</t>
        </r>
      </text>
    </comment>
    <comment ref="AD20" authorId="1">
      <text>
        <r>
          <rPr>
            <b/>
            <sz val="9"/>
            <color indexed="81"/>
            <rFont val="Tahoma"/>
            <family val="2"/>
          </rPr>
          <t>Usuario:</t>
        </r>
        <r>
          <rPr>
            <sz val="9"/>
            <color indexed="81"/>
            <rFont val="Tahoma"/>
            <family val="2"/>
          </rPr>
          <t xml:space="preserve">
se suman 100 mll de PROGRAMA "Numero de Número de Instituciones educativas donde se mejoran las condiciones para el procesamiento de alimentos "</t>
        </r>
      </text>
    </comment>
    <comment ref="Q29" authorId="1">
      <text>
        <r>
          <rPr>
            <b/>
            <sz val="9"/>
            <color indexed="81"/>
            <rFont val="Tahoma"/>
            <family val="2"/>
          </rPr>
          <t>Usuario:</t>
        </r>
        <r>
          <rPr>
            <sz val="9"/>
            <color indexed="81"/>
            <rFont val="Tahoma"/>
            <family val="2"/>
          </rPr>
          <t xml:space="preserve">
SE SUMAN 5 MLL DEL PROGRAMA " Número de eventos productivos y/o comerciales con participación de organizaciones agropecuarias apoyados"</t>
        </r>
      </text>
    </comment>
    <comment ref="AD29" authorId="1">
      <text>
        <r>
          <rPr>
            <b/>
            <sz val="9"/>
            <color indexed="81"/>
            <rFont val="Tahoma"/>
            <family val="2"/>
          </rPr>
          <t>Usuario:</t>
        </r>
        <r>
          <rPr>
            <sz val="9"/>
            <color indexed="81"/>
            <rFont val="Tahoma"/>
            <family val="2"/>
          </rPr>
          <t xml:space="preserve">
SE SUMAN 5 MLL DEL PROGRAMA " Número de eventos productivos y/o comerciales con participación de organizaciones agropecuarias apoyados"</t>
        </r>
      </text>
    </comment>
    <comment ref="C36" authorId="2">
      <text>
        <r>
          <rPr>
            <b/>
            <sz val="9"/>
            <color indexed="81"/>
            <rFont val="Tahoma"/>
            <family val="2"/>
          </rPr>
          <t>Felipe Garcia:</t>
        </r>
        <r>
          <rPr>
            <sz val="9"/>
            <color indexed="81"/>
            <rFont val="Tahoma"/>
            <family val="2"/>
          </rPr>
          <t xml:space="preserve">
Desarrollar 7 instrumentos de planificación</t>
        </r>
      </text>
    </comment>
    <comment ref="D36" authorId="2">
      <text>
        <r>
          <rPr>
            <b/>
            <sz val="9"/>
            <color indexed="81"/>
            <rFont val="Tahoma"/>
            <family val="2"/>
          </rPr>
          <t>Felipe Garcia:</t>
        </r>
        <r>
          <rPr>
            <sz val="9"/>
            <color indexed="81"/>
            <rFont val="Tahoma"/>
            <family val="2"/>
          </rPr>
          <t xml:space="preserve">
Número de instrumentos de planificación desarrollados</t>
        </r>
      </text>
    </comment>
    <comment ref="Q41" authorId="1">
      <text>
        <r>
          <rPr>
            <b/>
            <sz val="9"/>
            <color indexed="81"/>
            <rFont val="Tahoma"/>
            <family val="2"/>
          </rPr>
          <t>Usuario:</t>
        </r>
        <r>
          <rPr>
            <sz val="9"/>
            <color indexed="81"/>
            <rFont val="Tahoma"/>
            <family val="2"/>
          </rPr>
          <t xml:space="preserve">
se adiciona presupuesto de "Número de planes  Municipales de SAN dinamizados"</t>
        </r>
      </text>
    </comment>
    <comment ref="AD41" authorId="1">
      <text>
        <r>
          <rPr>
            <b/>
            <sz val="9"/>
            <color indexed="81"/>
            <rFont val="Tahoma"/>
            <family val="2"/>
          </rPr>
          <t>Usuario:Recursos del programa "Número de diagnósticos nutricionales a niños menores de 5 años de 4000 familias vulnerables"</t>
        </r>
      </text>
    </comment>
    <comment ref="P45" authorId="3">
      <text>
        <r>
          <rPr>
            <b/>
            <sz val="9"/>
            <color indexed="81"/>
            <rFont val="Tahoma"/>
            <family val="2"/>
          </rPr>
          <t>Toshiba:</t>
        </r>
        <r>
          <rPr>
            <sz val="9"/>
            <color indexed="81"/>
            <rFont val="Tahoma"/>
            <family val="2"/>
          </rPr>
          <t xml:space="preserve">
$735.000.000 recursos  CRC para el cumplimiento de esta meta. </t>
        </r>
      </text>
    </comment>
    <comment ref="P46" authorId="3">
      <text>
        <r>
          <rPr>
            <b/>
            <sz val="9"/>
            <color indexed="81"/>
            <rFont val="Tahoma"/>
            <family val="2"/>
          </rPr>
          <t>Toshiba:</t>
        </r>
        <r>
          <rPr>
            <sz val="9"/>
            <color indexed="81"/>
            <rFont val="Tahoma"/>
            <family val="2"/>
          </rPr>
          <t xml:space="preserve">
$84.000.000 recursos  CRC para el cumplimiento de esta meta. </t>
        </r>
      </text>
    </comment>
    <comment ref="P48" authorId="3">
      <text>
        <r>
          <rPr>
            <b/>
            <sz val="9"/>
            <color indexed="81"/>
            <rFont val="Tahoma"/>
            <family val="2"/>
          </rPr>
          <t>Toshiba:</t>
        </r>
        <r>
          <rPr>
            <sz val="9"/>
            <color indexed="81"/>
            <rFont val="Tahoma"/>
            <family val="2"/>
          </rPr>
          <t xml:space="preserve">
$133.000.000 recursos  CRC para el cumplimiento de esta meta. </t>
        </r>
      </text>
    </comment>
    <comment ref="P51" authorId="3">
      <text>
        <r>
          <rPr>
            <b/>
            <sz val="9"/>
            <color indexed="81"/>
            <rFont val="Tahoma"/>
            <family val="2"/>
          </rPr>
          <t>Toshiba:</t>
        </r>
        <r>
          <rPr>
            <sz val="9"/>
            <color indexed="81"/>
            <rFont val="Tahoma"/>
            <family val="2"/>
          </rPr>
          <t xml:space="preserve">
$435.000.000 recursos  CRC para el cumplimiento de esta meta.</t>
        </r>
      </text>
    </comment>
    <comment ref="P52" authorId="3">
      <text>
        <r>
          <rPr>
            <b/>
            <sz val="9"/>
            <color indexed="81"/>
            <rFont val="Tahoma"/>
            <family val="2"/>
          </rPr>
          <t>Toshiba:</t>
        </r>
        <r>
          <rPr>
            <sz val="9"/>
            <color indexed="81"/>
            <rFont val="Tahoma"/>
            <family val="2"/>
          </rPr>
          <t xml:space="preserve">
$83.000.000 recursos  CRC para el cumplimiento de esta meta. </t>
        </r>
      </text>
    </comment>
    <comment ref="P53" authorId="3">
      <text>
        <r>
          <rPr>
            <b/>
            <sz val="9"/>
            <color indexed="81"/>
            <rFont val="Tahoma"/>
            <family val="2"/>
          </rPr>
          <t>Toshiba:</t>
        </r>
        <r>
          <rPr>
            <sz val="9"/>
            <color indexed="81"/>
            <rFont val="Tahoma"/>
            <family val="2"/>
          </rPr>
          <t xml:space="preserve">
$110.000.000 recursos  CRC para el cumplimiento de esta meta. </t>
        </r>
      </text>
    </comment>
  </commentList>
</comments>
</file>

<file path=xl/comments6.xml><?xml version="1.0" encoding="utf-8"?>
<comments xmlns="http://schemas.openxmlformats.org/spreadsheetml/2006/main">
  <authors>
    <author>planeacion_9</author>
    <author>CESAR PC</author>
    <author>DELL</author>
    <author>hp</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 ref="Q16" authorId="1">
      <text>
        <r>
          <rPr>
            <b/>
            <sz val="9"/>
            <color indexed="81"/>
            <rFont val="Tahoma"/>
            <family val="2"/>
          </rPr>
          <t>$25.000 trasladados de la 3ra meta de este programa</t>
        </r>
      </text>
    </comment>
    <comment ref="M17" authorId="2">
      <text>
        <r>
          <rPr>
            <b/>
            <sz val="9"/>
            <color indexed="81"/>
            <rFont val="Tahoma"/>
            <family val="2"/>
          </rPr>
          <t>DELL:</t>
        </r>
        <r>
          <rPr>
            <sz val="9"/>
            <color indexed="81"/>
            <rFont val="Tahoma"/>
            <family val="2"/>
          </rPr>
          <t xml:space="preserve">
se ejecuto 3% en el 2018</t>
        </r>
      </text>
    </comment>
    <comment ref="P17" authorId="1">
      <text>
        <r>
          <rPr>
            <sz val="9"/>
            <color indexed="81"/>
            <rFont val="Tahoma"/>
            <family val="2"/>
          </rPr>
          <t>Menos 700 millones que se ejecutó en 2018</t>
        </r>
      </text>
    </comment>
    <comment ref="V17" authorId="1">
      <text>
        <r>
          <rPr>
            <sz val="9"/>
            <color indexed="81"/>
            <rFont val="Tahoma"/>
            <family val="2"/>
          </rPr>
          <t>Corresponden a 1.500 millones de la tercera meta y 1.500 millones de la cuarta meta. Sin embargo, durante el 2018 se avanzo en la ejecución de 700 millones</t>
        </r>
      </text>
    </comment>
    <comment ref="Q23" authorId="1">
      <text>
        <r>
          <rPr>
            <b/>
            <sz val="9"/>
            <color indexed="81"/>
            <rFont val="Tahoma"/>
            <family val="2"/>
          </rPr>
          <t>Trasladados de la segunda meta del presente programa</t>
        </r>
      </text>
    </comment>
    <comment ref="AD23" authorId="1">
      <text>
        <r>
          <rPr>
            <b/>
            <sz val="9"/>
            <color indexed="81"/>
            <rFont val="Tahoma"/>
            <family val="2"/>
          </rPr>
          <t>$40.000 de cofinanciación</t>
        </r>
      </text>
    </comment>
    <comment ref="M24" authorId="1">
      <text>
        <r>
          <rPr>
            <b/>
            <sz val="9"/>
            <color indexed="81"/>
            <rFont val="Tahoma"/>
            <family val="2"/>
          </rPr>
          <t>Se ajusta la meta debido a que en 2017 se cumplió en un 0,10 adicional</t>
        </r>
      </text>
    </comment>
    <comment ref="Q24" authorId="1">
      <text>
        <r>
          <rPr>
            <b/>
            <sz val="9"/>
            <color indexed="81"/>
            <rFont val="Tahoma"/>
            <family val="2"/>
          </rPr>
          <t>29 millones trasladados de la tercera meta del presente programa</t>
        </r>
      </text>
    </comment>
    <comment ref="AD24" authorId="1">
      <text>
        <r>
          <rPr>
            <b/>
            <sz val="9"/>
            <color indexed="81"/>
            <rFont val="Tahoma"/>
            <family val="2"/>
          </rPr>
          <t>$100.000 de cofinanciación</t>
        </r>
      </text>
    </comment>
    <comment ref="AD25" authorId="1">
      <text>
        <r>
          <rPr>
            <b/>
            <sz val="9"/>
            <color indexed="81"/>
            <rFont val="Tahoma"/>
            <family val="2"/>
          </rPr>
          <t>$40.000 de cofinanciación</t>
        </r>
      </text>
    </comment>
    <comment ref="AD38" authorId="3">
      <text>
        <r>
          <rPr>
            <b/>
            <sz val="9"/>
            <color indexed="81"/>
            <rFont val="Tahoma"/>
            <family val="2"/>
          </rPr>
          <t>hp:</t>
        </r>
        <r>
          <rPr>
            <sz val="9"/>
            <color indexed="81"/>
            <rFont val="Tahoma"/>
            <family val="2"/>
          </rPr>
          <t xml:space="preserve">
Por Gestión en el año 2018 queda un valor de $ 37.011.000</t>
        </r>
      </text>
    </comment>
    <comment ref="V39" authorId="3">
      <text>
        <r>
          <rPr>
            <b/>
            <sz val="9"/>
            <color indexed="81"/>
            <rFont val="Tahoma"/>
            <family val="2"/>
          </rPr>
          <t>hp:</t>
        </r>
        <r>
          <rPr>
            <sz val="9"/>
            <color indexed="81"/>
            <rFont val="Tahoma"/>
            <family val="2"/>
          </rPr>
          <t xml:space="preserve">
Se adiciona Seicientos Millones que no se ejecutaron en el 2018</t>
        </r>
      </text>
    </comment>
    <comment ref="Q41" authorId="3">
      <text>
        <r>
          <rPr>
            <b/>
            <sz val="9"/>
            <color indexed="81"/>
            <rFont val="Tahoma"/>
            <family val="2"/>
          </rPr>
          <t>hp:</t>
        </r>
        <r>
          <rPr>
            <sz val="9"/>
            <color indexed="81"/>
            <rFont val="Tahoma"/>
            <family val="2"/>
          </rPr>
          <t xml:space="preserve">
Se elaborará un inventario minero que contendra información importante para la planificacion minera de los 42 municipios del departamento del Cauca.</t>
        </r>
      </text>
    </comment>
    <comment ref="M46" authorId="1">
      <text>
        <r>
          <rPr>
            <sz val="9"/>
            <color indexed="81"/>
            <rFont val="Tahoma"/>
            <family val="2"/>
          </rPr>
          <t>Meta cumplida en su totalidad en la vigencia 2018</t>
        </r>
      </text>
    </comment>
    <comment ref="P47" authorId="1">
      <text>
        <r>
          <rPr>
            <b/>
            <sz val="9"/>
            <color indexed="81"/>
            <rFont val="Tahoma"/>
            <family val="2"/>
          </rPr>
          <t>Se incrementó en 80 millones de regalias directas  y 2 millones de recursos ppios que correspondían a la primera meta del programa</t>
        </r>
      </text>
    </comment>
    <comment ref="Q47" authorId="1">
      <text>
        <r>
          <rPr>
            <sz val="9"/>
            <color indexed="81"/>
            <rFont val="Tahoma"/>
            <family val="2"/>
          </rPr>
          <t>Estaban inicialmente programados en la primera meta del programa</t>
        </r>
      </text>
    </comment>
    <comment ref="X47" authorId="1">
      <text>
        <r>
          <rPr>
            <sz val="9"/>
            <color indexed="81"/>
            <rFont val="Tahoma"/>
            <family val="2"/>
          </rPr>
          <t xml:space="preserve">Más 80 millones de la primera meta del programa que estaban en regalias directas.
Más 25 millones de regalias directas que estaban en la presente meta.
</t>
        </r>
        <r>
          <rPr>
            <b/>
            <sz val="9"/>
            <color indexed="81"/>
            <rFont val="Tahoma"/>
            <family val="2"/>
          </rPr>
          <t>Pendiente por asignar recursos de regalias CTI que no se logren ejecutar en 2018.</t>
        </r>
      </text>
    </comment>
  </commentList>
</comments>
</file>

<file path=xl/comments7.xml><?xml version="1.0" encoding="utf-8"?>
<comments xmlns="http://schemas.openxmlformats.org/spreadsheetml/2006/main">
  <authors>
    <author>planeacion_9</author>
    <author>Felipe Garcia</author>
    <author>Gobierno</author>
    <author>DELL</author>
  </authors>
  <commentList>
    <comment ref="AK13" authorId="0">
      <text>
        <r>
          <rPr>
            <b/>
            <sz val="8"/>
            <color indexed="81"/>
            <rFont val="Tahoma"/>
          </rPr>
          <t>planeacion_9:</t>
        </r>
        <r>
          <rPr>
            <sz val="8"/>
            <color indexed="81"/>
            <rFont val="Tahoma"/>
          </rPr>
          <t xml:space="preserve">
EN OBSERVACIONES CARACTERIZAR LA POBLACION
</t>
        </r>
      </text>
    </comment>
    <comment ref="C28" authorId="1">
      <text>
        <r>
          <rPr>
            <b/>
            <sz val="9"/>
            <color indexed="81"/>
            <rFont val="Tahoma"/>
            <family val="2"/>
          </rPr>
          <t>Felipe Garcia:</t>
        </r>
        <r>
          <rPr>
            <sz val="9"/>
            <color indexed="81"/>
            <rFont val="Tahoma"/>
            <family val="2"/>
          </rPr>
          <t xml:space="preserve">
Incrementar en 100% el indicador de superación de la situación de vulnerabilidad, restablecimiento social y económico  de las víctimas de desplazamiento forzado en el departamento (priorizando las sub-regiones de Norte, Centro, Costa Pacífica y Sur)</t>
        </r>
      </text>
    </comment>
    <comment ref="M56" authorId="2">
      <text>
        <r>
          <rPr>
            <b/>
            <sz val="9"/>
            <color indexed="81"/>
            <rFont val="Tahoma"/>
            <family val="2"/>
          </rPr>
          <t>Gobierno:</t>
        </r>
        <r>
          <rPr>
            <sz val="9"/>
            <color indexed="81"/>
            <rFont val="Tahoma"/>
            <family val="2"/>
          </rPr>
          <t xml:space="preserve">
La meta sera superada, por sr una necesidad de las JAC</t>
        </r>
      </text>
    </comment>
    <comment ref="AD60" authorId="3">
      <text>
        <r>
          <rPr>
            <b/>
            <sz val="9"/>
            <color indexed="81"/>
            <rFont val="Tahoma"/>
            <family val="2"/>
          </rPr>
          <t>DELL:</t>
        </r>
        <r>
          <rPr>
            <sz val="9"/>
            <color indexed="81"/>
            <rFont val="Tahoma"/>
            <family val="2"/>
          </rPr>
          <t xml:space="preserve">
modificación 21112016</t>
        </r>
      </text>
    </comment>
    <comment ref="Q66" authorId="3">
      <text>
        <r>
          <rPr>
            <b/>
            <sz val="9"/>
            <color indexed="81"/>
            <rFont val="Tahoma"/>
            <family val="2"/>
          </rPr>
          <t>DELL:</t>
        </r>
        <r>
          <rPr>
            <sz val="9"/>
            <color indexed="81"/>
            <rFont val="Tahoma"/>
            <family val="2"/>
          </rPr>
          <t xml:space="preserve">
modificado 21112016</t>
        </r>
      </text>
    </comment>
  </commentList>
</comments>
</file>

<file path=xl/comments8.xml><?xml version="1.0" encoding="utf-8"?>
<comments xmlns="http://schemas.openxmlformats.org/spreadsheetml/2006/main">
  <authors>
    <author>planeacion_9</author>
    <author>DELL</author>
  </authors>
  <commentList>
    <comment ref="AL14" authorId="0">
      <text>
        <r>
          <rPr>
            <b/>
            <sz val="8"/>
            <color indexed="81"/>
            <rFont val="Tahoma"/>
            <family val="2"/>
          </rPr>
          <t>planeacion_9:</t>
        </r>
        <r>
          <rPr>
            <sz val="8"/>
            <color indexed="81"/>
            <rFont val="Tahoma"/>
            <family val="2"/>
          </rPr>
          <t xml:space="preserve">
EN OBSERVACIONES CARACTERIZAR LA POBLACION
</t>
        </r>
      </text>
    </comment>
    <comment ref="Z25" authorId="1">
      <text>
        <r>
          <rPr>
            <b/>
            <sz val="9"/>
            <color indexed="81"/>
            <rFont val="Tahoma"/>
            <family val="2"/>
          </rPr>
          <t>DELL:</t>
        </r>
        <r>
          <rPr>
            <sz val="9"/>
            <color indexed="81"/>
            <rFont val="Tahoma"/>
            <family val="2"/>
          </rPr>
          <t xml:space="preserve">
se trasladan a 2016 $1783</t>
        </r>
      </text>
    </comment>
    <comment ref="AA27" authorId="1">
      <text>
        <r>
          <rPr>
            <b/>
            <sz val="9"/>
            <color indexed="81"/>
            <rFont val="Tahoma"/>
            <family val="2"/>
          </rPr>
          <t>DELL:</t>
        </r>
        <r>
          <rPr>
            <sz val="9"/>
            <color indexed="81"/>
            <rFont val="Tahoma"/>
            <family val="2"/>
          </rPr>
          <t xml:space="preserve">
23864,  se trasladaron a vigencia 2017</t>
        </r>
      </text>
    </comment>
    <comment ref="AC27" authorId="1">
      <text>
        <r>
          <rPr>
            <b/>
            <sz val="9"/>
            <color indexed="81"/>
            <rFont val="Tahoma"/>
            <family val="2"/>
          </rPr>
          <t>DELL:10227</t>
        </r>
        <r>
          <rPr>
            <sz val="9"/>
            <color indexed="81"/>
            <rFont val="Tahoma"/>
            <family val="2"/>
          </rPr>
          <t>,  se trasladaron a vigencia 2017</t>
        </r>
      </text>
    </comment>
    <comment ref="AD27" authorId="1">
      <text>
        <r>
          <rPr>
            <b/>
            <sz val="9"/>
            <color indexed="81"/>
            <rFont val="Tahoma"/>
            <family val="2"/>
          </rPr>
          <t>DELL:17045</t>
        </r>
        <r>
          <rPr>
            <sz val="9"/>
            <color indexed="81"/>
            <rFont val="Tahoma"/>
            <family val="2"/>
          </rPr>
          <t>,  se trasladaron a vigencia 2017</t>
        </r>
      </text>
    </comment>
    <comment ref="Q28" authorId="1">
      <text>
        <r>
          <rPr>
            <b/>
            <sz val="9"/>
            <color indexed="81"/>
            <rFont val="Tahoma"/>
            <family val="2"/>
          </rPr>
          <t>DELL:</t>
        </r>
        <r>
          <rPr>
            <sz val="9"/>
            <color indexed="81"/>
            <rFont val="Tahoma"/>
            <family val="2"/>
          </rPr>
          <t xml:space="preserve">
10227, se trasladaron a vigencia 2017</t>
        </r>
      </text>
    </comment>
    <comment ref="Z28" authorId="1">
      <text>
        <r>
          <rPr>
            <b/>
            <sz val="9"/>
            <color indexed="81"/>
            <rFont val="Tahoma"/>
            <family val="2"/>
          </rPr>
          <t>DELL:</t>
        </r>
        <r>
          <rPr>
            <sz val="9"/>
            <color indexed="81"/>
            <rFont val="Tahoma"/>
            <family val="2"/>
          </rPr>
          <t xml:space="preserve">
16364,  se trasladaron a vigencia 201</t>
        </r>
      </text>
    </comment>
    <comment ref="AA28" authorId="1">
      <text>
        <r>
          <rPr>
            <b/>
            <sz val="9"/>
            <color indexed="81"/>
            <rFont val="Tahoma"/>
            <family val="2"/>
          </rPr>
          <t>DELL:</t>
        </r>
        <r>
          <rPr>
            <sz val="9"/>
            <color indexed="81"/>
            <rFont val="Tahoma"/>
            <family val="2"/>
          </rPr>
          <t xml:space="preserve">
23864,  se trasladaron a vigencia 2017</t>
        </r>
      </text>
    </comment>
    <comment ref="AC28" authorId="1">
      <text>
        <r>
          <rPr>
            <b/>
            <sz val="9"/>
            <color indexed="81"/>
            <rFont val="Tahoma"/>
            <family val="2"/>
          </rPr>
          <t>DELL:10227</t>
        </r>
        <r>
          <rPr>
            <sz val="9"/>
            <color indexed="81"/>
            <rFont val="Tahoma"/>
            <family val="2"/>
          </rPr>
          <t>,  se trasladaron a vigencia 2017</t>
        </r>
      </text>
    </comment>
    <comment ref="AD28" authorId="1">
      <text>
        <r>
          <rPr>
            <b/>
            <sz val="9"/>
            <color indexed="81"/>
            <rFont val="Tahoma"/>
            <family val="2"/>
          </rPr>
          <t>DELL:17045</t>
        </r>
        <r>
          <rPr>
            <sz val="9"/>
            <color indexed="81"/>
            <rFont val="Tahoma"/>
            <family val="2"/>
          </rPr>
          <t>,  se trasladaron a vigencia 2017</t>
        </r>
      </text>
    </comment>
    <comment ref="Q29" authorId="1">
      <text>
        <r>
          <rPr>
            <b/>
            <sz val="9"/>
            <color indexed="81"/>
            <rFont val="Tahoma"/>
            <family val="2"/>
          </rPr>
          <t>DELL:</t>
        </r>
        <r>
          <rPr>
            <sz val="9"/>
            <color indexed="81"/>
            <rFont val="Tahoma"/>
            <family val="2"/>
          </rPr>
          <t xml:space="preserve">
10227, se trasladaron a vigencia 2017</t>
        </r>
      </text>
    </comment>
    <comment ref="Z29" authorId="1">
      <text>
        <r>
          <rPr>
            <b/>
            <sz val="9"/>
            <color indexed="81"/>
            <rFont val="Tahoma"/>
            <family val="2"/>
          </rPr>
          <t>DELL:</t>
        </r>
        <r>
          <rPr>
            <sz val="9"/>
            <color indexed="81"/>
            <rFont val="Tahoma"/>
            <family val="2"/>
          </rPr>
          <t xml:space="preserve">
16364,  se trasladaron a vigencia 201</t>
        </r>
      </text>
    </comment>
    <comment ref="AA29" authorId="1">
      <text>
        <r>
          <rPr>
            <b/>
            <sz val="9"/>
            <color indexed="81"/>
            <rFont val="Tahoma"/>
            <family val="2"/>
          </rPr>
          <t>DELL:</t>
        </r>
        <r>
          <rPr>
            <sz val="9"/>
            <color indexed="81"/>
            <rFont val="Tahoma"/>
            <family val="2"/>
          </rPr>
          <t xml:space="preserve">
23864,  se trasladaron a vigencia 2017</t>
        </r>
      </text>
    </comment>
    <comment ref="AC29" authorId="1">
      <text>
        <r>
          <rPr>
            <b/>
            <sz val="9"/>
            <color indexed="81"/>
            <rFont val="Tahoma"/>
            <family val="2"/>
          </rPr>
          <t>DELL:10227</t>
        </r>
        <r>
          <rPr>
            <sz val="9"/>
            <color indexed="81"/>
            <rFont val="Tahoma"/>
            <family val="2"/>
          </rPr>
          <t>,  se trasladaron a vigencia 2017</t>
        </r>
      </text>
    </comment>
    <comment ref="AD29" authorId="1">
      <text>
        <r>
          <rPr>
            <b/>
            <sz val="9"/>
            <color indexed="81"/>
            <rFont val="Tahoma"/>
            <family val="2"/>
          </rPr>
          <t>DELL:17045</t>
        </r>
        <r>
          <rPr>
            <sz val="9"/>
            <color indexed="81"/>
            <rFont val="Tahoma"/>
            <family val="2"/>
          </rPr>
          <t>,  se trasladaron a vigencia 2017</t>
        </r>
      </text>
    </comment>
    <comment ref="AA30" authorId="1">
      <text>
        <r>
          <rPr>
            <b/>
            <sz val="9"/>
            <color indexed="81"/>
            <rFont val="Tahoma"/>
            <family val="2"/>
          </rPr>
          <t>DELL:</t>
        </r>
        <r>
          <rPr>
            <sz val="9"/>
            <color indexed="81"/>
            <rFont val="Tahoma"/>
            <family val="2"/>
          </rPr>
          <t xml:space="preserve">
SE TRASLADAN LOS RECURSOS A OTRA META DE PRODUCTO $79545</t>
        </r>
      </text>
    </comment>
    <comment ref="AD30" authorId="1">
      <text>
        <r>
          <rPr>
            <b/>
            <sz val="9"/>
            <color indexed="81"/>
            <rFont val="Tahoma"/>
            <family val="2"/>
          </rPr>
          <t>DELL:</t>
        </r>
        <r>
          <rPr>
            <sz val="9"/>
            <color indexed="81"/>
            <rFont val="Tahoma"/>
            <family val="2"/>
          </rPr>
          <t xml:space="preserve">
SE TRASLADAN LOS RECURSOS A OTRA META DE PRODUCTO $56820</t>
        </r>
      </text>
    </comment>
    <comment ref="Z40" authorId="1">
      <text>
        <r>
          <rPr>
            <b/>
            <sz val="9"/>
            <color indexed="81"/>
            <rFont val="Tahoma"/>
            <family val="2"/>
          </rPr>
          <t>DELL:</t>
        </r>
        <r>
          <rPr>
            <sz val="9"/>
            <color indexed="81"/>
            <rFont val="Tahoma"/>
            <family val="2"/>
          </rPr>
          <t xml:space="preserve">
se adicionaron recursos de meta sobrevalorada $54545</t>
        </r>
      </text>
    </comment>
    <comment ref="V43" authorId="1">
      <text>
        <r>
          <rPr>
            <b/>
            <sz val="9"/>
            <color indexed="81"/>
            <rFont val="Tahoma"/>
            <family val="2"/>
          </rPr>
          <t>DELL:</t>
        </r>
        <r>
          <rPr>
            <sz val="9"/>
            <color indexed="81"/>
            <rFont val="Tahoma"/>
            <family val="2"/>
          </rPr>
          <t xml:space="preserve">
SE ADICIONARON RECUROS DE 2017 $11429</t>
        </r>
      </text>
    </comment>
    <comment ref="Z43" authorId="1">
      <text>
        <r>
          <rPr>
            <b/>
            <sz val="9"/>
            <color indexed="81"/>
            <rFont val="Tahoma"/>
            <family val="2"/>
          </rPr>
          <t>DELL:</t>
        </r>
        <r>
          <rPr>
            <sz val="9"/>
            <color indexed="81"/>
            <rFont val="Tahoma"/>
            <family val="2"/>
          </rPr>
          <t xml:space="preserve">
SE ADICIONARON RECUROS DE 2017  $ 3429</t>
        </r>
      </text>
    </comment>
    <comment ref="AA43" authorId="1">
      <text>
        <r>
          <rPr>
            <b/>
            <sz val="9"/>
            <color indexed="81"/>
            <rFont val="Tahoma"/>
            <family val="2"/>
          </rPr>
          <t>DELL:</t>
        </r>
        <r>
          <rPr>
            <sz val="9"/>
            <color indexed="81"/>
            <rFont val="Tahoma"/>
            <family val="2"/>
          </rPr>
          <t xml:space="preserve">
SE ADICIONA RECUROS DE 2017  $ 1857</t>
        </r>
      </text>
    </comment>
    <comment ref="AC43" authorId="1">
      <text>
        <r>
          <rPr>
            <b/>
            <sz val="9"/>
            <color indexed="81"/>
            <rFont val="Tahoma"/>
            <family val="2"/>
          </rPr>
          <t>DELL:</t>
        </r>
        <r>
          <rPr>
            <sz val="9"/>
            <color indexed="81"/>
            <rFont val="Tahoma"/>
            <family val="2"/>
          </rPr>
          <t xml:space="preserve">
SE ADICIONA RECUROS DE 2017  $ 1714</t>
        </r>
      </text>
    </comment>
    <comment ref="AD43" authorId="1">
      <text>
        <r>
          <rPr>
            <b/>
            <sz val="9"/>
            <color indexed="81"/>
            <rFont val="Tahoma"/>
            <family val="2"/>
          </rPr>
          <t>DELL:</t>
        </r>
        <r>
          <rPr>
            <sz val="9"/>
            <color indexed="81"/>
            <rFont val="Tahoma"/>
            <family val="2"/>
          </rPr>
          <t xml:space="preserve">
SE ADICIONA RECUROS DE 2017  $ 2057+4286</t>
        </r>
      </text>
    </comment>
  </commentList>
</comments>
</file>

<file path=xl/comments9.xml><?xml version="1.0" encoding="utf-8"?>
<comments xmlns="http://schemas.openxmlformats.org/spreadsheetml/2006/main">
  <authors>
    <author>planeacion_9</author>
    <author>DELL</author>
  </authors>
  <commentList>
    <comment ref="AK14" authorId="0">
      <text>
        <r>
          <rPr>
            <b/>
            <sz val="8"/>
            <color indexed="81"/>
            <rFont val="Tahoma"/>
            <family val="2"/>
          </rPr>
          <t>planeacion_9:</t>
        </r>
        <r>
          <rPr>
            <sz val="8"/>
            <color indexed="81"/>
            <rFont val="Tahoma"/>
            <family val="2"/>
          </rPr>
          <t xml:space="preserve">
EN OBSERVACIONES CARACTERIZAR LA POBLACION
</t>
        </r>
      </text>
    </comment>
    <comment ref="P26" authorId="1">
      <text>
        <r>
          <rPr>
            <b/>
            <sz val="9"/>
            <color indexed="81"/>
            <rFont val="Tahoma"/>
            <family val="2"/>
          </rPr>
          <t>DELL:</t>
        </r>
        <r>
          <rPr>
            <sz val="9"/>
            <color indexed="81"/>
            <rFont val="Tahoma"/>
            <family val="2"/>
          </rPr>
          <t xml:space="preserve">
37500 DE PRECUROS PROPIOS Y 55000 GESTIÓN</t>
        </r>
      </text>
    </comment>
    <comment ref="P27" authorId="1">
      <text>
        <r>
          <rPr>
            <b/>
            <sz val="9"/>
            <color indexed="81"/>
            <rFont val="Tahoma"/>
            <family val="2"/>
          </rPr>
          <t>DELL:</t>
        </r>
        <r>
          <rPr>
            <sz val="9"/>
            <color indexed="81"/>
            <rFont val="Tahoma"/>
            <family val="2"/>
          </rPr>
          <t xml:space="preserve">
13080 RECURSOS PROPIOS Y 7000 DE GESTIÓN</t>
        </r>
      </text>
    </comment>
    <comment ref="M28" authorId="1">
      <text>
        <r>
          <rPr>
            <b/>
            <sz val="9"/>
            <color indexed="81"/>
            <rFont val="Tahoma"/>
            <family val="2"/>
          </rPr>
          <t>DELL:</t>
        </r>
        <r>
          <rPr>
            <sz val="9"/>
            <color indexed="81"/>
            <rFont val="Tahoma"/>
            <family val="2"/>
          </rPr>
          <t xml:space="preserve">
se incrementa en 34 por no ejecución en la vigencia 2018</t>
        </r>
      </text>
    </comment>
    <comment ref="P28" authorId="1">
      <text>
        <r>
          <rPr>
            <b/>
            <sz val="9"/>
            <color indexed="81"/>
            <rFont val="Tahoma"/>
            <family val="2"/>
          </rPr>
          <t>DELL:</t>
        </r>
        <r>
          <rPr>
            <sz val="9"/>
            <color indexed="81"/>
            <rFont val="Tahoma"/>
            <family val="2"/>
          </rPr>
          <t xml:space="preserve">
13080 RECURSOS PROPIOS Y 7000 DE GESTIÓN</t>
        </r>
      </text>
    </comment>
    <comment ref="P29" authorId="1">
      <text>
        <r>
          <rPr>
            <b/>
            <sz val="9"/>
            <color indexed="81"/>
            <rFont val="Tahoma"/>
            <family val="2"/>
          </rPr>
          <t>DELL:</t>
        </r>
        <r>
          <rPr>
            <sz val="9"/>
            <color indexed="81"/>
            <rFont val="Tahoma"/>
            <family val="2"/>
          </rPr>
          <t xml:space="preserve">
56300 RECURSOS PROPUOS Y 56000 DE GESTIÓN</t>
        </r>
      </text>
    </comment>
    <comment ref="P30" authorId="1">
      <text>
        <r>
          <rPr>
            <b/>
            <sz val="9"/>
            <color indexed="81"/>
            <rFont val="Tahoma"/>
            <family val="2"/>
          </rPr>
          <t>DELL:</t>
        </r>
        <r>
          <rPr>
            <sz val="9"/>
            <color indexed="81"/>
            <rFont val="Tahoma"/>
            <family val="2"/>
          </rPr>
          <t xml:space="preserve">
68540 RECURSOS PROPIOS Y 56000 GESTIÓN</t>
        </r>
      </text>
    </comment>
    <comment ref="M31" authorId="1">
      <text>
        <r>
          <rPr>
            <b/>
            <sz val="9"/>
            <color indexed="81"/>
            <rFont val="Tahoma"/>
            <family val="2"/>
          </rPr>
          <t>DELL:</t>
        </r>
        <r>
          <rPr>
            <sz val="9"/>
            <color indexed="81"/>
            <rFont val="Tahoma"/>
            <family val="2"/>
          </rPr>
          <t xml:space="preserve">
se ejecutó en vigencia 2018; por tal motivo no se programa al igual que los recursos</t>
        </r>
      </text>
    </comment>
    <comment ref="Q33" authorId="1">
      <text>
        <r>
          <rPr>
            <b/>
            <sz val="9"/>
            <color indexed="81"/>
            <rFont val="Tahoma"/>
            <family val="2"/>
          </rPr>
          <t>DELL:</t>
        </r>
        <r>
          <rPr>
            <sz val="9"/>
            <color indexed="81"/>
            <rFont val="Tahoma"/>
            <family val="2"/>
          </rPr>
          <t xml:space="preserve">
9000 RECURSOS PROPIOS Y 27000 COOPERACIÓN</t>
        </r>
      </text>
    </comment>
    <comment ref="M34" authorId="1">
      <text>
        <r>
          <rPr>
            <b/>
            <sz val="9"/>
            <color indexed="81"/>
            <rFont val="Tahoma"/>
            <family val="2"/>
          </rPr>
          <t>DELL:</t>
        </r>
        <r>
          <rPr>
            <sz val="9"/>
            <color indexed="81"/>
            <rFont val="Tahoma"/>
            <family val="2"/>
          </rPr>
          <t xml:space="preserve">
no se ha ejecutado nada por tal motivo se reprograman todas para el 2019 que son 16</t>
        </r>
      </text>
    </comment>
    <comment ref="Q34" authorId="1">
      <text>
        <r>
          <rPr>
            <b/>
            <sz val="9"/>
            <color indexed="81"/>
            <rFont val="Tahoma"/>
            <family val="2"/>
          </rPr>
          <t>DELL:</t>
        </r>
        <r>
          <rPr>
            <sz val="9"/>
            <color indexed="81"/>
            <rFont val="Tahoma"/>
            <family val="2"/>
          </rPr>
          <t xml:space="preserve">
34000 COOPERACIÓN </t>
        </r>
      </text>
    </comment>
    <comment ref="Q46" authorId="1">
      <text>
        <r>
          <rPr>
            <b/>
            <sz val="9"/>
            <color indexed="81"/>
            <rFont val="Tahoma"/>
            <family val="2"/>
          </rPr>
          <t>DELL:</t>
        </r>
        <r>
          <rPr>
            <sz val="9"/>
            <color indexed="81"/>
            <rFont val="Tahoma"/>
            <family val="2"/>
          </rPr>
          <t xml:space="preserve">
5000 RECURSOS PROPIOS 20000 PRESUPUESTO NACIÓN</t>
        </r>
      </text>
    </comment>
    <comment ref="Q50" authorId="1">
      <text>
        <r>
          <rPr>
            <b/>
            <sz val="9"/>
            <color indexed="81"/>
            <rFont val="Tahoma"/>
            <family val="2"/>
          </rPr>
          <t>DELL:</t>
        </r>
        <r>
          <rPr>
            <sz val="9"/>
            <color indexed="81"/>
            <rFont val="Tahoma"/>
            <family val="2"/>
          </rPr>
          <t xml:space="preserve">
15000 RECURSOS PROPIOS 21470 COOP</t>
        </r>
      </text>
    </comment>
    <comment ref="Q58" authorId="1">
      <text>
        <r>
          <rPr>
            <b/>
            <sz val="9"/>
            <color indexed="81"/>
            <rFont val="Tahoma"/>
            <family val="2"/>
          </rPr>
          <t>DELL:</t>
        </r>
        <r>
          <rPr>
            <sz val="9"/>
            <color indexed="81"/>
            <rFont val="Tahoma"/>
            <family val="2"/>
          </rPr>
          <t xml:space="preserve">
38400 RECURSOS PROPIOS Y 26000 GESTIÓN</t>
        </r>
      </text>
    </comment>
    <comment ref="Q61" authorId="1">
      <text>
        <r>
          <rPr>
            <b/>
            <sz val="9"/>
            <color indexed="81"/>
            <rFont val="Tahoma"/>
            <family val="2"/>
          </rPr>
          <t>DELL:</t>
        </r>
        <r>
          <rPr>
            <sz val="9"/>
            <color indexed="81"/>
            <rFont val="Tahoma"/>
            <family val="2"/>
          </rPr>
          <t xml:space="preserve">
21168 RECURSOS PROPIOS 28000 GESTIÓN</t>
        </r>
      </text>
    </comment>
    <comment ref="Q62" authorId="1">
      <text>
        <r>
          <rPr>
            <b/>
            <sz val="9"/>
            <color indexed="81"/>
            <rFont val="Tahoma"/>
            <family val="2"/>
          </rPr>
          <t>DELL:</t>
        </r>
        <r>
          <rPr>
            <sz val="9"/>
            <color indexed="81"/>
            <rFont val="Tahoma"/>
            <family val="2"/>
          </rPr>
          <t xml:space="preserve">
35000 GESTIÓN</t>
        </r>
      </text>
    </comment>
    <comment ref="Q63" authorId="1">
      <text>
        <r>
          <rPr>
            <b/>
            <sz val="9"/>
            <color indexed="81"/>
            <rFont val="Tahoma"/>
            <family val="2"/>
          </rPr>
          <t>DELL:</t>
        </r>
        <r>
          <rPr>
            <sz val="9"/>
            <color indexed="81"/>
            <rFont val="Tahoma"/>
            <family val="2"/>
          </rPr>
          <t xml:space="preserve">
COOPERAC INTERNACIONAL 209631</t>
        </r>
      </text>
    </comment>
    <comment ref="Q67" authorId="1">
      <text>
        <r>
          <rPr>
            <b/>
            <sz val="9"/>
            <color indexed="81"/>
            <rFont val="Tahoma"/>
            <family val="2"/>
          </rPr>
          <t>DELL:</t>
        </r>
        <r>
          <rPr>
            <sz val="9"/>
            <color indexed="81"/>
            <rFont val="Tahoma"/>
            <family val="2"/>
          </rPr>
          <t xml:space="preserve">
11130 RECURSOS PROPIOS</t>
        </r>
      </text>
    </comment>
  </commentList>
</comments>
</file>

<file path=xl/sharedStrings.xml><?xml version="1.0" encoding="utf-8"?>
<sst xmlns="http://schemas.openxmlformats.org/spreadsheetml/2006/main" count="15798" uniqueCount="3731">
  <si>
    <t>META DE RESULTADO</t>
  </si>
  <si>
    <t>INDICADOR DE RESULTADO</t>
  </si>
  <si>
    <t>LINEA DE BASE META DE RESULTADO A 2015</t>
  </si>
  <si>
    <t xml:space="preserve">PROGRAMA </t>
  </si>
  <si>
    <t xml:space="preserve">Desarrollo Humano Integral </t>
  </si>
  <si>
    <t xml:space="preserve"> Salud Ambiental</t>
  </si>
  <si>
    <t xml:space="preserve">Implementar   al 100%   Sistema Unificado de Información en Salud Ambiental -SUISA-según directriz Nacional </t>
  </si>
  <si>
    <t>Implementar  al 100%   Programa orientado al suministro del agua apta para consumo humano  de la población, articulando políticas nacionales, tales como la Política Nacional de Agua y Saneamiento para las Zonas Rurales, y la Política Nacional para la Gestión Integral del Recurso Hídrico; y estrategias, tales como la de Producción más Limpia, Educación en Salud Ambiental y Vigilancia Sanitaria</t>
  </si>
  <si>
    <t xml:space="preserve">Atender en un 100%  las emergencias notificadas, inherentes a los componentes ambiente, medicamentos  y zoonosis,  desde las competencias del área salud ambiental. </t>
  </si>
  <si>
    <t>Vida saludable y condiciones no transmisibles</t>
  </si>
  <si>
    <t>Favorecer la reducción a la exposición a los factores de riesgo modificables en todas las etapas del transcurso de vida</t>
  </si>
  <si>
    <t>Incrementar en 5% la frecuencia de uso de los servicios de salud mental.</t>
  </si>
  <si>
    <t>Convivencia Social y Salud Mental</t>
  </si>
  <si>
    <t>Generar espacios que contribuyan al desarrollo de oportunidades y capacidades de la población, la gestión integral de los riesgos asociados, el fortalecimiento y la ampliación de la oferta de servicios institucionales y comunitarios en salud mental para el fortalecimiento de la salud mental, la convivencia y el desarrollo humano y social.</t>
  </si>
  <si>
    <t xml:space="preserve">Reducir  a 13,4 por 100.000 habitantes la tasa de mortalidad por agresiones </t>
  </si>
  <si>
    <t xml:space="preserve">Reducir a 2.6% en niños y niñas menores de 5 años la prevalencia de la DNT Global   </t>
  </si>
  <si>
    <t>Seguridad Alimentaria y Nutricional</t>
  </si>
  <si>
    <t>Propender por la Seguridad Alimentaria y Nutricional SAN de la población colombiana en sus tres componentes a través de la implementación, seguimiento y evaluación de acciones transectoriales, con el fin de asegurar la salud de las personas y el derecho de los consumidores.</t>
  </si>
  <si>
    <t>Reducir  en 2%  el promedio de escolares entre 5 y 12 años con anemia nutricional.</t>
  </si>
  <si>
    <t>Sexualidad Derechos Sexuales y Reproductivos</t>
  </si>
  <si>
    <t>Mejorar la salud sexual y reproductiva mediante la Promoción y garantía las condiciones que permitan el ejercicio pleno y autónomo de la sexualidad en un marco de los derechos sexuales y reproductivos, con enfoque de derechos de género y diferencial</t>
  </si>
  <si>
    <t>Reducir en un  5%  las muertes por TB</t>
  </si>
  <si>
    <t>2,2  muertes por 100,000 habitantes</t>
  </si>
  <si>
    <t xml:space="preserve">Vida saludable y enfermedades  transmisibles  </t>
  </si>
  <si>
    <t xml:space="preserve">Reducir  a una tasa mediana de incidencia menor de 60 casos por 100.000 habitantes.  progresivamente la morbilidad por dengue (10%) a una tasa mediana de incidencia menor de 60 casos por 100.000 habitantes. </t>
  </si>
  <si>
    <t xml:space="preserve">Línea de base: tasa mediana 2003 – 2013 de 67.09 casos por 100.000 </t>
  </si>
  <si>
    <t xml:space="preserve">Reducir en un 20%  progresivamente la morbilidad por malaria en las áreas endémicas del Cauca. (Meta departamental 847 casos en 2012-2021). </t>
  </si>
  <si>
    <t xml:space="preserve">Línea base 2002-2011 = 1.987 casos). </t>
  </si>
  <si>
    <t>Adoptar en un  100%  en la Secretaría de Salud del Cauca  la EGI ETV para los municipios a riesgo para las ETV</t>
  </si>
  <si>
    <t>Fortalecer en el 80% la articulación del Centro Regulador de Urgencias, Emergencias y Desastres del Departamento con el Sistema de Emergencias Medicas Red Publica y Privada.</t>
  </si>
  <si>
    <t>Salud Pública ante Emergencias y Desastres</t>
  </si>
  <si>
    <t xml:space="preserve">Fortalecer en un 100% la Instancia de gestión intersectorial  de la dimensión salud y ámbito laboral, para el cumplimiento de sus dos componentes: Seguridad y Salud en el trabajo y situaciones prevalentes de origen laboral  </t>
  </si>
  <si>
    <t>Salud y ámbito laboral</t>
  </si>
  <si>
    <t>Ampliar la cobertura en el Sistema general de riesgos laborales y Gestionar a nivel intersectorial que las Instituciones públicas del sector salud adopten la dimensión salud y ámbito laboral con sus dos componentes</t>
  </si>
  <si>
    <t>Adoptar en el 100% de las Instituciones públicas del sector salud  la dimensión salud y ámbito laboral con sus dos componentes</t>
  </si>
  <si>
    <t>Gestión diferencial de poblaciones vulnerables</t>
  </si>
  <si>
    <t>Fortalecer en 10 municipios los procesos de  participación social en salud a través de redes de organizaciones sociales que influyen de manera positiva en las políticas públicas orientadas a intervenir los Determinantes Sociales de la Salud</t>
  </si>
  <si>
    <t>Tasas de morbilidad por sarampión, rubéola, síndrome de rubéola congénita y el tétanos neonatal</t>
  </si>
  <si>
    <t>Fortalecimiento de la autoridad sanitaria para la gestión de la salud</t>
  </si>
  <si>
    <t>Lograr que las autoridades sanitarias nacionales y locales recuperen, desarrollen o perfeccionen, sus capacidades básicas  para actuar como planificadores e integradores de las acciones relacionadas con la producción social de la salud.</t>
  </si>
  <si>
    <t>Fortalecer  la red departamental de laboratorios y los bancos de sangre  como apoyo a la gestión de la vigilancia en salud pública.</t>
  </si>
  <si>
    <t xml:space="preserve"> Construir en un 100% el Laboratorio de salud publica </t>
  </si>
  <si>
    <t>Avanzar hacia el aseguramiento universal con sostenibilidad financiera en el 100% de los 42 municipios con el objeto de mejorar en la garantía de la prestación de los servicios de salud a la población caucana por parte de las EPS.</t>
  </si>
  <si>
    <t>Aseguramiento</t>
  </si>
  <si>
    <t>Velar por el acceso al aseguramiento en salud de la población del Departamento del Cauca</t>
  </si>
  <si>
    <t>Brindar  en un 100% de los 42 municipios asistencia técnica en el financiamiento del régimen subsidiado y mejoramiento en acciones de inspección vigilancia y control en el flujo de los recursos.</t>
  </si>
  <si>
    <t>Brindar en un 100% de los 42 municipios asistencia técnica para que realicen vigilancia permanente a las EPS y que estas cumplan con las obligaciones en la prestación de servicios de salud a sus afiliados.</t>
  </si>
  <si>
    <t>Brindar en un 100% de los 42 municipios y EPS asistencia técnica y seguimiento para que cada uno de los actores actualice la BDUA de acuerdo con sus competencias y los plazos establecidos para tal fin, incluyendo la afiliación al régimen subsidiado de la población más vulnerable (PPNA)</t>
  </si>
  <si>
    <t>Prestación de los servicios</t>
  </si>
  <si>
    <t>Garantizar la prestación de los servicios a la PPNA</t>
  </si>
  <si>
    <t xml:space="preserve">Red de Prestación de Servicios </t>
  </si>
  <si>
    <t>Realizar monitoreo, seguimiento y apoyo a la gestión de la operación de la red de prestación de los servicios de salud.</t>
  </si>
  <si>
    <t>Incrementar en un 25% la participación de los usuarios en la presentación de PQR</t>
  </si>
  <si>
    <t>Asesorar en un 100% las ESE y Administraciones municipales  sobre normatividad para la atención a poblaciones especiales.</t>
  </si>
  <si>
    <t>Apoyar en un 100% los  planes de salvaguarda étnica.</t>
  </si>
  <si>
    <t>Revisión del 100% de los Planes de Gestión de los Gerentes de las Empresas Sociales del Estado del Departamento.</t>
  </si>
  <si>
    <t>Sistema Obligatorio de Garantía de la Calidad</t>
  </si>
  <si>
    <t>81.13%</t>
  </si>
  <si>
    <t>Sistema de Vigilancia en salud publica</t>
  </si>
  <si>
    <t xml:space="preserve">Efectuar al 100% seguimiento  al sistema de vigilancia en salud publica </t>
  </si>
  <si>
    <t>Sistema Integrado de Información</t>
  </si>
  <si>
    <t xml:space="preserve">Optimizar en un 80% Plan de mantenimiento preventivo anual que permita optimizar la plataforma tecnológica, en la SDSC  </t>
  </si>
  <si>
    <t>EJE</t>
  </si>
  <si>
    <t xml:space="preserve">COMPONENTE </t>
  </si>
  <si>
    <t>OBJETIVO DEL PROGRAMA</t>
  </si>
  <si>
    <t>META DE PRODUCTO</t>
  </si>
  <si>
    <t>INDICADOR DE PRODUCTO</t>
  </si>
  <si>
    <t>LINEA DE BASE META DE PRODUCTO A 2015</t>
  </si>
  <si>
    <t>Adoptar el 100% la política integral de salud ambiental - PISA-</t>
  </si>
  <si>
    <t>Promover la Salud de las poblaciones que por sus condiciones sociales son vulnerables a Procesos ambientales, mediante la modificación positiva de los determinantes Sociales , sanitarios y ambientales, fortaleciendo la gestión intersectorial y la participación comunitaria y social a nivel local, regional y con ello contribuir al mejoramiento de las condiciones de vida de la población mediante la prevención, vigilancia y control sanitario.</t>
  </si>
  <si>
    <t xml:space="preserve">Efectuar 2 Informes ( semestral) de implementación del  Sistema Unificado de Información en Salud Ambiental -SUISA- según directriz Nacional </t>
  </si>
  <si>
    <t>Adoptar en un 100% La estrategia de gestión integrada de las zoonosis de interés en salud pública.</t>
  </si>
  <si>
    <t>Adoptar en un 100%  la Política Nacional para la Gestión Integral de Sustancias Químicas.</t>
  </si>
  <si>
    <t>Reducir en un 5% la tasa de infección por helicobacter pylori en 8 municipios del Cauca, mediante el cumplimiento de los objetivos propuestos en el estudio "Uso y manejo del agua y su relación con enfermedades emergentes", financiado por el Fondo Nacional de Regalías, a través de los convenios de asociación - ejecución y supervisado por el profesional designado por la SDSC</t>
  </si>
  <si>
    <t>% De la tasa de infección por helicobacter pylori en los municipios objeto del proyecto, evaluado a través de lo previsto en la estructura DNP/FNR para el proyecto reducida.</t>
  </si>
  <si>
    <t>Incrementar en un 5% las coberturas de prevención y detección temprana de las ENT, las alteraciones de la salud bucal, visual, auditiva y comunicativa y sus factores de riesgo.</t>
  </si>
  <si>
    <t>SD</t>
  </si>
  <si>
    <t xml:space="preserve"> 13 - 17 años:  34.9%                                            18 a 64 años: 31.2% </t>
  </si>
  <si>
    <t xml:space="preserve"> Consumo de frutas  de 5 a 64 años: 61,9 %                                                               Consumo de verduras y hortalizas de 5 a 64 años: 27,4%</t>
  </si>
  <si>
    <t>De 11 a 18 años : 9,7%</t>
  </si>
  <si>
    <t>De 11 a 18 años : 37,5%</t>
  </si>
  <si>
    <t>Sedes de Instituciones educativas: 16,7%(430),                                              gestantes :0,                                                     adulto mayor:0</t>
  </si>
  <si>
    <t>Hipertensión 17853 casos ,   Diabetes 4383 casos,               Enfermedad Renal Crónica 490)</t>
  </si>
  <si>
    <t>Aumentar  en un  15.5%  la edad promedio del inicio de consumo de sustancias ilícitas (Psicoactivas)</t>
  </si>
  <si>
    <t>Mantener en menos del 10% la proporción de bajo peso al nacer a termino</t>
  </si>
  <si>
    <t xml:space="preserve">Reducir  en 2% la mortalidad infantil evitable por desnutrición en forma progresiva en niños menores de 5 años </t>
  </si>
  <si>
    <t>5,3 %</t>
  </si>
  <si>
    <t xml:space="preserve">Mantener en  4   meses la duración de la mediana de la lactancia materna exclusiva </t>
  </si>
  <si>
    <t xml:space="preserve">Disminuir en un 5%   las enfermedades transmitidas por alimentos </t>
  </si>
  <si>
    <t>%  De   las enfermedades transmitidas por alimentos (incidencia) disminuidas.</t>
  </si>
  <si>
    <t>Ejecutar  en un  40%  las acciones de IVC de alimentos   bajo el Enfoque  de riesgo</t>
  </si>
  <si>
    <t>Disminuir a 72X100.000 nacidos vivos la Razón de mortalidad materna evitable  anuales en el departamento</t>
  </si>
  <si>
    <t>Razón de Mortalidad materna disminuida.</t>
  </si>
  <si>
    <t>75 x 100.000 N.V.  (2015)</t>
  </si>
  <si>
    <t>Disminuir a 61 por 1.000 la tasa específica de fecundidad en mujeres adolescentes de 15 a 19 años.</t>
  </si>
  <si>
    <t>Tasa especifica de fecundidad disminuida.</t>
  </si>
  <si>
    <t xml:space="preserve"> 73,74</t>
  </si>
  <si>
    <t>Aumentar a 80% el uso de métodos modernos de anticoncepción en mujeres en edad fértil (de 15 a 49 años).</t>
  </si>
  <si>
    <t>% De  mujeres en edad fértil (de 15 a 49 años), que usan métodos de anticoncepción modernos.</t>
  </si>
  <si>
    <t>Mantener la prevalencia de infección por VIH en menos de 1% en población de 15 a 49 años</t>
  </si>
  <si>
    <t xml:space="preserve">% De Prevalencia de infección por VIH  en población de 15 a 49 años </t>
  </si>
  <si>
    <t xml:space="preserve"> 0,06%</t>
  </si>
  <si>
    <t>Implementar acciones en los 21  municipios para mantener la prevalencia de infección por VIH en menos de 1% en población de 15 a 49 años</t>
  </si>
  <si>
    <t>Mantener  en el 7%  la transmisión materno infantil del VIH, sobre el número de niños expuestos.</t>
  </si>
  <si>
    <t>% De  la transmisión materno infantil del VIH, sobre el número de niños expuestos.</t>
  </si>
  <si>
    <t>Mantener en 3.14  casos por x 1.000  nacidos vivos o menos, incluidos los mortinatos,   la incidencia de sífilis congénita.</t>
  </si>
  <si>
    <t>Tasa de incidencia de sífilis congénita mantenida.</t>
  </si>
  <si>
    <t xml:space="preserve"> 3,14</t>
  </si>
  <si>
    <t>Mantener la cobertura de tamización de Cáncer de Cuello Uterino (citología) en el 76% de la población objeto (mujeres entre los 25 a 69 años)</t>
  </si>
  <si>
    <t xml:space="preserve">Cobertura de tamización con citología </t>
  </si>
  <si>
    <t>Implementar en un 80% en las IPS publicas, privadas e indígenas, el protocolo de atención integral en salud para victimas violencia sexual</t>
  </si>
  <si>
    <t>%  De las IPS publicas, privadas e indígenas del  protocolo de atención integral en salud para victimas violencia sexual implementado.</t>
  </si>
  <si>
    <t xml:space="preserve"> Incrementar en  un 30 % de los municipios    espacios transectoriales y comunitarios en donde se coordine la promoción y garantía de los derechos sexuales y reproductivos así mismo una mesa departamental de promoción de los derechos sexuales y reproductivos</t>
  </si>
  <si>
    <t xml:space="preserve">  % De   municipios  con  espacios transectoriales y comunitarios en donde se coordine la promoción y garantía de los derechos sexuales y reproductivos así mismo una mesa departamental de promoción de los derechos sexuales y reproductivos incrementados.</t>
  </si>
  <si>
    <t>Conformar en 14 municipios un espacio transectorial y comunitario que coordine la promoción y garantía de los derechos sexuales y reproductivos y  una mesa de promoción de los derechos sexuales y reproductivos</t>
  </si>
  <si>
    <t>Mantener la tasa de violencia sexual  en 37,1  y de violencia intrafamiliar en 65,1</t>
  </si>
  <si>
    <t>Tasa de violencia sexual y de violencia intrafamiliar mantenida</t>
  </si>
  <si>
    <t>37.1 y 65.1</t>
  </si>
  <si>
    <t>Tasa de mortalidad por cáncer de cuello uterino reducida.</t>
  </si>
  <si>
    <t xml:space="preserve">4.4 X 100.000 mujeres </t>
  </si>
  <si>
    <t>13.066 mujeres año 1 y 2 ( 2014-2015)</t>
  </si>
  <si>
    <t>% De  las muertes por TB reducidas.</t>
  </si>
  <si>
    <t>Contribuir a la reducción de la carga de las Enfermedades Transmitidas por Vectores ETV (Malaria, Dengue, Leishmaniasis, Enfermedad de Chagas), producto de su discapacidad, mortalidad y morbilidad, que afecta a la población colombiana, a través de la implementación, monitoreo, evaluación y seguimiento de la estrategia de gestión integral para las ETV, así mismo como Reducir la carga de enfermedades transmitidas por vía aérea y de contacto directo, como la Tuberculosis, Enfermedad de Hansen, mediante acciones promocionales, gestión del riesgo y acciones intersectoriales basado en el modelo integral en salud. (captación 60%,deteccion 30% y  lograr  un éxito terapéutico del  85%)</t>
  </si>
  <si>
    <t>Captar el  60% de sintomáticos respiratorios reales</t>
  </si>
  <si>
    <t xml:space="preserve">lograr  un éxito terapéutico del  85% de personas con enfermedad de tuberculosis </t>
  </si>
  <si>
    <t>No  De casos de discapacidad severa por  lepra disminuidos.</t>
  </si>
  <si>
    <t>0,15 casos de discapacidad severa por lepra por 100,000 habitantes</t>
  </si>
  <si>
    <t>% De  la morbilidad por dengue reducida.</t>
  </si>
  <si>
    <t>% De  la morbilidad por malaria reducida.</t>
  </si>
  <si>
    <t>%   En la Secretaría de Salud del Cauca  de  la EGI ETV para los municipios a riesgo para las ETV adoptada.</t>
  </si>
  <si>
    <t>Alcanzar el 95% o mas de cobertura en los biológicos que hacen parte del esquema nacional</t>
  </si>
  <si>
    <t>%De cobertura de vacunación en menores de 1 año alcanzada</t>
  </si>
  <si>
    <t>% De cobertura de vacunación en menores de 1 año alcanzada.</t>
  </si>
  <si>
    <t>92.1%</t>
  </si>
  <si>
    <t xml:space="preserve">Mantener en ceros los casos de  poliomielitis, sarampión, rubéola, síndrome de rubéola congénita y el tétanos neonatal </t>
  </si>
  <si>
    <t>No. de casos de poliomielitis  sarampión, rubéola, síndrome de rubéola congénita y el tétanos neonatal  mantenidos.</t>
  </si>
  <si>
    <t>Controlar la incidencia de casos de fiebre amarilla, difteria, tosferina, tuberculosis meníngea, hepatitis A y B, neumococo, hemophilus influenza tipo B, diarreas por rotavirus, parotiditis e influenza</t>
  </si>
  <si>
    <t>% De incidencia de  Casos  de fiebre amarilla, difteria, tosferina, tuberculosis meníngea, hepatitis A y B, neumococo, hemophilus influenza tipo B, diarreas por rotavirus, parotiditis e influenza controlados</t>
  </si>
  <si>
    <t xml:space="preserve">Tasas de morbilidad por fiebre amarilla, difteria, tosferina, tuberculosis meníngea, hepatitis A y B, neumococo, haemophillus influenza tipo B, diarreas por rotavirus, parotiditis e influenza </t>
  </si>
  <si>
    <t>0,08</t>
  </si>
  <si>
    <t>Disminuir la tasa de  mortalidad por  IRA en niños menores de 5 años.</t>
  </si>
  <si>
    <t>Tasa de mortalidad por 100.000 menores de 5 años disminuida.</t>
  </si>
  <si>
    <t>10.6 muertes por cada a 100.000 menores de 5 años</t>
  </si>
  <si>
    <t>Mantener en 4.5 la tasa de mortalidad por Neumonía en menores de 5 años en 4,5 por 100000 menores de 5 años.</t>
  </si>
  <si>
    <t>Tasa de mortalidad por neumonía en menores de 5 años mantenida.</t>
  </si>
  <si>
    <t xml:space="preserve">4,5 </t>
  </si>
  <si>
    <t>Implementar en 37  municipios el componente comunitario  para la prevención y cuidado de los casos de IRA en el contexto de AIEPI. Difusión de los tres mensajes claves.</t>
  </si>
  <si>
    <t xml:space="preserve">Implementar en 16 municipios la modalidad sala ERA </t>
  </si>
  <si>
    <t>Implementar en los 42 municipios el programa nacional de prevención, manejo y control de la infección respiratoria aguda (IRA) en menores de 5 años en articulación con EPS, Secretarias de Salud Municipal y ESE del Departamento. (Tasa de mortalidad por IRA 10.6 por cada 100.000 menores de 5 años)</t>
  </si>
  <si>
    <t>Reducir la mortalidad por enfermedades inmunoprevenibles en menores de 5 años.</t>
  </si>
  <si>
    <t>% De la  mortalidad por enfermedades inmunoprevenibles en menores de 5 años reducida.</t>
  </si>
  <si>
    <t>Mantener en cero los casos de PFA en menores de 15 años en el cuatrienio</t>
  </si>
  <si>
    <t>Reducir la morbilidad por enfermedades desatendidas</t>
  </si>
  <si>
    <t>% De  la  morbilidad por enfermedades  desentendidas reducidas.</t>
  </si>
  <si>
    <t>Implementar en 10 municipios el plan  integral e interprogramático  para la prevención, control y eliminación de las enfermedades infecciosas desatendidas</t>
  </si>
  <si>
    <t>% De articulación del Centro Regulador de Urgencias, Emergencias y Desastres del Departamento fortalecido.</t>
  </si>
  <si>
    <t>Asesorar al 100% de la Red Hospitalaria del Departamento del Cauca  en la identificación de riesgos, vulnerabilidad y amenazas ante eventos adversos antrópicos e inotrópicos y enfermedades de interés en salud publica, acompañamiento y asesoría en la verificación de Índice de Seguridad Hospitalaria</t>
  </si>
  <si>
    <t>Efectuar en el 100 % de la Red Publica   el levantamiento del  Índice de Seguridad Hospitalaria.</t>
  </si>
  <si>
    <t>Capacitar en 100% las  Secretarias De Salud Municipales y  Comités Municipales de Gestión del Riesgo   en planes preventivos de mitigación y superación de las emergencias y desastres que queden inmersos dentro de los Planes de Ordenamiento Territorial</t>
  </si>
  <si>
    <t>Articular en el 100% el Centro Regulador de Urgencias y Emergencias CRUE  con la Red Nacional de Bancos de Sangre y Servicios Transfusionales.</t>
  </si>
  <si>
    <t>Capacitar en un 100% el  Personal Sanitario de la Red Publica y Privada del Departamento del Cauca con verificación, control, seguimiento, autorización  del uso del emblema de Misión Medica  para la ejecución de las actividades y atención integral de la salud.</t>
  </si>
  <si>
    <t>Reubicación en un 100% del Centro Regulador de Urgencias y Emergencias  en cumplimiento a la normatividad vigente.</t>
  </si>
  <si>
    <t>% De instituciones públicas del sector salud que adoptan la dimensión salud y ámbito laboral con sus dos componentes fortalecidos.</t>
  </si>
  <si>
    <t xml:space="preserve">Incrementar  en un  5% la cobertura del sistema general de riesgos profesionales </t>
  </si>
  <si>
    <t>% De  la cobertura en riesgos profesionales comparada con el periodo anterior incrementada.</t>
  </si>
  <si>
    <t xml:space="preserve">Implementar  en 32  municipios acciones de sensibilización y de gestión en salud publica para la mitigación de riesgos laborales de la población informal </t>
  </si>
  <si>
    <t>Fortalecer en un 50% las estrategias de Información , Educación y Comunicación con inclusión de toda la comunidad</t>
  </si>
  <si>
    <t>% De  las estrategias de Información , Educación y Comunicación con inclusión de toda la comunidad fortalecidas.</t>
  </si>
  <si>
    <t>Fomentar el desarrollo de capacidades socio institucionales y comunitaria para atender los determinantes particulares que conllevan a inequidades sociales y sanitarias en poblaciones diferenciales y vulnerables.</t>
  </si>
  <si>
    <t>Implementar en un 45%  de municipios la estrategia de Rehabilitación Basada en Comunidad RBC, como un proceso de desarrollo local inclusivo, de carácter intersectorial</t>
  </si>
  <si>
    <t>Mantener en un 100%  la cobertura  de Secretarías de Salud  Municipales   y  ESE con  implementación de procesos de IEC para las dimensiones priorizadas</t>
  </si>
  <si>
    <t>Difundir en 10 municipios  mensajes saludables con enfoque diferencial</t>
  </si>
  <si>
    <t>16 municipios con comités definidos por decreto 1757 de 1994 conformados</t>
  </si>
  <si>
    <t>Lograr que mas del 60% de las poblaciones especiales y victimas tengan  acceso a la atención en salud con adecuación intercultural.</t>
  </si>
  <si>
    <t>% De poblaciones especiales y victimas con acceso a prestación de servicios de salud.</t>
  </si>
  <si>
    <t>Fortalecer en  21 municipios sus capacidades de oferta institucional para brindar servicios de atención integral y psicosocial.</t>
  </si>
  <si>
    <t xml:space="preserve">Garantizar en 34  municipios el acceso a los servicios de salud de la población víctima del conflicto armado </t>
  </si>
  <si>
    <t>Mantener en cero los casos de poliomelitis  en menores de 15 años .</t>
  </si>
  <si>
    <t>Incrementar en  80%  de las  ESE de baja complejidad  programas y políticas de la primera infancia, infancia  y adolescencia; tomando en cuenta la estructura de la Política de Atención Integral en Salud (PAIS) y el Modelo de Atención Integral en Salud (MIAS)</t>
  </si>
  <si>
    <t>Mantener en los 42 municipios acciones   para disminuir la tasa de mortalidad por EDA   en menores de 5 años.</t>
  </si>
  <si>
    <t>Mantener en los 42 municipios acciones   para disminuir la tasa de mortalidad por IRA   en menores de 5 años.</t>
  </si>
  <si>
    <t xml:space="preserve">Fortalecer en el 100%  de las administraciones municipales, IPS y EPS RS-RC y Regímenes especiales con procesos de gestión de las acciones de salud publica individuales y colectivas </t>
  </si>
  <si>
    <t>% De administraciones municipales, IPS y EPS RS-RC y Regímenes especiales con procesos de gestión de las acciones de salud publica individuales y colectivas fortalecidas.</t>
  </si>
  <si>
    <t>Mantener  en el  100% de las EPS,  administraciones municipales e IPS   asistencia técnica, inspección, vigilancia para el fortalecimiento de la gestión de las acciones de salud pública del departamento.</t>
  </si>
  <si>
    <t>Desarrollar  3  modelos de atención integrados en salud con base en la estrategia de atención primaria .</t>
  </si>
  <si>
    <t>No De  modelos   de atención integrados en salud con base en la estrategia de atención primaria  desarrollados.</t>
  </si>
  <si>
    <t>Desarrollar en un  50% de las EPS, ESE Y  administraciones municipales e IPS  acciones concertadas de gestión en salud publica para el desarrollo de modelos integrados e integrales en APS.</t>
  </si>
  <si>
    <t>Fortalecer en el 100%  de las administraciones municipales Y ESE,  procesos priorizados del Plan de Intervenciones Colectivas  y de  gestión de las acciones de salud publica de las dimensiones del Plan decenal.</t>
  </si>
  <si>
    <t>% De administraciones municipales Y ESE con  procesos priorizados del Plan de Intervenciones Colectivas  y de  gestión de las acciones de salud publica de las dimensiones del Plan decenal  fortalecidos.</t>
  </si>
  <si>
    <t xml:space="preserve">Desarrollar en un  100% de las  administraciones municipales y ESE  asistencia técnica para la Gestión en Salud Publica y para el desarrollo de los planes de intervenciones colectivas priorizados en su territorio. </t>
  </si>
  <si>
    <t>Lograr que en el 100% de los servicios farmacéuticos de mediana y alta complejidad ubicados en el departamento del Cauca, implementen y ejecuten el sistema de distribución de medicamentos en dosis unitaria.</t>
  </si>
  <si>
    <t>% De servicios farmacéuticos de mediana y alta complejidad con implementación y ejecución del sistema de distribución de medicamentos en dosis unitaria.</t>
  </si>
  <si>
    <t>Ejercer las acciones de inspección, vigilancia y control a servicios farmacéuticos de IPS de mediana y alta complejidad..</t>
  </si>
  <si>
    <t>Garantizar en un 100% los servicios farmacéuticos de mediana y alta complejidad de las IPS con implementación y ejecución del sistema de distribución de medicamentos en dosis unitaria.</t>
  </si>
  <si>
    <t>Lograr el 100% del suministro a la población del departamento del Cauca, de medicamentos de control especial monopolio del estado.</t>
  </si>
  <si>
    <t>% De medicamentos de control especial suministrados a usuarios y establecimientos y servicios farmacéuticos inscritos ante el Fondo Rotatorio de Estupefacientes.</t>
  </si>
  <si>
    <t>Ejercer seguimiento y control de la disponibilidad de medicamentos de control especial en el Fondo Rotatorio de Estupefacientes del Cauca.</t>
  </si>
  <si>
    <t>Suministrar el 100% de los medicamentos de control especial monopolio del estado a la población del departamento del Cauca, para el tratamiento de las patologías indicadas.</t>
  </si>
  <si>
    <t>Cumplir en el  100%  el funcionamiento de la red  departamental  de bancos Sangre acorde a  los estándares de calidad.</t>
  </si>
  <si>
    <t>% De la red  departamental  de bancos Sangre funcionando  con los estándares de calidad cumplidos.</t>
  </si>
  <si>
    <t xml:space="preserve">Efectuar  en un  100% de la red departamental de bancos de sangre visitas de asistencia técnica para el fortalecimiento  y apoyo en la hemovigilancia </t>
  </si>
  <si>
    <t>Cumplir en el 80% la participación de la red departamental de laboratorios  con la participación  de los programas de la evaluación del desempeño.</t>
  </si>
  <si>
    <t>% De la red  departamental de laboratorios  con  participación  de los programas de la evaluación del desempeño cumplidos.</t>
  </si>
  <si>
    <t>Adecuar en el 100% la infraestructura del laboratorio de salud pública  adecuada a los estándares de calidad</t>
  </si>
  <si>
    <t>% Del laboratorio de salud pública con infraestructura  y  estándares de calidad adecuados.</t>
  </si>
  <si>
    <t>Acreditar en un 50%  en calidad  los ensayos realizados en el Laboratorio de salud pública</t>
  </si>
  <si>
    <t>% De calidad de los ensayos realizados en el Laboratorio de salud pública acreditados.</t>
  </si>
  <si>
    <t>Realizar en un  50%  parámetros analíticos  en el laboratorio de salud publica acreditadas por organismo nacional de acreditación</t>
  </si>
  <si>
    <t>% De municipios con asistencia técnica en flujo de recursos, vigilancia a la garantía en la prestación de servicios de salud y actualización en BDUA</t>
  </si>
  <si>
    <t>Lograr en un 100%  cobertura de la prestación de servicios en la PPNA y tecnologías y servicios NO POS al régimen subsidiado</t>
  </si>
  <si>
    <t>% De  la prestación de servicios en la PPNA y tecnologías y servicios NO POS al régimen subsidiado con cobertura lograda.</t>
  </si>
  <si>
    <t xml:space="preserve">Mantener en el 100%  la población asegurada con servicios NO POS            </t>
  </si>
  <si>
    <t>Mantener en el 100%  la población pobre no asegurada (PPNA) cubierta con servicios POS</t>
  </si>
  <si>
    <t>Tramitar en el  100%  la facturación por servicios de salud prestados a la población pobre no afiliada y en los eventos NO POS  dentro de los términos establecidos por la norma vigente</t>
  </si>
  <si>
    <t xml:space="preserve">Auditar en el 100%  la facturación por servicios de salud prestados a la población pobre no afiliada y en los eventos NO POS      </t>
  </si>
  <si>
    <t>Lograr que el 21% de las ESE  sean  Instituciones constructoras de paz.</t>
  </si>
  <si>
    <t>% De las ESE del Departamento del Cauca convertidas en Instituciones constructoras de paz.</t>
  </si>
  <si>
    <t xml:space="preserve">Trabajar en  4  ESE   una estrategia piloto de atención integral en salud, en el marco del post conflicto, con capacidad para el desarrollo de la oferta de servicios en términos de calidad, acceso y oportunidad.
</t>
  </si>
  <si>
    <t>Mejorar en un 15% la oportunidad y resolutividad de  las ESE en consulta medica especializada.</t>
  </si>
  <si>
    <t>Asesorar en un 100%  las  ESE de la Costa Pacifica y Bota Caucana con demanda de servicios de Telemedicina, para su implementación.</t>
  </si>
  <si>
    <t>Optimizar en un 60%  en las ESE     las condiciones en   infraestructura y dotación, para prestar un  mejor  servicio de salud.</t>
  </si>
  <si>
    <t>% De ESE  con condiciones en  infraestructura y dotación, para prestar un  mejor servicio de salud optimizado.</t>
  </si>
  <si>
    <t>Efectuar en el 100% en  las ESE   visitas de verificación de ejecución del plan de mantenimiento hospitalario.</t>
  </si>
  <si>
    <t>Efectuar en un 100% en  las  ESE del Departamento del Cauca, asesorías y asistencias técnicas en la formulación y ejecución de proyectos de infraestructura y dotación hospitalaria</t>
  </si>
  <si>
    <t>Mejorar en un 15%  la satisfacción del usuario frente al sistema de seguridad social en salud</t>
  </si>
  <si>
    <t>% De  la satisfacción del usuario frente al sistema de seguridad social en salud mejorado.</t>
  </si>
  <si>
    <t>Recepcionar en un 100%  las Peticiones, Quejas y Reclamos frente a la atención en salud,  en el SAC, tramitadas ,gestionadas favorablemente</t>
  </si>
  <si>
    <t>Viabilizar en un  100% las  ESE financieramente y con cumplimiento de indicadores de calidad en la prestación del servicio de salud</t>
  </si>
  <si>
    <t>% De ESE   financieramente y con cumplimiento de indicadores de calidad en la prestación del servicio de salud viables.</t>
  </si>
  <si>
    <t>Entregar en un 100% por parte  de las ESE del Departamento, Información del Decreto 2193 de 2004, enviado al MSPS en los periodos establecidos: Trimestral, Semestral y Anual.</t>
  </si>
  <si>
    <t xml:space="preserve">Formular en un 100%  los presupuestos formulados para la vigencia siguiente con revisión y asistencia técnica para su aprobación </t>
  </si>
  <si>
    <t xml:space="preserve">Brindar  en el 100 % en  las entidades prestadoras de Servicios de Salud asistencia técnica individual o colectiva para los componentes del SOGC: PAMEC, SIC, SUH </t>
  </si>
  <si>
    <t>% De entidades prestadoras de servicios de salud, con asistencia técnica individual o colectiva para los componentes del SOGC: PAMEC, SIC, SUH  brindada.</t>
  </si>
  <si>
    <t>Verificar el cumplimiento de las condiciones para la habilitación y ejercer las acciones de inspección, vigilancia y control a las IPS.</t>
  </si>
  <si>
    <t xml:space="preserve">Convocar en un 100%  los actores del Sistema General de Seguridad Social en Salud para recibir asesoría y asistencia técnica individual y colectiva en la temática priorizada del Sistema Obligatorio de Garantía de Calidad - SOGC, en Sistema de Información para la Calidad - SIC y en la formulación e implementación del Plan de Auditoría para el Mejoramiento de la Calidad de la atención en Salud - PAMEC </t>
  </si>
  <si>
    <t>Inscribir al 100 % de las entidades prestadoras de Servicios de Salud  en el REPS</t>
  </si>
  <si>
    <t>% De entidades prestadoras de servicios de salud  en el Registro Especial de prestadores de servicios de salud - REPS inscritas.</t>
  </si>
  <si>
    <t>Inscribir en un 100% los prestadores activos de servicios de salud del Departamento en la base de datos del Registro Especial de Prestadores de Servicios de Salud- REPS</t>
  </si>
  <si>
    <t>Visitar en el 100%  las IPS nuevas y las que oferten servicios de urgencias, alta complejidad, obstetricia, transporte especial de pacientes y oncológicas  para poder activarse su habilitación</t>
  </si>
  <si>
    <t>% De IPS nuevas, de alta complejidad, que oferten servicios de urgencias, obstetricia, oncología y transporte especial de pacientes para poder funcionar visitadas.</t>
  </si>
  <si>
    <t>Visitar en un 100%  los nuevos prestadores de servicios de salud del Departamento que ofrecen servicios de urgencias, obstetricia, Transporte especial, servicios de alta complejidad e IPS nuevas con  verificación previa de estándares de habilitación.</t>
  </si>
  <si>
    <t>Inscribir en el 100%  las IPS  en el REPS  y así mismo  recibir visita de certificación de habilitación por lo menos una vez cada 4 años. El 25% de las IPS inscritas en el REPS deberán ser visitadas en un año</t>
  </si>
  <si>
    <t>% De   las IPS  en el REPS  y así mismo  recibir visita de certificación de habilitación por lo menos una vez cada 4 años. El 25% de las IPS inscritas en el REPS deberán ser visitadas en un año inscritas.</t>
  </si>
  <si>
    <t>Lograr que el 100% de  los prestadores de servicios de seguridad y salud en el trabajo tengan licencia de funcionamiento</t>
  </si>
  <si>
    <t>% De  prestadores de servicios de Seguridad y salud en el trabajo con  licencia de funcionamiento</t>
  </si>
  <si>
    <t>Tener en un 100%  los prestadores de servicios de Seguridad y salud en el trabajo con licencia de funcionamiento</t>
  </si>
  <si>
    <t>Realizar el 100% de visitas de verificación de las condiciones de habilitación del servicio de Medicina del Trabajo y Medicina Laboral de las empresas prestadoras de servicios de salud y profesionales independientes que ofertan los servicios del componente de seguridad y salud en el trabajo</t>
  </si>
  <si>
    <t>% De entidades y profesionales independientes que ofrecen servicios de seguridad y salud en el trabajo con visitas de verificación.</t>
  </si>
  <si>
    <t>Visitar en un  100%   los prestadores de servicios de Seguridad y Salud en el trabajo  para verificar estándares de habilitación</t>
  </si>
  <si>
    <t>Mejorar en un 50% la eficiencia en el Sistema Integral de Gestión de la Calidad de la Secretaría de Salud del Cauca</t>
  </si>
  <si>
    <t>% De  la eficiencia del Sistema Integral de Gestión de la Calidad de la Secretaría Departamental de Salud   medida mediante la aplicación de procesos estructurados mejorada.</t>
  </si>
  <si>
    <t xml:space="preserve">Fortalecer en un 50% los procesos de la Gestión administrativa de la Secretaria de salud  mediante la construcción o ajuste de procesos </t>
  </si>
  <si>
    <t>Operar en un 90% en  el Departamento  el  sistema de Vigilancia en Salud Publica integrado a los sistemas de información, inspección, vigilancia y control sanitario en coordinación con las entidades territoriales , las aseguradoras, los prestadores de servicios de salud y organismos de control.</t>
  </si>
  <si>
    <t>%  Del Sistema de Vigilancia funcionando y operando .</t>
  </si>
  <si>
    <t>Vigilar la presencia y ausencia de los eventos de Interés en Salud Publica</t>
  </si>
  <si>
    <t>Vigilar en 100 % los  eventos de interés en salud publica.</t>
  </si>
  <si>
    <t xml:space="preserve">% De eventos de interés en salud publica vigilados </t>
  </si>
  <si>
    <t xml:space="preserve">Lograr que el 95% de los eventos de intereses en salud publica sean vigilados    </t>
  </si>
  <si>
    <t xml:space="preserve">Fortalecer  en un 85 % el proceso de Sistemas de Información de la Secretaria de Salud Departamental </t>
  </si>
  <si>
    <t>% Del proceso de Sistemas de Información de la Secretaria de Salud Departamental Fortalecido.</t>
  </si>
  <si>
    <t>Apoyar técnicamente el Sistema Integrado de Información en Salud como herramienta de planificación, organización y toma de decisiones con el fin de recolectar, procesar, analizar y difundir la información en Salud.</t>
  </si>
  <si>
    <t>Formular en un 100%  un proyecto para el fortalecimiento, implementación y administración de herramientas de gestión de información en salud.</t>
  </si>
  <si>
    <t>Capacitar en un  85 %  los municipios en el acceso y consulta a la bodega de datos del SISPRO (Sistema de Información de la protección Social) como fuente única de información en salud</t>
  </si>
  <si>
    <t>Reportar en un 100% de IPS que  hechos vitales (Nacimientos y Defunciones) y la academia  en el proceso de  estadísticas vitales con  asistencia técnica.</t>
  </si>
  <si>
    <t>Porcentaje de  la Política Integral de Salud Ambiental  PISA adoptada.</t>
  </si>
  <si>
    <t>Asistir técnicamente a los 42 municipios para la adopción de la Política  Integral  de Salud Ambiental - PISA</t>
  </si>
  <si>
    <t>Número de municipios asistidos técnicamente para la adopción de la Política  Integral  de Salud Ambiental - PISA</t>
  </si>
  <si>
    <t>Porcentaje del  Sistema Unificado de Información en salud Ambiental SUISA implementado.</t>
  </si>
  <si>
    <t>Adoptar en el 100% de la Política Departamental de Salud Ambiental en el  Área Salud Ambiental en el marco de la Política  Integral  de Salud Ambiental - PISA según directrices nacionales</t>
  </si>
  <si>
    <t>Porcentaje  de  la Política Departamental de Salud Ambiental en el marco de la Política  Integral  de Salud Ambiental - PISA según directrices nacionales adoptada</t>
  </si>
  <si>
    <t xml:space="preserve">Capacitar al 100%   técnicos y auxiliares en el área de la salud  para la implementación del Sistema Unificado de Información en Salud Ambiental -SUISA- directriz Nacional </t>
  </si>
  <si>
    <t xml:space="preserve">Porcentaje de técnicos y auxiliares en el área de la salud capacitados   para la implementación del Sistema Unificado de Información en Salud Ambiental -SUISA- directriz Nacional </t>
  </si>
  <si>
    <t>Número de informes de implementación del  Sistema Unificado de Información en Salud Ambiental -SUISA- según directriz Nacional efectuados</t>
  </si>
  <si>
    <t>Porcentaje del  programa  orientado al  suministro del agua apta para consumo humano para  la población,  articulando políticas nacionales implementado.</t>
  </si>
  <si>
    <t>Porcentaje de  la  estrategia de gestión integrada de las zoonosis de interés en salud pública adoptada.</t>
  </si>
  <si>
    <t xml:space="preserve">Lograr el  80%  de cobertura de vacunación antirrábica en caninos y felinos </t>
  </si>
  <si>
    <t xml:space="preserve">Porcentaje de Cobertura de vacunación antirrábica en caninos y felinos logrado
   </t>
  </si>
  <si>
    <t>Porcentaje de emergencias notificadas, inherentes a los componentes ambiente, medicamentos  y zoonosis atendidas.</t>
  </si>
  <si>
    <t xml:space="preserve">Porcentaje de las emergencias notificadas, inherentes a los componentes ambiente, medicamentos  y zoonosis,  desde las competencias del área salud ambiental atendidas </t>
  </si>
  <si>
    <t>Porcentaje de la Política Nacional para la Gestión Integral de Sustancias Químicas adoptada.</t>
  </si>
  <si>
    <t>Brindar asistencia técnica a los 42 municipios en la Política Nacional para la Gestión Integral de Sustancias Químicas</t>
  </si>
  <si>
    <t xml:space="preserve">Número de municipios que en la Política Nacional para la Gestión Integral de Sustancias Químicas se les brinda asistencia técnica </t>
  </si>
  <si>
    <t>Tamizar 13.000  personas en condición de vulnerabilidad de adquirir helicobacter pylori  a través de pruebas moleculares en ocho municipios del departamento</t>
  </si>
  <si>
    <t xml:space="preserve">Número de personas en condición de vulnerabilidad de adquirir helicobacter pylori  a través de pruebas moleculares en ocho municipios del departamento tamizadas </t>
  </si>
  <si>
    <t>Porcentaje de  las coberturas de prevención y detección temprana de las ENT, las alteraciones de la salud bucal, visual, auditiva y comunicativa y sus factores de riesgo incrementadas.</t>
  </si>
  <si>
    <t>Aumentar en 0.5% de personas de 13 a 64 años la práctica de actividad física (enmarcado en la aplicación de la estrategia 4*4 ampliada)</t>
  </si>
  <si>
    <t xml:space="preserve">Porcentaje de personas de 13 a 64 años con la práctica de actividad física aumentada (enmarcado en la aplicación de la estrategia 4*4 ampliada) </t>
  </si>
  <si>
    <t>Aumentar en un 0,5% en personas de 5 a 64 años el consumo de frutas y verduras (enmarcado en la aplicación de la estrategia 4*4 ampliada)</t>
  </si>
  <si>
    <t>Porcentaje de personas de 5 a 64 años que aumentan el consumo de frutas y verduras  (enmarcado en la aplicación de la estrategia 4*4 ampliada)</t>
  </si>
  <si>
    <t>Reducir en 0,3% del uso de tabaco en  edades de 11  a 18 años (enmarcado en la aplicación de la estrategia 4*4 ampliada)</t>
  </si>
  <si>
    <t>Porcentaje de reducción del uso de tabaco en  edades de 11  a 18 años (enmarcado en la aplicación de la estrategia 4*4 ampliada)</t>
  </si>
  <si>
    <t>Reducir en 0,3% el consumo de alcohol en edades 11 a 18 años (enmarcado en la aplicación de la estrategia 4*4 ampliada)</t>
  </si>
  <si>
    <t>Porcentaje de reducción del consumo de alcohol en edades 11 a 18 años (enmarcado en la aplicación de la estrategia 4*4 ampliada)</t>
  </si>
  <si>
    <t>Aumentar en un  20% el número de municipios con implementación de la estrategia visión 20/20 (enmarcado en la aplicación de la estrategia 4*4 ampliada)</t>
  </si>
  <si>
    <t>Porcentaje aumentado de municipios con implementación de la estrategia visión 20/20 (enmarcado en la aplicación de la estrategia 4*4 ampliada)</t>
  </si>
  <si>
    <t>Implementar en 20% de  los municipios la estrategia "somos todo oídos" (enmarcado en la aplicación de la estrategia 4*4 ampliada)</t>
  </si>
  <si>
    <t xml:space="preserve">Porcentaje de  los municipios la estrategia "somos todo oídos" implementada (enmarcado en la aplicación de la estrategia 4*4 ampliada) </t>
  </si>
  <si>
    <t>Aumentar en un 30 % la cobertura de actividades de autocuidado en salud bucal en sedes de  instituciones educativas, (10% gestantes y adulto mayor, enmarcado en la aplicación de la estrategia 4*4 ampliada)</t>
  </si>
  <si>
    <t>Porcentaje aumentado de cobertura de actividades de autocuidado en salud bucal en sedes de  instituciones educativas (10% gestantes y adulto mayor, enmarcado en la aplicación de la estrategia 4*4 ampliada)</t>
  </si>
  <si>
    <t xml:space="preserve">Formular 1  plan con EPS, IPS para garantizar una atención oportuna y seguimiento a los pacientes con cáncer de estómago y leucemias </t>
  </si>
  <si>
    <t xml:space="preserve">Número de planes con EPS, IPS para garantizar una atención oportuna y seguimiento a los pacientes con cáncer de estómago y leucemias formulados </t>
  </si>
  <si>
    <t>Reducción en un 2% el número de casos enfermedades crónicas (Hipertensión ,Diabetes Y Enfermedad Renal Crónica)</t>
  </si>
  <si>
    <t>Porcentaje reducido de casos enfermedades crónicas (Hipertensión, Diabetes Y Enfermedad Renal Crónica)</t>
  </si>
  <si>
    <t>Porcentaje de  Frecuencia de uso de servicios en salud mental incrementados.</t>
  </si>
  <si>
    <t>Conformar en 42 municipios la red integrada de servicios en salud mental con promoción en salud pública y gestión del riesgo, incluyendo la generación de capacidades para el fortalecimiento de los prestadores primarios en el marco de la implementación de la  Política de Atención Integral (PAIS)</t>
  </si>
  <si>
    <t xml:space="preserve">Número de municipios la red integrada de servicios en salud mental con promoción en salud pública y gestión del riesgo conformada, incluyendo la generación de capacidades para el fortalecimiento de los prestadores primarios en el marco de la implementación de la  Política de Atención Integral (PAIS) </t>
  </si>
  <si>
    <t>Porcentaje de  la edad promedio del inicio de consumo de sustancias ilícitas aumentada.</t>
  </si>
  <si>
    <t>Fortalecer en 42 municipios las capacidades de gestión del riesgo y  reducción del daño por consumo de Psicoactivos (mediante  estrategias de gestión del conocimiento, dispositivos ZOE Y CE, Familias Fuertes, otros</t>
  </si>
  <si>
    <t>Número de municipios con las capacidades de gestión del riesgo y  reducción del daño por consumo de Psicoactivos fortalecidos (mediante  estrategias de gestión del conocimiento, dispositivos ZOE Y CE, Familias Fuertes, otros)</t>
  </si>
  <si>
    <t>Tasa de mortalidad por agresiones reducida.</t>
  </si>
  <si>
    <t xml:space="preserve">Fortalecer en 42 municipios capacidades (institucionales y comunitarias) para la promoción de la salud mental y la convivencia, la detección temprana de problemas y trastornos mentales y la gestión de riesgos asociados (como las diferentes formas de violencias, mediante la implementación de estrategias como Mapa y Rehabilitación Basada en Comunidad –RBC- en salud mental, Habilidades para la vida, entre otras)   </t>
  </si>
  <si>
    <t xml:space="preserve">Número de municipios con capacidades (institucionales y comunitarias) para la promoción de la salud mental y la convivencia, la detección temprana de problemas y trastornos mentales y la gestión de riesgos asociados fortalecidas (como las diferentes formas de violencias, mediante la implementación de estrategias como Mapa y Rehabilitación Basada en Comunidad –RBC- en salud mental, Habilidades para la vida, entre otras)   </t>
  </si>
  <si>
    <t>Porcentaje de  niños y niñas menores de 5 años  con  la prevalencia de la DNT Global reducida.</t>
  </si>
  <si>
    <t>Fortalecer en 34 Municipios el sistema de información nutricional que les permita monitorear la desnutrición y la malnutrición</t>
  </si>
  <si>
    <t xml:space="preserve">Número de Municipios con el sistema de información nutricional fortalecido que les permita monitorear la desnutrición y la malnutrición </t>
  </si>
  <si>
    <t>Porcentaje de la proporción de bajo peso al nacer a termino mantenido</t>
  </si>
  <si>
    <t>Porcentaje de la mortalidad infantil evitable por desnutrición en forma progresiva.(Tasa) en niños menores de 5 años reducida.</t>
  </si>
  <si>
    <t>Mantener  en 34 municipios  el proceso de concertación y manejo de rutas nutricionales que permite ubicar los casos detectados</t>
  </si>
  <si>
    <t xml:space="preserve">Número de municipios con el proceso de concertación y manejo de rutas nutricionales que permite ubicar los casos detectados </t>
  </si>
  <si>
    <t>Porcentaje del promedio de escolares entre 5 y 12 años con anemia nutricional.(Prevalencia) reducida.</t>
  </si>
  <si>
    <t>Formular en 16   municipios  estrategias de seguridad alimentaria y nutricional de carácter interinstitucional e intersectorial</t>
  </si>
  <si>
    <t>Número de    municipios con estrategias de seguridad alimentaria y nutricional de carácter interinstitucional e intersectorial formuladas</t>
  </si>
  <si>
    <t>Aumentar en  un 5 % las toneladas  de  producción de la canasta SAN</t>
  </si>
  <si>
    <t>Porcentaje de  las toneladas de producción  de la canasta SAN aumentadas</t>
  </si>
  <si>
    <t>Incorporar en el  50 %  de  los Planes Territoriales de Seguridad Alimentaria y Nutricional la canasta SAN  correspondiente</t>
  </si>
  <si>
    <t>Incluir en los 42 municipios acciones para garantizar los derechos sexuales y reproductivos y asegurar la participación de las Organizaciones y redes de mujeres, Jóvenes, grupos étnicos, EAPB, IPS, Y SSM</t>
  </si>
  <si>
    <t xml:space="preserve">Número de municipios con acciones para garantizar los derechos sexuales y reproductivos y asegurar la participación de las Organizaciones y redes de mujeres, Jóvenes, grupos étnicos, EAPB, IPS, Y SSM incluidos </t>
  </si>
  <si>
    <t xml:space="preserve">Incrementar a 88% en los 42 municipios las mujeres que tienen 4 o más controles prenatales
</t>
  </si>
  <si>
    <t>Porcentaje incrementado en los 42 municipios donde las mujeres que tienen 4 o más controles prenatales</t>
  </si>
  <si>
    <t>Incrementar en 5 % las mujeres gestantes que ingresan al control prenatal antes de la semana 12 de edad gestacional</t>
  </si>
  <si>
    <t>Porcentaje incrementado de las mujeres gestantes que ingresan al control prenatal antes de la semana 12 de edad gestacional</t>
  </si>
  <si>
    <t xml:space="preserve">Implementar acciones en 37 municipios para  garantizar el acceso y la atención integral  en SSR para disminuir la proporción de adolescentes alguna vez embarazadas </t>
  </si>
  <si>
    <t xml:space="preserve">Número de municipios con acciones implementadas para  garantizar el acceso y la atención integral en SSR para disminuir la proporción de adolescentes alguna vez embarazadas </t>
  </si>
  <si>
    <t>Incrementar al 15% el uso de métodos modernos de anticoncepción en todas las adolescentes de 15 a 19 años sexualmente activas</t>
  </si>
  <si>
    <t xml:space="preserve">Porcentaje incrementado del uso de métodos modernos de anticoncepción en todas las adolescentes de 15 a 19 años sexualmente activas </t>
  </si>
  <si>
    <t xml:space="preserve">Implementar acciones en los 42 municipios para aumentar el porcentaje de uso de métodos modernos de anticoncepción en mujeres de 15 a 49 años </t>
  </si>
  <si>
    <t>Número de municipios con acciones implementadas para aumentar el porcentaje de uso de métodos modernos de anticoncepción en mujeres de 15 a 49 años</t>
  </si>
  <si>
    <t>Número de municipios con acciones para mantener la prevalencia de infección por VIH en menos de 1% en población de 15 a 49 años implementadas.</t>
  </si>
  <si>
    <t>Implementar en 21 municipios acciones para prevenir la transmisión materno infantil del VIH</t>
  </si>
  <si>
    <t>Número de municipios con acciones para prevenir la transmisión materno infantil del VIH implementadas</t>
  </si>
  <si>
    <t>Implementar en 21 municipios estrategias para mantener la incidencia de sífilis congénita en 3.14 casos por x 1.000 nacidos vivos o menos (incluidos los mortinatos)</t>
  </si>
  <si>
    <t>Número de municipios con estrategias para mantener la incidencia de sífilis congénita en 3.14 casos por x 1.000 nacidos vivos o menos implementadas (incluidos los mortinatos)</t>
  </si>
  <si>
    <t xml:space="preserve">Implementar en 21 municipios acciones para mantener la tamización de cáncer de cuello uterino (CACU) en el  76%) </t>
  </si>
  <si>
    <t>Número de municipios con acciones para mantener la tamización de cáncer de cuello uterino (CACU) en el  76%) implementadas</t>
  </si>
  <si>
    <t>Implementar en 21 municipios el Protocolo de Atención Integral en Salud para Victimas Violencia Sexual</t>
  </si>
  <si>
    <t>Número de municipios con el Protocolo de Atención Integral en Salud para Victimas Violencia Sexual</t>
  </si>
  <si>
    <t xml:space="preserve">Número de municipios con un espacio transectorial y comunitario que coordine la promoción y garantía de los derechos sexuales y reproductivos y  una mesa de promoción de los derechos sexuales y reproductivos conformada </t>
  </si>
  <si>
    <t>Implementar en 21 Municipios los  Comités Interinstitucionales Municipales para la prevención de la violencia sexual, violencias de género y atención integral de los niños, niñas y adolescentes víctimas de abuso sexual, y  el Comité Interinstitucional Consultivo Departamental para la prevención de la violencia sexual, violencias de género y atención integral de los niños, niñas y adolescentes víctimas de abuso sexual  con Rutas Municipales de Atención Victimas Violencia Sexual</t>
  </si>
  <si>
    <t xml:space="preserve">Número de municipios con los  Comités Interinstitucionales Municipales para la prevención de la violencia sexual, violencias de género y atención integral de los niños, niñas y adolescentes víctimas de abuso sexual, y  el Comité Interinstitucional Consultivo Departamental para la prevención de la violencia sexual, violencias de género y atención integral de los niños, niñas y adolescentes víctimas de abuso sexual  con Rutas Municipales de Atención Victimas Violencia Sexual implementados </t>
  </si>
  <si>
    <t>Tamizar 77.438 mujeres de 25 a 65 años en condición de vulnerabilidad a través del cotest ( citología liquida* ADN-VPH) en 12 municipios del departamento</t>
  </si>
  <si>
    <t xml:space="preserve">Aumentar al 30% la detección   de BK positivos </t>
  </si>
  <si>
    <t>Implementar  al 100%  programa que contenga  líneas de acción del Plan de eliminación de Tuberculosis post 2015, normas técnicas, guías de atención integral para aliviar la carga y sostener las actividades de control en TB</t>
  </si>
  <si>
    <t xml:space="preserve">Mantener a una tasa de 0.15 casos por 100.000 la discapacidad severa por Enfermedad de Hansen (lepra)  entre los casos nuevos con discapacidad grado 2 </t>
  </si>
  <si>
    <t xml:space="preserve">Mantener a menos de 1x10.000 habitantes la prevalencia de lepra </t>
  </si>
  <si>
    <t xml:space="preserve">Número de casos de lepra 10.000 habitantes </t>
  </si>
  <si>
    <t>Mantener  en el 100%  en   los Municipios con  mayor riesgo   acciones regulares para la prevención de  dengue, Zika y chikunguña</t>
  </si>
  <si>
    <t xml:space="preserve">Porcentaje mantenido de  Municipios  con  mayor riesgo  con acciones regulares para la prevención de  dengue, Zika y chikunguña </t>
  </si>
  <si>
    <t xml:space="preserve">Porcentaje de las viviendas en las localidades focalizadas de los Municipios de Guapi, Timbiqui y López de Micay con distribución de toldillos </t>
  </si>
  <si>
    <t>Porcentaje de la  estrategia EGI  en las DTS para las ETV según pertinencia epidemiológica adoptada</t>
  </si>
  <si>
    <t xml:space="preserve">Incrementar al 95% las coberturas de vacunación en menores de 1 año </t>
  </si>
  <si>
    <t xml:space="preserve">Porcentaje incrementado de coberturas útiles de vacunación en menores de 1 año </t>
  </si>
  <si>
    <t xml:space="preserve">Incrementar al 95% las coberturas de vacunación en niños de 1 año </t>
  </si>
  <si>
    <t>Porcentaje de Coberturas útiles de vacunación en niños de un 1 año incrementadas</t>
  </si>
  <si>
    <t xml:space="preserve">Mantener la erradicación de la  poliomielitis, y consolidar la eliminación del sarampión, rubéola, síndrome de rubéola congénita y el tétanos neonatal </t>
  </si>
  <si>
    <t xml:space="preserve">Mantener en 0.08 las Tasas de morbilidad por fiebre amarilla, difteria, tosferina, tuberculosis meníngea, hepatitis A y B, neumococo, haemophillus influenza tipo B, diarreas por rotavirus, parotiditis e influenza </t>
  </si>
  <si>
    <t>Número de municipios con  el componente comunitario  para la prevención y cuidado de los casos de IRA en el contexto de AIEPI. Difusión de los tres mensajes claves implementado</t>
  </si>
  <si>
    <t xml:space="preserve">Número de municipios con la modalidad sala ERA implementados </t>
  </si>
  <si>
    <t>Número de casos de  PFA (poliomielitis) en menores de 15 años mantenidos.</t>
  </si>
  <si>
    <t>Número de municipios  con el plan  integral e interprogramático  para la prevención, control y eliminación de las enfermedades infecciosas desatendidas implementado</t>
  </si>
  <si>
    <t>Porcentaje de la Red Pública con levantamiento del Índice de Seguridad Hospitalaria  efectuada.</t>
  </si>
  <si>
    <t>Porcentaje de  las Instituciones públicas del sector salud  con a dimensión salud y ámbito laboral con sus dos componentes adoptada.</t>
  </si>
  <si>
    <t>Desarrollar  32  muestreos para la caracterización de salud y de riesgos laborales de la población informal según el formato de la encuesta nacional de salud del MSPS</t>
  </si>
  <si>
    <t>Número de  muestreos para la caracterización de salud y de riesgos laborales de la población informal según el formato de la encuesta nacional de salud del MSPS desarrollados</t>
  </si>
  <si>
    <t>Porcentaje de la estrategia de Rehabilitación Basada en Comunidad RBC, como un proceso de desarrollo local inclusivo, de carácter intersectorial implementada.</t>
  </si>
  <si>
    <t>Porcentaje de las Secretarías de Salud Municipales  Y ESE con  procesos de IEC para las dimensiones priorizadas implementados.</t>
  </si>
  <si>
    <t>Número de municipios con  mensajes saludables con enfoque diferencial difundidos</t>
  </si>
  <si>
    <t>Número de municipios con los procesos de  participación social en salud a través de redes de organizaciones sociales que influyen de manera positiva en las políticas públicas orientadas a intervenir los Determinantes Sociales de la Salud fortalecidos.</t>
  </si>
  <si>
    <t>Número de Municipios con capacidades resolutivas de oferta para brindar Atención Psicosocial  a las Victimas del Conflicto Armado fortalecidas.</t>
  </si>
  <si>
    <t>Número de municipios con acceso a los servicios de salud a la población víctima del conflicto armado garantizado.</t>
  </si>
  <si>
    <t xml:space="preserve">Efectuar en  el 100%  las sesiones de manera permanente de : 1- Comité Seguridad alimentaria y nutricional, 2- la Mesa Psicosocial y 3- la Mesa Interétnica e intercultural y campesinos </t>
  </si>
  <si>
    <t>Porcentaje de las ESE y  Administraciones municipales  en normatividad para la atención a poblaciones especiales asesoradas.</t>
  </si>
  <si>
    <t>Efectuar en 5 zonas aplicación de estrategias  teniendo en cuenta las  condiciones específicas poblacionales, de contexto, territorio y enfoque diferencial  de salud adecuados socioculturalmente</t>
  </si>
  <si>
    <t xml:space="preserve">Número de zonas con aplicación de estrategias  teniendo en cuenta las  condiciones específicas poblacionales, de contexto, territorio y enfoque diferencial  de salud adecuados socioculturalmente efectuadas </t>
  </si>
  <si>
    <t xml:space="preserve">Porcentaje de planes de salvaguarda étnica liderados y apoyados. </t>
  </si>
  <si>
    <t>Disminuir la tasa de mortalidad infantil a 15 por 1000 NV.</t>
  </si>
  <si>
    <t>Tasa de mortalidad infantil disminuidas.</t>
  </si>
  <si>
    <t>Número de casos de poliomelitis  en menores de 15 años .</t>
  </si>
  <si>
    <t>Porcentaje de las  ESE de baja complejidad  con programas y políticas de la primera infancia, infancia  y adolescencia incrementados.</t>
  </si>
  <si>
    <t>Implementar en los 42 municipios acciones  para disminuir la tasa de mortalidad por desnutrición  en menores de 5 años.</t>
  </si>
  <si>
    <t>Número de  municipios  con acciones  para disminuir la tasa de mortalidad por desnutrición  en menores de 5 años  implementadas.</t>
  </si>
  <si>
    <t>Número de  municipios  con acciones  para disminuir la tasa de mortalidad por EDA  en menores de 5 años implementadas.</t>
  </si>
  <si>
    <t>Número de  municipios  con acciones  para disminuir la tasa de mortalidad por IRA  en menores de 5 años implementadas.</t>
  </si>
  <si>
    <t>Implementar en los 42 municipios y ESE del Departamento en el proceso de dinamización de estrategias de atención y prestación de servicios en salud con adecuación en el curso de vida, género, etnicidad, y enfoque diferencial basado en la Política de Atención Integral en Salud (PAIS)</t>
  </si>
  <si>
    <t xml:space="preserve">Número de municipios y ESE del Departamento con el proceso de dinamización de estrategias de atención y prestación de servicios en salud con adecuación en el curso de vida, género, etnicidad, y enfoque diferencial basado en la Política de Atención Integral en Salud (PAIS) implementado </t>
  </si>
  <si>
    <t>Adecuar en un 100% un modelo de atención integral en salud con enfoque de género</t>
  </si>
  <si>
    <t>Porcentaje de un modelo de atención integral en salud con enfoque de género adoptado</t>
  </si>
  <si>
    <t>Porcentaje de EPS,  administraciones municipales e IPS con asistencia técnica, inspección, vigilancia para el fortalecimiento de la gestión de las acciones de salud pública del departamento efectuada.</t>
  </si>
  <si>
    <t>Porcentaje de las EPS, ESE Y  administraciones municipales e IPS con acciones concertadas de gestión en salud publica para el desarrollo de modelos integrados e integrales en APS desarrolladas.</t>
  </si>
  <si>
    <t>Porcentaje de administraciones municipales y ESE que reciben  asistencia técnica para la Gestión en Salud Publica y para  la priorización  de los planes de intervenciones colectivas desarrollada.</t>
  </si>
  <si>
    <t>Porcentaje de los servicios farmacéuticos de mediana y alta complejidad de las IPS con implementación y ejecución del sistema de distribución de medicamentos en dosis unitaria garantizados</t>
  </si>
  <si>
    <t>Porcentaje de medicamentos de control especial monopolio del estado a la población del departamento del Cauca, para el tratamiento de las patologías indicadas suministrados.</t>
  </si>
  <si>
    <t>Porcentaje de la red departamental de bancos de sangre con visitas de asistencia técnica para el fortalecimiento  y apoyo en la hemovigilancia  efectuados.</t>
  </si>
  <si>
    <t xml:space="preserve"> Efectuar en un 100% análisis y consolidación de la participación en los programas de evaluación del desempeño del Laboratorio de salud pública y los laboratorios de la red departamental de laboratorios como apoyo a la gestión de la vigilancia en salud pública</t>
  </si>
  <si>
    <t xml:space="preserve">Porcentaje del análisis y consolidación de la participación en los programas de evaluación del desempeño del Laboratorio de salud pública y los laboratorios de la red departamental de laboratorios como apoyo a la gestión de la vigilancia en salud pública efectuado </t>
  </si>
  <si>
    <t>Porcentaje del Laboratorio de salud publica construido.</t>
  </si>
  <si>
    <t>Porcentaje de parámetros analíticos  en el laboratorio de salud publica acreditadas por organismo nacional de acreditación realizados</t>
  </si>
  <si>
    <t>Porcentaje de seguimiento al sistema de vigilancia efectuado.</t>
  </si>
  <si>
    <t>Porcentaje de eventos  de interés en salud publica vigilados logrados.</t>
  </si>
  <si>
    <t>Porcentaje de municipios con asistencia técnica en el financiamiento del régimen subsidiado y mejoramiento en acciones de inspección vigilancia y control en el flujo de los recursos</t>
  </si>
  <si>
    <t>Porcentaje de municipios con asistencia técnica para que realicen vigilancia permanente a las EPS y que estas cumplan con las obligaciones en la prestación de servicios de salud a sus afiliados.</t>
  </si>
  <si>
    <t>Porcentaje de municipios y EPS con asistencia técnica y seguimiento para que cada uno de los actores actualice la BDUA de acuerdo con sus competencias y los plazos establecidos para tal fin, incluyendo la afiliación al régimen subsidiado de la población más vulnerable (PPNA)</t>
  </si>
  <si>
    <t xml:space="preserve">Porcentaje de la población asegurada  con servicios NO POS cubierta           </t>
  </si>
  <si>
    <t>Porcentaje de   la población pobre no asegurada (PPNA) cubierta con servicios POS</t>
  </si>
  <si>
    <t>Porcentaje de la facturación por servicios de salud prestados a la población pobre no afiliada y en los eventos NO POS  dentro de los términos establecidos por la norma vigente tramitada.</t>
  </si>
  <si>
    <t>Porcentaje de   la facturación por servicios de salud prestados a la población pobre no afiliada y en los eventos NO POS   auditada</t>
  </si>
  <si>
    <t xml:space="preserve">Número de ESE   con  una estrategia piloto de atención integral en salud, en el marco del post conflicto, con capacidad para el desarrollo de la oferta de servicios en términos de calidad, acceso y oportunidad trabajada.
</t>
  </si>
  <si>
    <t>Porcentaje de las  ESE de la Costa Pacifica y Bota Caucana con demanda de servicios de Telemedicina, para su implementación asesoradas.</t>
  </si>
  <si>
    <t>Porcentaje de las ESE  con visitas de verificación del plan de mantenimiento hospitalario efectuadas.</t>
  </si>
  <si>
    <t>Porcentaje de las ESE  con  asesoría  y asistencia técnica  para la formulación, validación y ejecución del plan bienal del inversiones efectuada.</t>
  </si>
  <si>
    <t>Porcentaje de las  ESE del Departamento del Cauca, asesoradas y asistidas técnicamente en la formulación y ejecución de proyectos de infraestructura y dotación hospitalaria</t>
  </si>
  <si>
    <t>Porcentaje de Peticiones, Quejas y Reclamos frente a la atención en salud,  en el SAC, tramitadas, gestionadas, favorablemente recepcionadas.</t>
  </si>
  <si>
    <t>Porcentaje de la participación de los usuarios en la presentación de PQR incrementadas.</t>
  </si>
  <si>
    <t>Porcentaje de las ESE  con Información del Decreto 2193 de 2004, enviado al MSPS en los periodos establecidos: Trimestral, Semestral y Anual entregada.</t>
  </si>
  <si>
    <t>Evaluar el 100% las  ESE del Departamento en  Desempeño Semestrales y Anuales (ESE en convenio y sin convenio), en indicadores Financieros, Contables de Producción y Calidad de los servicios de salud</t>
  </si>
  <si>
    <t xml:space="preserve">Porcentaje de las  ESE del Departamento en  Desempeño Semestrales y Anuales (ESE en convenio y sin convenio), en indicadores Financieros, Contables de Producción y Calidad de los servicios de salud evaluados </t>
  </si>
  <si>
    <t>Porcentaje de los presupuestos  para la vigencia siguiente con revisión y asistencia técnica para su aprobación formulados.</t>
  </si>
  <si>
    <t>Porcentaje de  los Planes de Gestión de los Gerentes de las Empresas Sociales del Estado del Departamento revisados.</t>
  </si>
  <si>
    <t xml:space="preserve">Porcentaje de los actores del Sistema General de Seguridad Social en Salud para recibir asesoría y asistencia técnica individual y colectiva en la temática priorizada del Sistema Obligatorio de Garantía de Calidad - SOGC, en Sistema de Información para la Calidad - SIC y en la formulación e implementación del Plan de Auditoría para el Mejoramiento de la Calidad de la atención en Salud – PAMEC convocados </t>
  </si>
  <si>
    <t>Porcentaje de los prestadores activos de servicios de salud del Departamento inscritos en la base de datos del Registro Especial de Prestadores de Servicios de Salud- REPS inscritos.</t>
  </si>
  <si>
    <t>Porcentaje de los nuevos prestadores de servicios de salud del Departamento que ofrecen servicios de urgencias, obstetricia, Transporte especial, servicios de alta complejidad e IPS nuevas con  previa verificación de estándares de habilitación visitados</t>
  </si>
  <si>
    <t>Efectuar en un 100% en  los prestadores de servicios de salud  visita de verificación de estándares de habilitación</t>
  </si>
  <si>
    <t>Porcentaje de los prestadores de servicios de salud  con  verificación de estándares de habilitación visitados</t>
  </si>
  <si>
    <t>Porcentaje de  los prestadores de servicios de Seguridad y salud en el trabajo con licencia de funcionamiento</t>
  </si>
  <si>
    <t>porcentaje de   los prestadores de servicios de Seguridad y Salud en el trabajo  para verificar estándares de habilitación visitados</t>
  </si>
  <si>
    <t>Porcentaje de   un proyecto para el fortalecimiento, implementación y administración de herramientas de gestión de información en salud formulado.</t>
  </si>
  <si>
    <t>Disponer en un 85% de  un Sistema integrado de información en la Secretaria de Salud  Departamental  para obtener información en salud y responder por los reportes de información reglamentados por la normativa vigente</t>
  </si>
  <si>
    <t xml:space="preserve">Porcentaje de un Sistema integrado de información en la Secretaria de Salud  Departamental  para obtener información en salud y responder por los reportes de información reglamentados por la normativa vigente disponible </t>
  </si>
  <si>
    <t>Porcentaje del Plan de mantenimiento preventivo en  la plataforma tecnológica de  la Secretaria de Salud Departamental Optimizado</t>
  </si>
  <si>
    <t>Territorios de Paz y para el Buen Vivir</t>
  </si>
  <si>
    <t xml:space="preserve">Implementar al 100% el  programa orientado al suministro del agua apta para consumo humano para  la población, articulando políticas nacionales </t>
  </si>
  <si>
    <t>52% ( 22 municipios)</t>
  </si>
  <si>
    <t>10,6 muertes por cada 100.000 menores de 5 años</t>
  </si>
  <si>
    <t xml:space="preserve">Red Departamental de Laboratorios y Laboratorio de Salud Pública </t>
  </si>
  <si>
    <t>Atender en un 100%  las emergencias notificadas, inherentes a los componentes ambiente, medicamentos  y zoonosis,  desde las competencias del área salud ambiental</t>
  </si>
  <si>
    <t>Número de meses de  duración de la mediana de la lactancia materna exclusiva mantenida.</t>
  </si>
  <si>
    <t>Porcentaje de Planes Territoriales de Seguridad Alimentaria y Nutricional con la canasta SAN  correspondiente incorporada</t>
  </si>
  <si>
    <t>Porcentaje de   acciones de IVC en alimentos   bajo el Enfoque  de riesgo ejecutadas</t>
  </si>
  <si>
    <t>Número de municipios con acciones  para promover el acceso a servicios integrales en SSR  de la población de adolescentes y jóvenes implementadas</t>
  </si>
  <si>
    <r>
      <t>Reducir en un 5</t>
    </r>
    <r>
      <rPr>
        <strike/>
        <sz val="11"/>
        <rFont val="Calibri"/>
        <family val="2"/>
        <scheme val="minor"/>
      </rPr>
      <t xml:space="preserve">% </t>
    </r>
    <r>
      <rPr>
        <sz val="11"/>
        <rFont val="Calibri"/>
        <family val="2"/>
        <scheme val="minor"/>
      </rPr>
      <t xml:space="preserve">la mortalidad  por cáncer de cuello uterino </t>
    </r>
  </si>
  <si>
    <t xml:space="preserve">Número de mujeres entre 25 a 65 años  a través  del cotest ( citología liquida+ADN-VPH) en 12 municipios tamizadas </t>
  </si>
  <si>
    <t>Porcentaje de   sintomáticos respiratorios captados</t>
  </si>
  <si>
    <t>Porcentaje de detección de tuberculosis BK positiva aumentada</t>
  </si>
  <si>
    <t>Porcentaje de éxito terapéutico de personas con enfermedad de tuberculosis logrado.</t>
  </si>
  <si>
    <t>Porcentaje del  programa que contenga  líneas de acción del Plan de eliminación de Tuberculosis post 2015, normas técnicas, guías de atención integral para aliviar la carga y sostener las actividades de control en TB implementado</t>
  </si>
  <si>
    <t xml:space="preserve">Mantener en el 100% de las viviendas en las localidades focalizadas de los Municipios de Guapi, Timbiqui y López de Micay la distribución de toldillos </t>
  </si>
  <si>
    <t>Número de municipios con del programa nacional de IRA en EAPB, ESE Y SSM implementado</t>
  </si>
  <si>
    <t>Porcentaje de la Red Hospitalaria del Departamento del Cauca  en la identificación de riesgos, vulnerabilidad y amenazas ante eventos adversos antrópicos e inotrópicos y enfermedades de interés en salud publica, acompañamiento y asesoría en la verificación de Índice de Seguridad Hospitalaria asesorada.</t>
  </si>
  <si>
    <t>Porcentaje de Secretarias De Salud Municipales y  Comités Municipales de Gestión del Riesgo   en planes preventivos de mitigación y superación de las emergencias y desastres que queden inmersos dentro de los POT capacitadas.</t>
  </si>
  <si>
    <t>Porcentaje de   Centro Regulador de Urgencias y Emergencias CRUE  con la Red Nacional de Bancos de Sangre y Servicios Transfusionales articulado.</t>
  </si>
  <si>
    <t>Porcentaje del  Personal sanitario de la Red Publica y Privada del Departamento del Cauca con verificación, control, seguimiento, autorización  del uso del emblema de Misión Medica  para la ejecución de las actividades y atención integral de la salud capacitados.</t>
  </si>
  <si>
    <t>Porcentaje del Centro Regulador de Urgencias y Emergencias  en cumplimiento a la normatividad vigente reubicado.</t>
  </si>
  <si>
    <t>Número de  municipios con  acciones de sensibilización y de gestión en salud publica para la mitigación de riesgos laborales de la población informal implementadas.</t>
  </si>
  <si>
    <t>Porcentaje de sesiones de manera permanente de l : 1- Comité Seguridad alimentaria y nutricional, 2- la Mesa Psicosocial y 3- la Mesa Interétnica e intercultural y campesinos efectuadas</t>
  </si>
  <si>
    <t>% De  oportunidad y resolutividad de  las ESE en consulta medica especializada mejorada.</t>
  </si>
  <si>
    <t>Porcentaje de los procesos de la Gestión administrativa de la Secretaria de salud  fortalecidos</t>
  </si>
  <si>
    <t>Porcentaje de los municipios  en el acceso y consulta a la bodega de datos del SISPRO  como fuente única de información en salud capacitados.</t>
  </si>
  <si>
    <t>Porcentaje de IPS con  hechos vitales (Nacimientos y Defunciones) y la academia  en el proceso de  estadísticas vitales con  asistencia técnica reportados.</t>
  </si>
  <si>
    <r>
      <t xml:space="preserve">Implementar acciones en  27  municipios para promover el acceso a servicios integrales en SSR </t>
    </r>
    <r>
      <rPr>
        <sz val="11"/>
        <color theme="1"/>
        <rFont val="Calibri"/>
        <family val="2"/>
        <scheme val="minor"/>
      </rPr>
      <t>de la</t>
    </r>
    <r>
      <rPr>
        <sz val="11"/>
        <rFont val="Calibri"/>
        <family val="2"/>
        <scheme val="minor"/>
      </rPr>
      <t xml:space="preserve"> población de adolescentes y jóvenes. </t>
    </r>
  </si>
  <si>
    <t>Adoptar en un 100% en las DTS  estrategia EGI para las ETV según pertinencia epidemiológica</t>
  </si>
  <si>
    <t>Lograr que un 50% las Entidades territoriales respondan con eficacia a las emergencias y desastres que enfrenten.</t>
  </si>
  <si>
    <t>Efectuar en un 100% de las ESE   asesorías y asistencia  técnica   para la formulación, validación y ejecución del plan bienal de inversiones.</t>
  </si>
  <si>
    <t xml:space="preserve">Porcentaje del programa orientadas al suministro del agua apta para consumo humano para  la población, articulando políticas nacionales  implementado </t>
  </si>
  <si>
    <t>Formular 1  estrategia de detección temprana de Cáncer (Estómago y leucemias)</t>
  </si>
  <si>
    <t>Número de estrategias de detección temprana de Cáncer (Estómago y leucemias) formulada</t>
  </si>
  <si>
    <t>Apoyar técnicamente el Centro Regulador de Urgencias y Emergencias como herramienta de Planificación, organización y toma de decisiones con el fin de apoyar la gestión de la operación de la red de la prestación de los servicios.</t>
  </si>
  <si>
    <t>Porcentaje de las Entidades territoriales que responden con eficacia a las emergencias y desastres que enfrenten</t>
  </si>
  <si>
    <t>Formular en un 100% una estrategia de sensibilización y capacitación en humanización de los servicios de salud prestados a las personas mayores</t>
  </si>
  <si>
    <t>Porcentaje de una estrategia de sensibilización y capacitación en humanización de los servicios de salud prestados a las personas mayores formulada</t>
  </si>
  <si>
    <t>Mejorar en un 10% la infraestructura física y la dotación hospitalaria de la red Pública del Departamento.</t>
  </si>
  <si>
    <t>Porcentaje de la infraestructura física y la dotación hospitalaria de la red Pública del Departamento mejorada</t>
  </si>
  <si>
    <t>TIPO DE META (Mantenimiento, Incremento, Reducción)</t>
  </si>
  <si>
    <t>GOBERNACION DEL CAUCA</t>
  </si>
  <si>
    <t>OFICINA ASESORA DE PLANEACIÓN</t>
  </si>
  <si>
    <t>PLAN DEPARTAMENTAL DE DESARROLLO "CAUCA, TERRITORIO DE PAZ"</t>
  </si>
  <si>
    <t>FUENTES DE FINANCIACION (MILES DE PESOS)</t>
  </si>
  <si>
    <t>NOMBRE DEL PROYECTO</t>
  </si>
  <si>
    <t>POBLACION BENEFICIADA</t>
  </si>
  <si>
    <t>PRODUCTOS DEL PROYECTO</t>
  </si>
  <si>
    <t>OBSERVACIONES</t>
  </si>
  <si>
    <t>NOMBRE</t>
  </si>
  <si>
    <t>RECURSOS PROPIOS</t>
  </si>
  <si>
    <t>IMPUESTO AL CONSUMO DE TELEFONIA MOVIL</t>
  </si>
  <si>
    <t>IMPUESTO AL CONSUMO DE TABACO</t>
  </si>
  <si>
    <t>FCR</t>
  </si>
  <si>
    <r>
      <t>F D R</t>
    </r>
    <r>
      <rPr>
        <sz val="10"/>
        <color rgb="FFFF0000"/>
        <rFont val="Calibri"/>
        <family val="2"/>
        <scheme val="minor"/>
      </rPr>
      <t xml:space="preserve"> </t>
    </r>
  </si>
  <si>
    <r>
      <t>CTI</t>
    </r>
    <r>
      <rPr>
        <sz val="10"/>
        <color rgb="FFFF0000"/>
        <rFont val="Calibri"/>
        <family val="2"/>
        <scheme val="minor"/>
      </rPr>
      <t xml:space="preserve"> </t>
    </r>
  </si>
  <si>
    <t>REGALIAS DIRECTAS</t>
  </si>
  <si>
    <t xml:space="preserve">COOPERACIÓN INTERNACIONAL </t>
  </si>
  <si>
    <t>COFINANCIACION</t>
  </si>
  <si>
    <t>OTROS RECURSOS DE GESTIÓN</t>
  </si>
  <si>
    <t>RECURSOS DE CONCURRENCIA</t>
  </si>
  <si>
    <t>RECURSOS VIGENCIAS ANTERIORES</t>
  </si>
  <si>
    <t>E</t>
  </si>
  <si>
    <t>F</t>
  </si>
  <si>
    <t>M</t>
  </si>
  <si>
    <t>A</t>
  </si>
  <si>
    <t>J</t>
  </si>
  <si>
    <t>S</t>
  </si>
  <si>
    <t>O</t>
  </si>
  <si>
    <t>N</t>
  </si>
  <si>
    <t>D</t>
  </si>
  <si>
    <t>SUBREGIÓN</t>
  </si>
  <si>
    <t>RESPONSABLE (Cargo y tipo de vinculación)</t>
  </si>
  <si>
    <t xml:space="preserve">Elaborado por: </t>
  </si>
  <si>
    <t>Nombre del funcionario</t>
  </si>
  <si>
    <t>___________________________________</t>
  </si>
  <si>
    <t>cargo</t>
  </si>
  <si>
    <t>____________________________________</t>
  </si>
  <si>
    <t>Firma</t>
  </si>
  <si>
    <t>Fecha:</t>
  </si>
  <si>
    <t>_______________________________</t>
  </si>
  <si>
    <t>VALOR META  AL CUATRIENIO</t>
  </si>
  <si>
    <t>SISTEMA GENERAL DE PARTICIPACIONES</t>
  </si>
  <si>
    <t>PRESUPUESTO GENERAL DE LA NACIÓN</t>
  </si>
  <si>
    <t>TIEMPO DE EJECUCION  (MESES)</t>
  </si>
  <si>
    <t>12,5%</t>
  </si>
  <si>
    <t>Incremento</t>
  </si>
  <si>
    <t>Mantenimiento</t>
  </si>
  <si>
    <t>PLAN DE ACCIÓN 2019</t>
  </si>
  <si>
    <t>META DE PRODUCTO VIGENCIA 2019</t>
  </si>
  <si>
    <t>VALOR ACTUAL (2018)</t>
  </si>
  <si>
    <t>CODIGO BPIN</t>
  </si>
  <si>
    <t>RECURSOS PROGRAMADOS POR META VIGENCIA 2019 (MILES DE PESOS)</t>
  </si>
  <si>
    <t>RENTAS CEDIDAS</t>
  </si>
  <si>
    <t>PROGRAMAS NACIONALES</t>
  </si>
  <si>
    <t>RECURSOS POR PROYECTO PROGRAMADOS VIGENCIA 2019 (MILES DE PESOS)</t>
  </si>
  <si>
    <t>X</t>
  </si>
  <si>
    <t>1. Contratos de los profesionales de apoyo                                                                                 2. Actas de visita de asesoría y asistencia técnica                                                          3. Registros de asistencia y fotográfico                                                            4. Plan de acción por Municipio.                         5. Observatorio de Salud Ambiental en funcionamiento</t>
  </si>
  <si>
    <t>2 capacitaciones realizadas al personal técnico área de la salud y sistema de reporte de información de 23 técnicos área de la saud, ejecutando actividades en 41 municipios del Departamento, fortalecida al 100%</t>
  </si>
  <si>
    <t xml:space="preserve">Sistema de información de los componentes ambiente y consumo del área salud ambiental </t>
  </si>
  <si>
    <t>1.  Contrato del  profesional de apoyo                                                                                2. Mapas de riesgo                                                    3. Actas de toma de muestras para la vigilancia de la calidad de agua para consumo humano          (excepto del Municipio de López de Micay)                                                                                      4. IRCA Departamental (excepto del Municipio de López de Micay)</t>
  </si>
  <si>
    <t>1. Contrato del  profesional de apoyo                                                                                 2. Actas de visita de asesoría y asistencia técnica                                                          3. Registros de asistencia y fotográfico                                                            4. Plan de acción por Municipio asesorado y/o asistido.</t>
  </si>
  <si>
    <t>1. Contratos de los profesionales de apoyo                                                                                 2. Actas de visita de asesoría y asistencia técnica                                                                                         3. Registros de asistencia y fotográfico                                                            4. Plan de acción por Municipio.</t>
  </si>
  <si>
    <t xml:space="preserve"> Dimensión 1: Salud Ambiental</t>
  </si>
  <si>
    <t>Norte, Centro, Sur, Occidente,Oriente, Bota Caucana, Costa Pacífica</t>
  </si>
  <si>
    <t>1. Informes de atención de emergencias: pacientes, población beneficiada, mortalidades.  2. Actas de visita                                                                      3. Correos electrónicos de remisión de asesoría para atención a emergencias</t>
  </si>
  <si>
    <t>ALMAGUER, ARGELIA, BALBOA, BOLIVAR, BUENOS A, CAJIBIO, , CALDONO, CALOTO, CORINTO, EL TAMBO, FLORENCIA, GUACHENÉ, GUAPI, INZA, JAMBALO, LA SIERRA, LA VEGA, MERCADERES, MIRANDA, MORALES, PADILLA, PAEZ, PATÍA, PIENDAMO, PIAMONTE, PUERTO T., PURACÉ, ROSAS, SANTANDER Q, SAN SEBASTIÁN, SANTA ROSA, SILVIA, SOTARÁ, SUAREZ, SUCRE, TIMBIO, TIMBIQUÍ, TORIBIO, TOTORO, VILLARICA</t>
  </si>
  <si>
    <t xml:space="preserve">DEPENDENCIA RESPONSABLE: SECRETARIA DE SALUD DEPARTAMENTAL DEL CAUCA </t>
  </si>
  <si>
    <t xml:space="preserve">SECRETARIO DE SALUD DEPARTAMENTAL RESPONSABLE: HECTOR ANDRES GIL WALTEROS  ___________________________________________________________                                                        </t>
  </si>
  <si>
    <t>Según la población DANE 1.426.928 habitantes del Cauca</t>
  </si>
  <si>
    <t>1. Reuniones,
2. Mesas de trabajo.
3. Retroalimentacion de informes de auditoria 
4. Visitas de asistencia técnica en el financiamiento del régimen subsidiado y mejoramiento en acciones de inspección vigilancia y control en el flujo de los recursos</t>
  </si>
  <si>
    <t>1. Reuniones,
2. Mesas de trabajo.
3. Retroalimentacion de informes de auditoria 
4. Visitas de asistencia técnica para que los municipios realicen vigilancia permanente a las EPS y que estas cumplan con las obligaciones en la prestación de servicios de salud a sus afiliados.</t>
  </si>
  <si>
    <t>1. Reuniones,
2. Mesas de trabajo.
3. Retroalimentacion de informes de auditoria 
4. Visitas de asistencia técnica  para que cada uno de los actores actualice la BDUA de acuerdo con sus competencias y los plazos establecidos para tal fin, incluyendo la afiliación al régimen subsidiado de la población más vulnerable (PPNA)</t>
  </si>
  <si>
    <t xml:space="preserve">7  SUBREGIONES: Centro, Sur, Norte, Macizo, Oriente , Pacifica , Piedemonte </t>
  </si>
  <si>
    <t>x</t>
  </si>
  <si>
    <t>Jairo Muñoz Velasco Profesional Universitario, Nury Shirley Herrera Colorado- Profesional Universitario -Area Aseguramiento</t>
  </si>
  <si>
    <t xml:space="preserve">No Aplica </t>
  </si>
  <si>
    <t xml:space="preserve">Aseguramiento </t>
  </si>
  <si>
    <t xml:space="preserve">El monto asignado para el cumplimiento de esta meta es insuficiente, teniendo en cuenta el incremento significativo de las tecnologías NO POS, a la fecha se tiene un dato estadístico de radicación NO POS y URGENCIAS en la vigencia 2017 de $70.168.903.490.oo  y a 30 de junio de 2018 de $32.164.464.695.oo, con una proyección a 31 de diciembre de 2018, de una radicación sin respaldo presupuestal de $60.000.000.000,oo  </t>
  </si>
  <si>
    <t>Garantizar recursos con situación de fondos - CSF para la contratación de la red pública y privada de los prestadores complementarios (Mediana y alta complejidad) para la vigencia 2019 y pagar lo que se adeuda a 31 de diciembre de 2018.</t>
  </si>
  <si>
    <t>Dándo cumplimiento al Decreto 762 de 2017, la atención de la PNA por parte de las ESE públicas se hace a través de una acta de compromiso con indicadores a cumplir</t>
  </si>
  <si>
    <t>René Zúñiga López - Profesional Especializado y Neyla  Rossana Arturo Cifuentes -Profesional Universitario</t>
  </si>
  <si>
    <t>MUNICIPIOS BENEFICIADOS</t>
  </si>
  <si>
    <t xml:space="preserve">7 Subregiones: Centro, Norte, Sur, Macizo, Pacifica, Oriente, Piedemonte </t>
  </si>
  <si>
    <t>Prestacion de los Servicios</t>
  </si>
  <si>
    <t xml:space="preserve">1). Apoyar el seguimiento y evaluacion de indicadores de calidad a la prestacion de servicios de salud de las tecnologia no cubiertas en el Plan Obligatorio de salud. 
2).Brindar orientacion a la poblacion asegurada en deberes y derechos del Sistema General de Seguridad Social en Salud en  Novedades de Afiliacion, orientacion contenidos del POS y Red de Servicios según demanda de los usuarios y acceso a servicios
3). Brindar orientacion individual y o colectiva a los actores del sistema en la normatividad vigente a los actores del sistema a clientes internos y externos.
</t>
  </si>
  <si>
    <t>1) Elaborar estudios previos para la prestacion de servicios de la poblacion a cargo. 2)  Brindar orientacion a la poblacion pobre no asegurada en deberes y derechos del Sistema General de Seguridad Social en Salud, Afiliacion, poblaciones especiales y vinculados  según demanda de los usuarios. 3) Brindar orientacion individual y o colectiva a los actores del sitema en la normatividad vigente a los actores del sistema a clientes internos y externos. 4)Apoyar el seguimiento y evaluacion de indicadores de calidad a la prestacion de servicios de salud de la poblacion Pobre no asegurada. 5)Pedir autorizacion al Ministerio de salud para servicios no ofertados por la red publica. 6)Definir pertinencia y autorizacion de servicios de la poblacion a cargo del dpto 7 ) Mantener actualizada la informacion de la red de Prestacion de servicios de la Poblacion Pobre no Asegurada</t>
  </si>
  <si>
    <t>1) Realizar el proceso de radicacion de cuentas por concepto de servicios de salud a la PPNA y tecnologías NO POS del regimen subsidiado. 2)Realizar seguimiento a la ejecucion de los contratos para la prestacion de servicios de la poblacion a cargo. 3)Proyectar actos administrativos para el pago de servicios prestados a la poblacion pobre no Asegurada y enventos NO POS, debidamente auditadas y organización de documentos soportes para la entrega final al Area competente del pago. 4)Cumplir con los requerimientos de información establecidos en la normatividad vigente: Circular unica 047-2007, circular conjunta 030 de 2013, Resolución 1479 de 2015, Circular 2064 de 2017</t>
  </si>
  <si>
    <t>1)Realizar presentacion de necesidad de contratacion del proceso de auditoria. 3) Auditar facturacion de servicios de salud según normatividad vigente. 4) Recepcionar los avales e informes de auditoria de las cuentas conciliadas</t>
  </si>
  <si>
    <t>Jambalo, Toribio, Santander de Quilichao y El Tambo</t>
  </si>
  <si>
    <t>Zona Norte y Zona Centro</t>
  </si>
  <si>
    <t>1. Suscripción de convenio para liderar la impleetación del programa. 
2. Acompañamiento a la ejecución de las estrategias y actividades del programa  
3. Evaluación a los avances en la implementacion del programa Hospitales constructores de paz.</t>
  </si>
  <si>
    <t>Hector Mauricio Montilla Cardona - Profesional Especializado -Area Red de Prestación de los Servicios.</t>
  </si>
  <si>
    <r>
      <rPr>
        <sz val="10"/>
        <rFont val="Arial"/>
        <family val="2"/>
      </rPr>
      <t xml:space="preserve">Total, Población 2019: 196,863, distribuida así:
Hombres (95,967)
Mujeres (100,906)
</t>
    </r>
    <r>
      <rPr>
        <b/>
        <sz val="10"/>
        <rFont val="Arial"/>
        <family val="2"/>
      </rPr>
      <t xml:space="preserve">
Distribuciòn por Etnia:</t>
    </r>
    <r>
      <rPr>
        <sz val="10"/>
        <color rgb="FFFF0000"/>
        <rFont val="Arial"/>
        <family val="2"/>
      </rPr>
      <t xml:space="preserve">
</t>
    </r>
    <r>
      <rPr>
        <sz val="10"/>
        <rFont val="Arial"/>
        <family val="2"/>
      </rPr>
      <t xml:space="preserve">Afro (34,849)
Indigena (70,616)
Otros (91,398) 
</t>
    </r>
  </si>
  <si>
    <t>Guapi, López de Micay, Timbiqui y Piamonte.</t>
  </si>
  <si>
    <t>Costa Pacifica y Bota caucana</t>
  </si>
  <si>
    <t xml:space="preserve">1. Implementación del servicio de Telemedicina en la  Bota Caucana, que permita mejorar acceso a servicios (especialidades básicas), que no ofertan las ESE de la Región.                                                      2. Vinculación de otras ESE en la oferta de estos servicios como ESE El Tambo y ESE El Bordo. </t>
  </si>
  <si>
    <r>
      <rPr>
        <sz val="10"/>
        <rFont val="Arial"/>
        <family val="2"/>
      </rPr>
      <t xml:space="preserve">Total, Población 2019: </t>
    </r>
    <r>
      <rPr>
        <b/>
        <sz val="10"/>
        <rFont val="Arial"/>
        <family val="2"/>
      </rPr>
      <t>80,403,</t>
    </r>
    <r>
      <rPr>
        <sz val="10"/>
        <rFont val="Arial"/>
        <family val="2"/>
      </rPr>
      <t xml:space="preserve"> distribuida así:
Hombres (39,183)
Mujeres (41,220)
</t>
    </r>
    <r>
      <rPr>
        <b/>
        <sz val="10"/>
        <rFont val="Arial"/>
        <family val="2"/>
      </rPr>
      <t xml:space="preserve">
Distribuciòn por Etnia:</t>
    </r>
    <r>
      <rPr>
        <sz val="10"/>
        <color rgb="FFFF0000"/>
        <rFont val="Arial"/>
        <family val="2"/>
      </rPr>
      <t xml:space="preserve">
</t>
    </r>
    <r>
      <rPr>
        <sz val="10"/>
        <rFont val="Arial"/>
        <family val="2"/>
      </rPr>
      <t xml:space="preserve">Afro (58,614)
Indigena (5,820)
Otros (15,969) 
</t>
    </r>
  </si>
  <si>
    <t>7 (Norte, Sur, Oriente, Pacífico, Macizo, Centro y Bota Caucana</t>
  </si>
  <si>
    <t>1.Acto Administrativo solicitando los Planes de Mantenimiento. correspondiente a la vigencia 2019                                   
2. Revision Planes de Mantenimiento Hospitalario                
3. Envio de información a la Superintendencia Nacional de Salud.                        
4, Visita a los puntos de atención para verificar los planes de mantenimiento.
5,. Informe de las visitas a los puntos de atención.</t>
  </si>
  <si>
    <t>Ingeniero Didier Ivan Golondrino  León - Profesional Universitario -Area Red de Prestacion de los Servicios</t>
  </si>
  <si>
    <r>
      <rPr>
        <sz val="10"/>
        <rFont val="Arial"/>
        <family val="2"/>
      </rPr>
      <t>Total, Población 2019: 1.426.938, distribuida así:
Hombres (722,675)
Mujeres (704,263)
Discapacitados (29,721)
Desplazados (145,614)
Distribuciòn por Etnia:</t>
    </r>
    <r>
      <rPr>
        <sz val="10"/>
        <color rgb="FFFF0000"/>
        <rFont val="Arial"/>
        <family val="2"/>
      </rPr>
      <t xml:space="preserve">
</t>
    </r>
    <r>
      <rPr>
        <sz val="10"/>
        <rFont val="Arial"/>
        <family val="2"/>
      </rPr>
      <t xml:space="preserve">Afro (299,409)
Indigena (290,082)
Ron (1)
Raizales (2)
Otros (837,444) 
</t>
    </r>
  </si>
  <si>
    <t>1. Generar Acto Administrativo informando acerca de la apertura de la plataforma para la inclusión de proyectos en el Plan Bienal de Inversiones.
2, Asesoria y asitencia técnica en la elaboración y ejecución de proyectos para la elaboración del Plan Bienal
3. Apoyar en el registro  de proyectos en aplicativo web del Ministerio de Salud y Protección Social.           
4. Revision de proyectos registrados   
5, Convocar al Consejo Territorial de Seguridad Social en Salud para presentar los proyectos del Plan Bienal de Inversiones.
6, Remisión al MSPS del Plan Bienal de Inversiones y sus ajustes.          
7. Seguimiento al plan bienal de Inversiones.</t>
  </si>
  <si>
    <t xml:space="preserve">1. Realizar dos capacitaciones para elaboración de proyectos de inversion en salud.                     
2. Programar mesas de trabajo para revisión y ajuste de proyectos de inversion en salud, de los proyectos en etapa de estructuración.                     
3. Emitir conceptos de viabilidad a proyectos de inversión en salud acorde a nuestras competencias.                                                      
4. Elaborar diagnosticos de necesidades para las ESE que lo soliciten. </t>
  </si>
  <si>
    <t>1. Apoyar la estructuración de proyectos a presentar acorde a las diferentes fuentes de financiación.
2, Realizar visitas de campor para verificar avances de ejecución.
3, Realizar cómites tecnicos de seguimientos con las firmas interventoras y constructores.
4, Realizar solicitud de informes de ejecucíon respectoa a aspectos técnicos y financieros.                                       
4. Realizar informes de visitas y de seguimiento.
5. Establecer plan de mejoramiento acorde a los hallazgos realizados en las visitas.</t>
  </si>
  <si>
    <t xml:space="preserve">1. Recepcionar Peticiones, Quejas y reclamos remitidas por: Correo electrónico, Página web - SAC de la Gobernación, de manera presencial,  Supersalud y via telefónica. 
2, Diligenciar base de datos con las PQRS recibidas.
3. Dar trámite oportuno a las PQRS (Redireccionar sino correspondena a la entidad o dar respuesta cuando a ello hubiere lugar)
4. Realizar informe trimestral de las PQRS recepcionadas.
5, Dar concepto medico a las conciliaciones prejudiciales contra la Secretaria de Salud. 
</t>
  </si>
  <si>
    <t>Gustavo Adolfo Gómez López - Profesional universitario Area Red de Prestacion de los Servcios.</t>
  </si>
  <si>
    <t xml:space="preserve">
1. Incentivar a los usuarios que ingresan al área a instaurar las PQR para tomar acciones de inspección y vigilancia con las entidades. 
2. Realizar visitas a IPS  públicas, privadas y mixtas y EAPB del departamento, para verificar que los mecanismos de participación comunitaria esten creados y sean operativos.
3, Realizar asistencia técnica a los diferentes actores del Sistema de Seguridad Social en Salud sobre participación social - Deberes y derechos de los usuarios.
3, Diligenciar formato de la visita.
4, Realizar acta de la visita.
</t>
  </si>
  <si>
    <t xml:space="preserve">1. Generar acto administrativo para la revisión de la información del Decreto 2193 de 2004 de la red pública, correspondiente  al IV Trimestre de 2018, Anual 2018, I, II y III Trimestre de 2019; II semestre de Calidad de 2018 y I semestre de calidad 2019.
2. Revisión de la información correspondiente al Decreto 2193 de 2004, en los terminos y tiempos estipulados.
3. Actas de revisión de la informacion correspondiente al Decreto 2193 de 2004.
4. Validar y enviar oportunamente la información del Decreto 2193 de 2004 al Ministerio de Salud y Protección Social </t>
  </si>
  <si>
    <t>-</t>
  </si>
  <si>
    <t>Gloria Esperanza Ceron y Juan José Parra - Profesionales Unieversitarios -Area Red de Prestacion de los Servicios.</t>
  </si>
  <si>
    <t xml:space="preserve">1. Generar acto administrativo para la revisión de las Auto- Evaluaciones de Desempeño Semestrales y Anuales, vigencia 2018 (anual) y Primer semestre vigencia 2019,
2. Remisión del Instructivo para  el diligenciamiento de la Autoevaluación.
3. Revisión de las Autoevaluaciones. 
4,  Actas con las observaciones realizadas a las Autoevaluaciones 
</t>
  </si>
  <si>
    <t>1.  Generar acto administrativo con los lineamientos para la eleboración del proyecto de presupuesto de la vigencia 2019.
2,  Revisión y asistencia técnica del proyecto de presupuesto de la vigencia 2019 de las ESE de orden departamental.
3. Emitir informe de las observaciones y/o recomendaciones del proyecto de presupuesto presentado.
4, Remisión al CONFIS para la aprobación de los proyectos de presupuesto.
5. Acompañamiento a las Juntas Directivas para la socialización del presupuesto 2019</t>
  </si>
  <si>
    <t>1. Asistencia técnica en la evaluación del Plan de Gestión y del Informe que se presentara a Junta Directiva correspondiente a la vigencia 2017. asi mismo, asistencia técnica en los ajustes a los Planes de Gestión acorde a lo estipulado en la Resolución 408 de 2018,
2. Revisión de los Informes de evaluación de los Planes de Gestión de los gerentes remitidos por las Juntas Directivas y de los Ajustes de Plan de Gestión de las ESE Departamentales
3. Emitir las observaciones y recomendaciones a los Planes de Gestión revisados.
4. Generar la Matriz de Evaluaciones de los Planes de Gestión.
5. Acompañamiento a los miembros de la Junta Directiva de las ESE departamentales, en la Evaluación del Plan de Gestión de la vigencia 2017 y modificación del Plan de Gestión, a solicitud de la Secretaria de Salud del Departamento.</t>
  </si>
  <si>
    <t>1.426.938</t>
  </si>
  <si>
    <t>1-Asitencia tecnica colectiva o individual en la tematica relaciondada con el Sistema Obligatorio de Garantía de Calidad - SOGC. 2-Asitencia tecnica colectiva o individual  Sistema de Información para la Calidad - SIC.  3-  Asistencia tecnica colectiva o individual de laformulación e implementación del Plan de Auditoría para el Mejoramiento de la Calidad de la atención en Salud – PAMEC   4- Asitencia tecnica colectiva o individual del programa TECNOVIGILANCIA 5- Asitencia tecnica colectiva o individual del programa de REACTIVOVIGILANCIA.</t>
  </si>
  <si>
    <t>Gerardo Espinosa, Yenny Alexandra Díaz, Franciny Lopez, Karina García, Nattalia Muñoz, Orlando Alvarez</t>
  </si>
  <si>
    <t>1 Realizar la inscripcion en el registro especial de prestadores de servicios de salud - REPS a todos los prestadores que lo requieran.                 2 Busqueda activa de profesionales no incritos del depto                         3 Busqueda activa de profesionales no renovados del depto</t>
  </si>
  <si>
    <t>Henry Peña, Franciny Lopez</t>
  </si>
  <si>
    <t>1 Realizar visita previa de los estandares de  habilitacion a los nuevos prestadores de servicios de salud del Departamento que ofrecen servicios de urgencias, obstetricia, Transporte especial, servicios de alta complejidad e IPS nuevas</t>
  </si>
  <si>
    <t>Franciny Lopez</t>
  </si>
  <si>
    <t xml:space="preserve">1 Realizar visita de verificación de estándares de habilitación a los prestadores de salud del Cauca        2 Realizar visitas de inspeccion vigilancia y control </t>
  </si>
  <si>
    <t>1 Verificar los prestadores de servicios de Seguridad y salud en el trabajo con licencia de funcionamiento.        2 Realizar licencias de salud ocupacional para los tecnicos y profesionales.</t>
  </si>
  <si>
    <t>Magda Lidy Agudelo</t>
  </si>
  <si>
    <t>1 Realizar visita de verificación de estándares de habilitación a los   los prestadores de servicios de Seguridad y salud en el trabajo con licencia de funcionamiento</t>
  </si>
  <si>
    <t>Franciny Lopez, Magda Lidy Agudelo</t>
  </si>
  <si>
    <t>Norte, sur, oriente, pacifico, macizo, centro, bota caucana</t>
  </si>
  <si>
    <t xml:space="preserve">
1.- Caracterizacion segun norma resolucion resolucion 518 de 2015 proceso COORDINACION INTERSECTORIAL
2.-Caracterizacion segun norma resolucion resolucion 518 de 2015 proceso DESARROLLO DE CAPACIDADES
16.-Caracterizacion segun norma resolucion resolucion 518 de 2015 proceso PARTICIPACION SOCIAL
3.-Caracterizacion segun norma resolucion resolucion 518 de 2015 proceso GESTION DEL CONOCIMIENTO
4.-Caracterizacion segun norma resolucion resolucion 518 de 2015 proceso INSPECCION, VIGILANCIA Y CONTROL SANITARIO
5.-Caracterizacion segun norma resolucion resolucion 518 de 2015 proceso PRRESTACION DE SERVICIOS INDIVIDUALES
6.-Caracterizacion segun norma resolucion resolucion 518 de 2015 proceso GESTION DE LAS INTERVENCIONES COLECTIVAS
7.-Caracterizacion segun norma resolucion resolucion 518 de 2015 proceso GESTION ASEGURAMIENTO
8.-Caracterizacion segun norma resolucion resolucion 518 de 2015 proceso GESTION DEL TALENTO HUMANO
9.-Caracterizacion segun norma resolucion resolucion 518 de 2015 proceso GESTION DE INSUMOS DE INTERES EN SALUD PUBLICA
10.-Caracterizacion segun norma resolucion resolucion 1536 de  2015 proceso GESTION DE LA PLANEACION EN SALUD
11.-Caracterizacion DEL PROCESO DE RIPSS
12.- HERRAMIENTA DE VERIFICACION PARA LA APROBACION DE LAS RIPSS
Socializacion de los resultados acumulados del ejercuicio con las areas de pertienncia para proyectar acciones de implementacion
Identificar los procedimientos cordes y consecuentes con la nueva proipuesta de procesos de la secretaria cde conformidad a las resoluuciones 518 y 1536 de 2015.
 </t>
  </si>
  <si>
    <t>Lider del proyecto Sistema Obligatorio de Garantía de la Calidad</t>
  </si>
  <si>
    <t>Es de resaltar la caracterizacion de la poblacion beneficiaria de la ejecutoria de la funcion publica asignada y de naturaleza de la secretaria de salud, teniendo como particularidad la siguiente caracterizacion de la poblacion de interes:
Poblacion Total_: 1426938 discriminados en 723784 mujeres y 720413 hombres y una participacion racial de la siguiente maneraÑ:
Indigenas_: 290082, afro: 299409 y mestizos: 836706</t>
  </si>
  <si>
    <t>Norte, Sur, Oriente; Pacífico, Macizo, Centro, Bota Caucana</t>
  </si>
  <si>
    <r>
      <t xml:space="preserve">1.Configuración de la red LAN para servidores de la Secretaría Departamental de Salud del Cauca. 
2. Cofiguración del Switch Core. 
3.Configuración del segmento de la red WLAN y LAN para usuarios internos. 
4. </t>
    </r>
    <r>
      <rPr>
        <sz val="10"/>
        <color rgb="FFFF0000"/>
        <rFont val="Arial"/>
        <family val="2"/>
      </rPr>
      <t>Analisis,  diseño e implementación de la Intranet.</t>
    </r>
    <r>
      <rPr>
        <sz val="10"/>
        <color theme="1"/>
        <rFont val="Arial"/>
        <family val="2"/>
      </rPr>
      <t xml:space="preserve">
5. Configuración del segmento de red para invitados.
6. Balanceo de cargas en el  firewall                                                                                                                                                    </t>
    </r>
  </si>
  <si>
    <t>Maria Zulieth Peña Echavarria</t>
  </si>
  <si>
    <t xml:space="preserve">Población Cauca 2019  tiene en total de 1.426.938 habitantes de los cuales HOMBRES son 722.675 y MUJERES 704.263, de los cuales son discapacitados 29.721 y desplazados 145.614 habitantes. La distribución por etnia: Afro 299.409,  Indigenas  290.082, Ron 1, Raizales 2,  Otros 837.447 . Los municipios beneficiados son los 42 por que trimestralmente se validan los RIPS de PPNA y los de la 2193 de las IPS públicas de departamento.  </t>
  </si>
  <si>
    <t xml:space="preserve">1. Gestión y envío de los reportes de información relacionados con eventos de alto costo de la población pobre no afiliado en caso de presentarse                                 2.Gestión y difusión a las diferentes áreas de la SDSC de la información de la información en Salud que sirva para la toma de decisiones                                       3. Incorporar los registros necesarios para generar mediante gráficos, tablas, representación geográfica de los datos; los reportes de Indicadores de Salud al sistema de información de la SDSC  para obtenerlos de manera eficiente, periódica y automática                                                                                          4.Depuración de datos identificando y corrigiendo valores errados, fuera de rango y omisiones en las bases de datos (RIPS 2193) Registros Individuales de Prestación de Servicios en Salud de la SDSC.                                                                5. Apoyo a la recepción, validación y comunicación de inconsistencias en el contenido de los Registros Individuales de Prestación de Servicios en Salud de cuentas medias por atención a Población Pobre no Afiliada                                                         6.Diseño de formularios de consulta para exportar información manejable por aplicaciones ofimáticas.                                                                                                   7. Análisis, diseño, implementación y mantenimiento de aplicaciones para la gestión de procesos del área prestación de servicios                                                        8.Mantener el soporte y administración del sitio web institucional como mecanismo obligatorio para la difusión de la información de la gestión pública con el objetivo de lograr una administración pública eficiente coordinada, transparente y eficiente mediante el uso de las tecnologías de la información.                    9. Elaboración de copias de seguridad periódicas de las bases de datos institucionales y realizar las pruebas de restauración de las mismas de acuerdo a las políticas de seguridad establecidas en la entidad.     10.Mantenimiento de aplicaciones basadas en developer para ORACLE.                                                                                                         </t>
  </si>
  <si>
    <t xml:space="preserve">1. Convocar a los entes territoriales municipales para capacitación en los temas relacionados con el SISPRO                                                                               2.Orientar a los usuarios internos y externos  en la gestión para el   ingreso al portal del SISPRO  para realizar consultas.                                                                    3. Realizar asistencia técnica a los responsables de reportar información en el manejo de la plataforma de intercambio de información PISIS                   4.Realizar la transferencia de los reportes de información reglamentados por el Ministerio de Salud    </t>
  </si>
  <si>
    <t>1. Elaboración del plan de mantenimiento preventivo que permita optimizar la plataforma tecnológica (hardware y software) de la entidad                      2.Elaboración y entrega de reportes en caso de presentarse eventos de incumplimiento de políticas de seguridad por parte de los usuarios responsables de equipo de cómputo, periférico o accesorio de tecnología de información que sufra algún desperfecto, daño por maltrato, descuido o negligencia                                                                                                                     3.Gestión y solución de incidentes, requerimientos de asistencia informática y operativa a usuarios en herramientas de hardware, software y demás herramientas tecnológicas (computadores, impresoras, equipos de apoyo informático y comunicaciones).                                                                          4.Supervisión del buen uso y funcionamiento de los equipos institucionales (computadores, impresoras, software, dispositivos de red, dispositivos de almacenamiento, etc.)</t>
  </si>
  <si>
    <t xml:space="preserve">1 Capacitación a las IPS  del departamento en la gestión y cargue de registros de Nacimiento y Defunción en la plataforma del SISPRO  RUAF - ND                          2. Capacitación a estudiantes de último año de medicina en la gestión y cargue de registros de Nacimiento y Defunción en la plataforma del SISPRO  RUAF - ND .  3.Gestión y cargue de registros a la base de datos y  control de entrega de certificados de nacidos vivo y defunción en el Departamento del Cauca.                4. Gestión y consecución de certificados de nacidos vivo y defunción, previa solicitud al DANE y distribución a las 42 Secretarias Municipales de Salud.          5.Ingreso y verificación de datos a la plataforma RUAF-ND de los certificados de nacidos vivo y defunción de formato tradicional, provenientes de las IPS públicas, privadas y particulares que prestan servicios extramurales. </t>
  </si>
  <si>
    <t>42 municipios</t>
  </si>
  <si>
    <t xml:space="preserve">1. Obtener informacion de los eventos de interes en salud publica en el SIVIGILA DE 42 UNM
2. Socializar los dato de cumplimiento de la notificacion y calidad de la informacion del SIVIGILA tres  COVEs Departamentales.
3. Enviar requerimientos a las Secretarías de Salud Municipal para completar los seguimientos y justificaciones en la no notificacion semanal.
4. Consolidar  la  información de la BAI (Busqueda Activa institucional) enviada por los  42 municipios y entregarla a los referentes 
5. Realizar seguimiento a las UPGD y UNM en el cumplimiento de la notificacion.
6.  Realizar asistencia tecnica a las UPGD y UNM  en la notificación y calidad de la información.
7. Monitorear la calidad y la oportunidad de la notificación
8.   Realizar concordancia en la notificacion de SIVIGILA y RUAF
</t>
  </si>
  <si>
    <t>DR. DUBAN ELY QUINTERO M.  Area Vigilancia en Salud Publica</t>
  </si>
  <si>
    <t xml:space="preserve">1. Monitorear la oportunidad en el acceso a los servicios de salud por cada refeente.
2. Monitorear en forma  mensual de la notificación de los ajustes de casos al SIVIGILA en cuanto a los eventos 
3. Apoyar y asistir mensualmente  a los  COVEs departamental y el Comité de Estadísticas Vitales del departamento
4. Apoyar el seguimiento a la realización de COVECOM municipal
5. Realizar control de calidad de la información de los monitoreos rápidos de cobertura y efectuar el análisis de los resultados
6. Participar en reuniones semanales del Area para analizar los eventos y funcionamiento del sistema de VSP
7. Analizar trimestralmente búsqueda activa institucional de los eventos
8. Elaborar boletines trimestrales de los eventos.
9. Apoyar a los municipios en la elaboración del ASIS 2017
10. Apoyar la asistencia tecnica y seguimiento en cuanto a la realizacion de estudios de campo y unidades de analisis según paramentros del protocolo respectivo de los eventos de ISP
11. Participacion en el proceso de implementacion del Modelo MIAS en los municipios priorizados
</t>
  </si>
  <si>
    <t>70,45%</t>
  </si>
  <si>
    <t>1. Planes de Mejoramiento de los Bancos de Sangre, segun la necesidad.
2. USO (Unidades de Sangre Obtenidas)  por mes y resportadas al INS
3. Informe trimestral de las pruebas infecciosas confirmadas por los Bancos de Sangre y reportadas a VSP y al INS
4. Apoyo a los Bancos de Sangre en las actividades de Donación voluntaria y altruista de sangre bajo las directrices de la Red Nacional de Sangre del INS una vez por semestre.
5. Visita de asistencia técnica anual a los serivios de transfusión.</t>
  </si>
  <si>
    <t xml:space="preserve">Victoria Esther Eljach Pacheco-Profesional Especializado Laboratorio de Salud Pública. </t>
  </si>
  <si>
    <t>69,5%</t>
  </si>
  <si>
    <r>
      <t xml:space="preserve">
1. Informe del IRCA mensual de los acueductos Municipales y/o veredales de acuerdo a las Regiones del SIAS.
2. Informes de vigilancia y/o diagnostico de plaguicidas, organofosforados y carbamatos de acuerdo a las muestras que se envien al LSP
3. Informes de vigilancia de calidad de agua de piscinas y estructuras similares de acuerdo a las muestras que se envien al LSP
4. Informes mensuales del control de calidad de los distrubuidores de medicamentos de acuerdo a las muestras que se envien al LSP
5. Informes mensuales de control de calidad de los distribuidores, transportadores y almacenadores de alimentos y bebidas alcoholicas de acuerdo a las muestras que se envien al LSP
6. Actas de visitas de inspección sanitaria a los prestadores de acuerductos de acuerdo a la priorización que se realice.
7. Actas de socialización de estandares de calidad a los laboratorios de la Red Departamental, de acuerdo a la programación del LSP.
8. Resultados mensuales de la EEID de los Laboratorios Públicos y Privados de los Eventos de Interes en Salud Pública.
9. Fichas epidemiologicas de los EISP reportados a VSP y al aplicativo SIVIGILA que lleguen al LSP.
10. Resultados de los EISP que llegan del INS o que sean procesados en el LSP reportados a VSP, a las unidades remitentes y al aplicativo SIVIGILA
11. Informe de la acciones realizadas por el LSP en caso de brotes o epidemia.
12. Informe mensual de las IAAS confirmadas por el INS.
13. Actas de Visita de Asistencia Técnica realizadas a la Red Departamental de Laboratorios
14. Capacitaciones mensuales realizadas a la Red Departamental de Laboratorios
</t>
    </r>
    <r>
      <rPr>
        <b/>
        <sz val="11"/>
        <color theme="1"/>
        <rFont val="Calibri"/>
        <family val="2"/>
        <scheme val="minor"/>
      </rPr>
      <t/>
    </r>
  </si>
  <si>
    <t>1. Actas y oficios para la gestión de la construcción del laboratorio</t>
  </si>
  <si>
    <t>29,97%</t>
  </si>
  <si>
    <t>1. Manual de Calidad revisado y ajustado.
2. Hojas de vida actualizada de los equipos del LSP
3. Procedimientos y metodos de ensayo documentados.
4. Manual de Bioseguridad del LSP revisado y ajustado.
5. Plan de Gestión Integral de Residuos Hospitalarios y similares revisado y ajustado.
6. Actas de socialización y sencibiliazación de la documentación del SIG</t>
  </si>
  <si>
    <t>Afro masculino: 143080; Afro Femenino: 147787; Indígena Masculino: 145154; Indígena Femenino: 136386</t>
  </si>
  <si>
    <t>Afro masculino: 135627; Afro Femenino: 140735; Indígena Masculino: 144622; Indígena Femenino: 135883</t>
  </si>
  <si>
    <t>1. Bases de datos de vacunación                          2. Contratos del  personal de apoyo                                                                    3. Actas de asesoría y asistencia técnica                                               4. Bases de datos de manejo de biológico del componente zoonosis</t>
  </si>
  <si>
    <t xml:space="preserve">Por Reprogramar </t>
  </si>
  <si>
    <t>Estan en Plan de Mejoramiento con el DNP deben reprogramar los recursos para esta vigencia.</t>
  </si>
  <si>
    <t>Norman Giovanni Apráez Ippolito - Profesional Especializado - Área Salud Ambiental, Nelly Eiliana Bolaños Bolaños-Profesional Universitaria -Area Salud Ambiental, Jorge Irne Tafurth Morera-Profesional Universitario-Area Salud Ambiental.</t>
  </si>
  <si>
    <t>Astrid Lucero AponzaVillaquiran, Profesional Universitario-Area Laboratorio de Salud Publica Jose Libardo Pomepo Pabon-Profesional Universitario- Area Red de Prestacion de Servicios, Jorge Irne Tafurth Morera-Profesional Universitario-Area Red de Prestacion de Servicos, Duban Ely Quintero Muñoz-Profesional Especializado-Area Vigillancia en Salud Pública.</t>
  </si>
  <si>
    <t>Dimensión 2:Vida saludable y condiciones no transmisibles</t>
  </si>
  <si>
    <t>Sur, Costa Pacifica, Norte,  Macizo y Centro</t>
  </si>
  <si>
    <t>1. Instrumento del sistema nacional de monitoreo  de Coldeportes diligenciado
2. Un documento narrativo por cada encuentro masivo realizado 
3. Plan de capacitacion formulado y desarrollado</t>
  </si>
  <si>
    <t xml:space="preserve">Poblacion Afro: 214.527, poblacion indigena : 198.024. población campesina: 412.403. Personas con Discapacidad: 150 </t>
  </si>
  <si>
    <t>1. Diagnostico de la estrategia  de vivienda saludable  
2. Plan de capacitacion formulado y desarrollado
3. Instrumento de evaluacion  de la estrategia IEC  diligenciado</t>
  </si>
  <si>
    <t xml:space="preserve">1. Documento consolidado de las actividades de promocion y prevecion 
2. Plan intersectorial con Avances  formulado </t>
  </si>
  <si>
    <t xml:space="preserve">1. Documento consolidado de las actividades de promocion y prevecion 
2. Ruta pedagogica de la estrategia escuela de puertas abiertas (EPA) continuacion de la  implementacion </t>
  </si>
  <si>
    <t>Reportes de la canalizacion    por institución educativa con el respectivo soporte</t>
  </si>
  <si>
    <t>Plan de capacitacion formulado y desarrollado</t>
  </si>
  <si>
    <t>Sur, Costa Pacifica, Norte,  Piedemonte y Centro</t>
  </si>
  <si>
    <t xml:space="preserve">Estragia  IEC diseñada e implementada </t>
  </si>
  <si>
    <t>Poblacion Afro: 41.868, poblacion indigena : 38.647. población campsina: 74.078. Personas con Discapacidad: 3.220</t>
  </si>
  <si>
    <t xml:space="preserve">1. Estrategia  IEC  de detección temprana de  cáncer (estómago y leucemias) formulada 
2. Documento mensual del monitoreo  de los casos de   cáncer (estómago y leucemias) realizado
3. Documento cualitativo y cuantitativo con su respectivo análisis de la línea de base levantada </t>
  </si>
  <si>
    <t xml:space="preserve">Poblacion Afro: 371.003, poblacion indigena : 342.465. población campesina: 675.078. Personas con Discapacidad: 38.398  </t>
  </si>
  <si>
    <t xml:space="preserve">1. Documento de las RIAS de Cancer  Adaptado 
2. Documento cualitativo y cuantitativo con su respectivo análisis de la línea de base levantada
</t>
  </si>
  <si>
    <t>1. Documento cualitativo y cuantitativo con su respectivo análisis de la línea de base levantada
2. Plan de capacitacion formulado y desarrollado</t>
  </si>
  <si>
    <t>Kelly Yoana Tello Hoyos -Profesional Especializada-Area Proyectos Prioritarios.</t>
  </si>
  <si>
    <t>17,8%</t>
  </si>
  <si>
    <t>0,83%</t>
  </si>
  <si>
    <t>Dimensión 3
Convivencia Social y Salud Mental</t>
  </si>
  <si>
    <t xml:space="preserve">Santander
Piendamo
Timbio
Popayán
Toribio
Caldono
Inza
Argelia
Cajibio
Purace
Totoró
</t>
  </si>
  <si>
    <t xml:space="preserve">Norte
Sur
Centro
Oriente
</t>
  </si>
  <si>
    <t>960 (entre pacientes y cuidadores)</t>
  </si>
  <si>
    <t>1. Jornadas, donde se aborde  temas de: Problemas mentales
Trastornos mentales
Suicidio e intento de suicidio
Consumo de SPA
Primeros auxilios psicológicos
Primeros auxilios psiquiátricos - epilepsia
2. Matriz de caractarización de los pacientes y cuidadores  detectados, identificados y atendidos
3.Canalización y seguimeintos de los pacientes identifiacados a las EAPB
3. Ejecución de planes de acción con pacientes y cuidadores con problemas en S.M, Trastornos Mentales, Suicidios, Consumo de S.P.A y Epilpesia</t>
  </si>
  <si>
    <t>MARTHA DUARTE
Profesional Universitario
SANDRA CALDAS
Referente Salud Mental</t>
  </si>
  <si>
    <t xml:space="preserve">Hombres:420
Mujeres:580
Poblacion Afro:260
Poblacion Indigena:240
Poblacion Mestiza: 500
</t>
  </si>
  <si>
    <t>Caloto, Miranda, Puerto Tejada, Santander de Quilichao, Timbio, Rosas, Padilla, Purace, Totoro, Patía, Mercaderes, Sucre, Toribio yTambo</t>
  </si>
  <si>
    <t xml:space="preserve">Norte, Centro, Macizo, Oriente y Sur  </t>
  </si>
  <si>
    <r>
      <rPr>
        <b/>
        <sz val="11"/>
        <color theme="1"/>
        <rFont val="Calibri"/>
        <family val="2"/>
        <scheme val="minor"/>
      </rPr>
      <t>ESTRATEGIAS FAMILIAS FUERTES AMOR Y LIMITES</t>
    </r>
    <r>
      <rPr>
        <sz val="11"/>
        <color theme="1"/>
        <rFont val="Calibri"/>
        <family val="2"/>
        <scheme val="minor"/>
      </rPr>
      <t xml:space="preserve">
1. Identificación de familias sanas con caracteristicas de niños entre las edades de 10 a 14 años
2. Desarrollo de las 7 sesiones con padres e hijos
3. Subir la informaion a la plataforma a nivel Nacional del Programa Familias Fuerts Amor y Límites
4. Seguimiento a los 3 meses a la familias beneficidas del Programa.
</t>
    </r>
    <r>
      <rPr>
        <b/>
        <sz val="11"/>
        <color theme="1"/>
        <rFont val="Calibri"/>
        <family val="2"/>
        <scheme val="minor"/>
      </rPr>
      <t>ZONAS DE ORIENTACIÓN ESCOLAR:</t>
    </r>
    <r>
      <rPr>
        <sz val="11"/>
        <color theme="1"/>
        <rFont val="Calibri"/>
        <family val="2"/>
        <scheme val="minor"/>
      </rPr>
      <t xml:space="preserve">
1. Identificación de una Institución Educativa donde se va a implementar el dispositivo comunitario
2. Identificación, atención a estudiantes y padres de familia que presenten algún problema en salud mental
3. Implementación de las 7 fases del dispositivo comunitario</t>
    </r>
  </si>
  <si>
    <t xml:space="preserve">Hombres:534
Mujeres: 606
Poblacion Afro:296.4
Poblacion Indigena:273.6
Poblacion mestiza: 570
</t>
  </si>
  <si>
    <t>Popayán, Santander de Quilichao, Miranda, Timbio, Toribio, Paez, Piendamo, El Ttambo, Cajibio, Caldono, Silvia, Suarez, Balboa, Morales, Sucre, La Vega, Santa Rosa, Almaguer, Guapi, Lopez de Micay, Timbiqui y  Purace</t>
  </si>
  <si>
    <t>Centro, Norte, Oriente,  Sur, Macizo y Pacifico</t>
  </si>
  <si>
    <r>
      <rPr>
        <b/>
        <sz val="11"/>
        <color theme="1"/>
        <rFont val="Calibri"/>
        <family val="2"/>
        <scheme val="minor"/>
      </rPr>
      <t xml:space="preserve">1. ACCIONES DE CONVIVENCIA SOCIAL Y PREVENCION DE LA VIOLENCIA EN EL AMBITO FAMILIAR Y COMUNITARIO:       
</t>
    </r>
    <r>
      <rPr>
        <sz val="11"/>
        <color theme="1"/>
        <rFont val="Calibri"/>
        <family val="2"/>
        <scheme val="minor"/>
      </rPr>
      <t xml:space="preserve">Generar actitudes y aptitudes de buen trato entre los miembros de la familia y brindar una atención comunitaria a la familia cuando lo requiera y direccionarlos según la ruta de atención en salud mental, para que les brinden una atención más especializada beneficiando a 20 familias con niños entre las edades de 12 a 18 años,  por municipio asignado y capacidad instalada a 20 lideres de la comunidad en APS en salud mental
</t>
    </r>
    <r>
      <rPr>
        <b/>
        <sz val="11"/>
        <color theme="1"/>
        <rFont val="Calibri"/>
        <family val="2"/>
        <scheme val="minor"/>
      </rPr>
      <t xml:space="preserve">2. RELACIONES PARENTALES: </t>
    </r>
    <r>
      <rPr>
        <sz val="11"/>
        <color theme="1"/>
        <rFont val="Calibri"/>
        <family val="2"/>
        <scheme val="minor"/>
      </rPr>
      <t xml:space="preserve">Generar actitudes de buen comportamiento de cuidado, protección y educación e interacciones en las relaciones paterno/ materno-filiales, en 20 familias con niños entre las edades de 12 a 16 años, por municipio asignado por medio de 6 talleres trabajados con padres y adolescentes 
</t>
    </r>
  </si>
  <si>
    <t xml:space="preserve">Hombres:240
Mujeres:340
Poblacion Afro:150.8
Poblacion Indigena:139.2
Poblacion Mestiza: 290
</t>
  </si>
  <si>
    <t>Total Poblacion (43,520) Mujeres (22,152), Hombres (21,218) Afros (11,315) indigenas (10,444).</t>
  </si>
  <si>
    <t>1. Operatividad del software antrho. 2.personal capacitado designado para el desarollo del software 3. conocimientos del software. 3. instalación  de un equipo de computo idoneo. 4. diligenciamiento oportuno del software. 5.reportes trimestrales  en la plantilla con actualizacion de la resolucion 2465 de 2016 a la SSM, SDSC, EAPB.</t>
  </si>
  <si>
    <t xml:space="preserve">Piedemonte
Oriente
Sur
Costa Pacifica
Norte
Macizo
Centro
</t>
  </si>
  <si>
    <t>18.151 NV Hombres 9342, Mujeres (8807) afro (1842) , indigenas (2997) no ertnicos (13312), total bajo peso al nacer 544 que equivalen a una proporcion del 3%.</t>
  </si>
  <si>
    <t>1.Actas de  seguimiento  a los niños con bajo peso al nacer de los 42 municipios del departamento. 2.  reporte generado de RUAF  y SIVIGILA en el que se verifica la concordacia de los bajos pesos al nacer de los 42 municipios. 3.  retroalimenta con cada uno de los municipios del cauca con el fin de realizar los estudios de campo y el seguimiento respectivo hasta lograr el peso adecuado.</t>
  </si>
  <si>
    <t xml:space="preserve">0-6 años 135,979, Afros (37,954) Indigenas (35.043)
</t>
  </si>
  <si>
    <t>1.Construcion de ruta de atencion nutricional de menores de cinco años 2. ruta  nutricional de gestante 3.. Rutas de atencion socializadas en los municipios 3. rutas de atencion operando con todos los actores insterinstitucionales.4. identificacion de los casos con algun grado de DNT con su respectivo seguimiento.</t>
  </si>
  <si>
    <t xml:space="preserve">0-6 años 135,979 (34.664 Mujeres, 33.326 Hombres), Afros (37,954) Indigenas (35.043)
</t>
  </si>
  <si>
    <t>Total poblacion 20,000 afros: (3000), indigenas (4200), otros: (12.800)</t>
  </si>
  <si>
    <t>1. Medicion de la lactancia materna en los 42 munipios con soporte metodologico e investigativo</t>
  </si>
  <si>
    <t>41 excepto popayan</t>
  </si>
  <si>
    <t xml:space="preserve">Total Poblacion (258,441)  Afros: (67195), indigenas (62026), otros: (129.220) </t>
  </si>
  <si>
    <t>1. Diagnóstico de escolares de  160 Instituciones educativas Agropecuarias (IEA) y 900 familias, que incluya 2.formatos de familias preseleccionadas x cada IEA de cada municipio,        2. Peso y Talla, 3.Fichas de reuniones, 4.Registro fotográfico.       5.Listados de asistencia.
6.Plan de intercambio saberes y sabores  elaborado. 7. Plan del CISAN  elaborado.</t>
  </si>
  <si>
    <t xml:space="preserve">Total Poblacion  63,193 Afros: (16430), indigenas (15,166), otros: (31,597) </t>
  </si>
  <si>
    <t>Dimensión 5:Sexualidad Derechos Sexuales y Reproductios</t>
  </si>
  <si>
    <t xml:space="preserve">1-Mercaderes,
2- Patía,
3-  Caldono,
4- Buenos Aires,
5- Suarez,
6-Tambo,
7-Sotara,
8-Popayan,
9- Timbio,
10-Jambalo,
11-Toribio,
12- Miranda,
13- Villa Rica,
14- Padilla.
</t>
  </si>
  <si>
    <t>Centro, Oriente, Macizo, Norte,Sur</t>
  </si>
  <si>
    <t xml:space="preserve">Realizar Formacion a Lideres en Derechos sexuales y Reporductivos </t>
  </si>
  <si>
    <t>Omar Felipe Murillo Muñoz-Profesional Especializado</t>
  </si>
  <si>
    <t>poblacion:155.412,24 indigena,168363,26 afros,323775,5 meztizos, 12951,02 discapacitados.</t>
  </si>
  <si>
    <t>Caldono,  Inza, Lopez de Micay, Timbiqui, Paez, Silvia y Timbiqui</t>
  </si>
  <si>
    <t>Centro, Oriente, Pacifica, Norte</t>
  </si>
  <si>
    <t>Desarrollar una estrategia de educación y  comunicación con la comunidad  para optimizar el acceso y   adherencia al control prenatal con pertinencia cultural</t>
  </si>
  <si>
    <t>AFRO: 1366    INDIGENA: 1800 MESTIZO: 12672  ROM: 2</t>
  </si>
  <si>
    <t>San sebastia, Bolivar, Argelia, La vega, Sucre, Suarez, Lopez de Micay, La sierra</t>
  </si>
  <si>
    <t xml:space="preserve">Desarrollar una estrategia para el fortalecimiento en la canalizacion oportuna de las mujeres gestantes al programa de control prenatal 
</t>
  </si>
  <si>
    <t>AFRO: 1040 INDIGENA: 1371 MESTIZO: 9648  ROM: 1</t>
  </si>
  <si>
    <t xml:space="preserve">PIAMONTE
MORALES
LA SIERRA
SAN SEBASTIAN
PUERTO TEJADA
MIRANDA
SILVIA
BALBOA
EL TAMBO
ALMAGUER
</t>
  </si>
  <si>
    <t>PIEDEMONTE, CENTRO, MACIZO, NORTE, SUR</t>
  </si>
  <si>
    <t>Desarrollar Información en salud contenidas en: cartillas ó rotafolios u otros elementos que orienten y promocionen los siguientes temas:  Derechos sexuales y Reproductivos, métodos de anticoncepción, criterios de elegibilidad de planificación familiar. Dichos insumos deben ser diseñados a partir de la  interculturalidad.//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5. unidades de análisis  departamentales de las MM realizadas .//6. articipar  en los Comité de vigilancia epidemiológica asignados a la Dimensión cinco durante el año.//7. seguimientos a los Eventos de interés en salud pública de SSR realizadas// Implementación del modelo MIAS en algunos Municipios del Departamento del Cauca// Atención integral de los jovenes en las IPS// Jovenes empoderados de los derechos sexuales y reproductivos</t>
  </si>
  <si>
    <t>AFRO: 1455    INDIGENA: 1343 MESTIZO: 2798  ROM:0    DISCAPACIDAD: 56</t>
  </si>
  <si>
    <t xml:space="preserve">PIAMONTE
EL TAMBO
LA SIERRA
SAN SEBASTIAN
PUERTO TEJADA
MIRANDA
SANTANDER
JAMBALÓ
PURACE
ARGELIA
SANTA ROSA
SUAREZ
VILLA RICA
TIMBIO
TOTORÓ
</t>
  </si>
  <si>
    <t>PIEDEMONTE, CENTRO, MACIZO, NORTE, SUR, ORIENTE</t>
  </si>
  <si>
    <t>Realizar educación para la salud en 2 instituciones educativas del Municipio que contenga  conceptos y habilidades para la convivencia y el ejercicio de los DSR dirigido a estudiantes y padres de familia.//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5. unidades de análisis  departamentales de las MM realizadas .//6. articipar  en los Comité de vigilancia epidemiológica asignados a la Dimensión cinco durante el año.// 7.seguimientos a los Eventos de interés en salud pública de SSR realizadas// Implementación del modelo MIAS en algunos Municipios del Departamento del Cauca// Atención integral de los jovenes en las IPS// Jovenes empoderados de los derechos sexuales y reproductivos// articulación intersectorial en los diferentes proyectos en pro de la reducción de embarazo en los adolescente// Articulación con educación para apoyar procesos en beneficio de la reducción de embarazo adolescente</t>
  </si>
  <si>
    <t>AFRO: 1599   INDIGENA: 1476 MESTIZO: 3075  ROM:0  DISCAPACIDAD: 61</t>
  </si>
  <si>
    <t>42 Municipios</t>
  </si>
  <si>
    <t>Todas la 7 regiones del Departamento</t>
  </si>
  <si>
    <t>Realizar dos jornadas de Salud Sexual y Reproductiva con énfasis en planificación familiar. Una en la cabecera Municipal y una en la vereda con mayor población del Municipio. Debe haber especial participación de población adolescente y jóven//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.//6. articipar  en los Comité de vigilancia epidemiológica asignados a la Dimensión cinco durante el año.//7. seguimientos a los Eventos de interés en salud pública de SSR realizadas// Brindar asistencia técnica para brindar asesoría en planificación familiar según criterios de elegibilidad//  fortalecer la oferta completa de anticonceptivos segun resolución 769 de 2008// Seguimiento a la circular 138 de 2017 "anticoncepción post evento obstétrico"// Seguimiento a los RIPS del Departamento en los Rips de consulta de primera vez de planificación familiar// Implementación del modelo MIAS en algunos Municipios del Departamento del Cauca</t>
  </si>
  <si>
    <r>
      <rPr>
        <b/>
        <sz val="10"/>
        <color theme="1"/>
        <rFont val="Arial"/>
        <family val="2"/>
      </rPr>
      <t xml:space="preserve">AFRO: </t>
    </r>
    <r>
      <rPr>
        <sz val="10"/>
        <color theme="1"/>
        <rFont val="Arial"/>
        <family val="2"/>
      </rPr>
      <t xml:space="preserve">16385   </t>
    </r>
    <r>
      <rPr>
        <b/>
        <sz val="10"/>
        <color theme="1"/>
        <rFont val="Arial"/>
        <family val="2"/>
      </rPr>
      <t xml:space="preserve">INDIGENA: </t>
    </r>
    <r>
      <rPr>
        <sz val="10"/>
        <color theme="1"/>
        <rFont val="Arial"/>
        <family val="2"/>
      </rPr>
      <t xml:space="preserve">15125 </t>
    </r>
    <r>
      <rPr>
        <b/>
        <sz val="10"/>
        <color theme="1"/>
        <rFont val="Arial"/>
        <family val="2"/>
      </rPr>
      <t>MESTIZO:</t>
    </r>
    <r>
      <rPr>
        <sz val="10"/>
        <color theme="1"/>
        <rFont val="Arial"/>
        <family val="2"/>
      </rPr>
      <t xml:space="preserve"> 31510  </t>
    </r>
    <r>
      <rPr>
        <b/>
        <sz val="10"/>
        <color theme="1"/>
        <rFont val="Arial"/>
        <family val="2"/>
      </rPr>
      <t>ROM</t>
    </r>
    <r>
      <rPr>
        <sz val="10"/>
        <color theme="1"/>
        <rFont val="Arial"/>
        <family val="2"/>
      </rPr>
      <t xml:space="preserve">:0    </t>
    </r>
    <r>
      <rPr>
        <b/>
        <sz val="10"/>
        <color theme="1"/>
        <rFont val="Arial"/>
        <family val="2"/>
      </rPr>
      <t>DISCAPACIDAD:</t>
    </r>
    <r>
      <rPr>
        <sz val="10"/>
        <color theme="1"/>
        <rFont val="Arial"/>
        <family val="2"/>
      </rPr>
      <t xml:space="preserve"> 630</t>
    </r>
  </si>
  <si>
    <t xml:space="preserve">EL TAMBO
TIMBIO
LA SIERRA
MIRANDA
PADILLA
CORINTO
SANTANDER
VILLA RICA
JAMBALO
CALDONO
BOLIVAR
GUAPI
SANTA ROSA
PIAMONTE
</t>
  </si>
  <si>
    <t>CENTRO, MACIZO, NORTE, SUR, PIEDEMONTE</t>
  </si>
  <si>
    <t>Realizar dos jornadas de Salud Sexual y Reproductiva con énfasis en planificación familiar. Una en la cabecera Municipal y una en la vereda con mayor población del Municipio. Debe haber especial participación de población de 15 a 49 años de edad.//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5. unidades de análisis  departamentales de las MM realizadas .//6. articipar  en los Comité de vigilancia epidemiológica asignados a la Dimensión cinco durante el año.//Brindar asistencia técnica para brindar asesoría en planificación familiar según criterios de elegibilidad//  fortalecer la oferta completa de anticonceptivos segun resolución 769 de 2008// Seguimiento a la circular 138 de 2017 "anticoncepción post evento obstétrico"// Seguimiento a los RIPS del Departamento en los Rips de consulta de primera vez de planificación familiar// Implementación del modelo MIAS en algunos Municipios del Departamento del Cauca</t>
  </si>
  <si>
    <t>AFRO: 8537  INDIGENA: 7880 MESTIZO: 16417 ROM:0  DISCAPACIDAD:328</t>
  </si>
  <si>
    <t xml:space="preserve">Lopez De Micay
Paez
Sucre
Mercaderes
Argelia
La Sierra
Toribio 
Bolivar
 Silvia
Guachene
</t>
  </si>
  <si>
    <t>PACIFICO, ORIENTE, SUR MACIZO, ORTE</t>
  </si>
  <si>
    <t>1. Usuarios Tamizados en  prueba voluntaria de VIH. //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5. unidades de análisis  departamentales de las MM realizadas .//6. articipar  en los Comité de vigilancia epidemiológica asignados a la Dimensión cinco durante el año.//8. seguimientos a los Eventos de interés en salud pública de SSR realizadas</t>
  </si>
  <si>
    <t>POBLACION TOTAL HOMBRES Y MUJERES DE 15 A 49 AÑOS 119531 , DE LOS CUALES 28687 SON INDIGENAS,31078 AFRO Y 59766 MESTIZOS  Y 2390 DISCAPACITADOS</t>
  </si>
  <si>
    <t xml:space="preserve">Caloto
Caldono
Patia
PAEZ
Morales
Toribio
Villarica
Bolivar
Purace
Piamonte
</t>
  </si>
  <si>
    <t>NORTE,SUR, PIAMONTE</t>
  </si>
  <si>
    <t xml:space="preserve">1. grupo comunitario formado en promocion de derechos sexuales y reproductivos y prevencion de las ITS VIH/SIDA. //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5. unidades de análisis  departamentales de las MM realizadas .//6. articipar  en los Comité de vigilancia epidemiológica asignados a la Dimensión cinco durante el año.// </t>
  </si>
  <si>
    <t>POBLACION TOTAL DE MUJERES EN EDAD FERTIL 2719, DE LOS CUALES 653 SON INDIGENAS, 707 AFRO Y1359MESTIZOS Y 54 CON DISCAPACIDAD</t>
  </si>
  <si>
    <t xml:space="preserve">Timbiqui
Guapi
Sucre
Lopez De Micay
Caldono
Puerto Tejada
Florencia
Bordo
Suarez
La Vega
</t>
  </si>
  <si>
    <t>PACIFICO, SUR, NORTE, MACIZO</t>
  </si>
  <si>
    <t>1. estrategia de informacion educacion y comunicacion en salud dirigidos a la comunidad para la prevencion de las ITS desarrollada, // 2. asistencias tecnicas en los municipios asignados  a las Secretarias de salud Municipal y las IPS en fortalecimiento de los derechos sexualesy reproductovos realizada,// 3. Reuniones con las EAPB y Secretarios de salud municipales  realizadas .// 4. reunion de la Mesa bimestral de derechos sexuales y Reproductivos realizadas// 5. unidades de análisis  departamentales de las MM realizadas .//6. articipar  en los Comité de vigilancia epidemiológica asignados a la Dimensión cinco durante el año.//8. seguimientos a los Eventos de interés en salud pública de SSR realizadas</t>
  </si>
  <si>
    <t>POBLACION TOTAL DE MUJERES EN EDAD FERTIL 1828, DE LOS CUALES 439 SON INDIGENAS, 475 AFRO Y 914 MESTIZOS 37 CON DISCAPACIDAD</t>
  </si>
  <si>
    <t>Miranda, Guapi, Timbiqui, Mercaderes, Sotara, Jambalo, La Sierra, Silvia</t>
  </si>
  <si>
    <t>Norte, Sur,Centro, Pacifico</t>
  </si>
  <si>
    <t>Jornada de movilizacion en cancer cervico uterino realizada.</t>
  </si>
  <si>
    <t>Mujeres de 25 a 69 años 260 Afro, 240 Indigena 470 mestiza 30 Discapacidad</t>
  </si>
  <si>
    <t>Argelia,Balboar,Florencia, la vega  y patia</t>
  </si>
  <si>
    <t>Sur y macizo</t>
  </si>
  <si>
    <t xml:space="preserve">1620  personas </t>
  </si>
  <si>
    <t>1.//asistencia técnica realizada3. Reuniones con las EAPB realizadas,2.// reunión de la Mesa bimestral de derechos sexuales y Reproductivos, realizada 3.// seguimientos a los Eventos de interés en salud pública de SSR, realizado 4//.reunion del comité consultivo departamental, realizado 5//. seguimientos a los Eventos de interés en salud pública de SSR realizado //6. apoyo la gestión de procesos de formación y/o certificación  en protocolo de atención integral para victimas de Violencia Sexual  a funcionarios que prestan la atención en las IPS realizadoen los municipios de municipios</t>
  </si>
  <si>
    <t>620 hombres y 1000 mujeres en edades desde los 0 hasta los 90 año Poblacion 389  Indigena ,  Afro  421 Mestizo 821, ROM : 0 discapcidad:34</t>
  </si>
  <si>
    <t>Sotara, Bolivar, Buenos Aires,  Argelia, La Vega, Padilla, Corinto, Popayan, Timbio, Paez, Inza,La Sierra, Santa Rosa, Florencia.</t>
  </si>
  <si>
    <t>Norte, centro Sur Macizo</t>
  </si>
  <si>
    <t>420 personas</t>
  </si>
  <si>
    <t>Mesa de Promoción y Garantía de derechos sexuales conformado mediante Resolución o o decreto con plan de acción</t>
  </si>
  <si>
    <t>100 hombres,220 mujeres en edades de  20 a 69 años Poblacion indigena 100 Afro 110 Mestiza 210</t>
  </si>
  <si>
    <t xml:space="preserve">Argelia,Bolivar, El Tambo,Florencia y Silvia </t>
  </si>
  <si>
    <t xml:space="preserve">Sur, y centro </t>
  </si>
  <si>
    <t xml:space="preserve">2800 personas </t>
  </si>
  <si>
    <t>1.  actos administrativos de comité consultivos de violencias conformados.  // 2. asistencia técnica realizada  //4reunión de la Mesa bimestral de derechos sexuales y Reproductivos, realizada// 5. seguimientos a los Eventos de interés en salud pública de SSR, realizado //6.reunion del comité consultivo departamental, realizado</t>
  </si>
  <si>
    <t xml:space="preserve">900 hombres y 1900 mujeres en edades desde los 0 hasta los 90 año Poblacion 672  Indigena ,  Afro  728  Mestizo 1400, ROM : 0 discapcidad 56 </t>
  </si>
  <si>
    <t>Omar Felipe Murillo Muñoz-Profesional Especializado-Area Proyectos Prioritarios</t>
  </si>
  <si>
    <t>1,95%</t>
  </si>
  <si>
    <t>2,23%</t>
  </si>
  <si>
    <t>30 municipios excepto Popayán, Puerto tejada, caldono, Guachené, Páez, Inza, Sucre, Bolivar</t>
  </si>
  <si>
    <t>34 municipios excepto Popayán, Puerto tejada, caldono, Guachené, Páez, Inza, Sucre, Bolivar</t>
  </si>
  <si>
    <t>Almaguer, Argelia, Balboa, Buenos Aires, Cajibio, Caldono, Corinto, El Tambo, Jambaló, La Sierra, La vega, Mercaderes, Miranda, Morales, Páez, Patia, Puracé, Santander de Quilichao, Silvia, Sotará, Suarez, Sucre, Toribio, Totoró, Villa Rica</t>
  </si>
  <si>
    <t xml:space="preserve">Oriente
Sur
Norte
Macizo
Centro
</t>
  </si>
  <si>
    <t>Documento con el  Plan SAN de los municipios, y su respectivo plan de acción  para implementación como política pública.                                                                    Documento con soportes de actualizacion de los 7  Planes SAN. Acciines de actualización con componentes de cartografia social y participación comunitaria, avance hacia la construcción de planes SAN Villa Rica</t>
  </si>
  <si>
    <t>1. Actas  de inspeccion  y vigilancia sanitaria  2. Documento con evalución de condiciones de  saneamiento, calidad e inocuidad en la preparación y conservación de los alimentos en los restaurantes escolares.</t>
  </si>
  <si>
    <t>Kelly  Yoana Tello Hoyos -Profesional Especializada-Area Proyectos Prioritarios.</t>
  </si>
  <si>
    <t xml:space="preserve">Dimensión 6:Vida saludable y enfermedades  transmisibles  </t>
  </si>
  <si>
    <t>1-libro de sintomáticos  respiratorios, 2-indicadores de captación  3-informe de  casos y actividades consolidado</t>
  </si>
  <si>
    <t>Población Cauca 2018  tiene en total de 1.426.938 habitantes de los cuales HOMBRES son 702.413 y MUJERES 723.780, de los cuales son discapacitados 38.398 y desplazados 145.614 habitantes. La distribución por etnia: Afro 371.003,  Indigenas  342.465, Campesina: 713.470   Los municipios beneficiados son los 42 por que trimestralmente se validan los RIPS de PPNA y los de la 2193 de las IPS públicas de departamento.
La meta de sintomáticos respiratorios a captar, se establece de manera anual, no se puede dividir entre el cuatrenio</t>
  </si>
  <si>
    <t>1-Iibro de pacientes de TB  2-libro de contactos 3-indicadores de detección 4-libro de Bacioscopias y cultivos</t>
  </si>
  <si>
    <t xml:space="preserve">1-Libro de pacientes diligenciada con su respectiva asignación de condiciones de egreso </t>
  </si>
  <si>
    <t>Norte, Sur, Oriente; , Macizo, Centro,</t>
  </si>
  <si>
    <t>1- Elaboracion del Plan de Eliminación  Tuberculosis Cauca post 2015 2-Despliegue del plan en las regiones del Departamento 3-Monitoreo y Evaluación del Plan de Eliminación  Tuberculosis Cauca post 2015</t>
  </si>
  <si>
    <t>Santander de quilichao, Villa rica, Suarez, Guachene, Padilla, Rosas, La sierra, Mercadres, Bolivar, Almaguer, Popayan, Sucre, Puerto tejada, Patia, Cajibio, Buenos Aires, Sotara, Argelia, Caloto, Miranda, Timbio y El Tambo</t>
  </si>
  <si>
    <t xml:space="preserve">norte oriente sur centro </t>
  </si>
  <si>
    <t>1-libro de pacientes con sus variables completamente diligenciadas 2- libro de convivientes de HANSEN 3-Realización  de capacitaciones en diagnóstico prevención y manejo clínico y control de LEPRA en Santander de Quilíchao Popayan y Bordo</t>
  </si>
  <si>
    <t>Afro: 220.478,  Indigenas  68.967 TOTAL 289.445</t>
  </si>
  <si>
    <t>Argelia, Buenos Aires, Caloto, Corinto, El Tambo, Florencia, Guachené, Guapi, López de Micay, Miranda, Padilla, Páez, Patía, Puerto Tejada, Santander de Quilichao, Suarez, Timbiqui, Villa Rica, Mercaderes y Sucre.</t>
  </si>
  <si>
    <t>Sur - Costa Pacifica - Norte - Oriente</t>
  </si>
  <si>
    <t xml:space="preserve">Informe técnico con las actividades realizadas:
1. Levantamiento de índices larvarios
2. Control índices en barrios críticos.
3. Aplicación de insecticida ULV
4. Control de sumideros                                      
5. Intervención de sumideros de aguas lluvias                       
 6. levantamiento de índice de pupas                            
7. intervención social de acciones de promoción y prevención del virus del Dengue, Chikunguña y Zika en los municipios a riesgo en el departamento del Cauca.                                                                                    8. Implementación estrategia COMBI (Comunicación para el cambio de conductas)
</t>
  </si>
  <si>
    <t>Población indígena: 36.365, población afro: 116.369 y otros 89.702</t>
  </si>
  <si>
    <t xml:space="preserve">Guapi, Timbiqui y López de Micay </t>
  </si>
  <si>
    <t xml:space="preserve">Costa pacifica </t>
  </si>
  <si>
    <t xml:space="preserve">1. Informe técnico trimestral con el número de viviendas con cobertura de toldillos    </t>
  </si>
  <si>
    <t>Población indígena: 3.848, población afro: 50.030   y otros 8.200</t>
  </si>
  <si>
    <t>Popayán, Villa Rica, Puerto Tejada, Santander de Quilichao, Caloto, Corinto, Guachené, Miranda, Padilla, Patía y Suarez.</t>
  </si>
  <si>
    <t>Centro - Norte - sur</t>
  </si>
  <si>
    <t xml:space="preserve">1. informes de gestión trimestral del programa ETV con las actividades realizadas en cumplimiento de las metas propuestas en la EGI ETV Departamental.   
2. Evaluación de la EGI ETV Departamental en los 11 municipios priorizados (Popayán, Villa Rica, Puerto Tejada, Santander de Quilichao, Caloto, Corinto, Guachené, Miranda, Padilla, Patía y Suarez).     
 </t>
  </si>
  <si>
    <t>Población indígena: 58,296, población afro:199.962 y otros 368.583</t>
  </si>
  <si>
    <t>Piedemonte, sur, costa pacìfica, norte, macizo, centro</t>
  </si>
  <si>
    <t>1. Documento EGI departamental estructurado, adaptado y con seguimiento a su ejecucion.</t>
  </si>
  <si>
    <t>22,109niños menores de 1 año. Meta programática</t>
  </si>
  <si>
    <t>1. Informes de Jornadas</t>
  </si>
  <si>
    <t>22,724 niños de 1 año. Meta programática</t>
  </si>
  <si>
    <t xml:space="preserve">Realizar dos procesos de generación de capacidades dirigidos a grupos comunitarios en área rural y en área urbana para socializar el esquema de vacunación y los tres mensajes claves: cómo evito que mi niño o niña se enferme, si mi hijo enferma cómo lo cuido en casa y cuándo consultar a una institución de salud tomando en cuenta la herramienta de trabajo comunitario establecida por la SDSC   
1. Plan de capacitación que incluya una estrategia IEC en los tres mensajes clave
2. Desarrollo del plan
3. Evaluación para apropiación de conocimientos en la comunidad
Realizar dos mesas sectoriales entre ESE, SSM, EAPB, ICBF, más familias en acción, instituciones educativas y agentes comunitarios del municipio para incorporar en su estructura administrativa las acciones del fomento de los tres mensajes claves: cómo evito que mi niño o niña se enferme, si mi hijo enferma cómo lo cuido en casa y cuándo consultar a una institución de salud y el esquema de vacunación socializar a la comunidad 
Actas de la mesa sectorial para la incorporación de las acciones del fomento de los tres mensajes claves y socialización a la comunidad
</t>
  </si>
  <si>
    <t>68,239 niños menores de 5 años. Meta programática</t>
  </si>
  <si>
    <t xml:space="preserve">Implementar la modalidad sala ERA en la ESE e IPS de los municipios priorizados, para la atención de niños menores de 5 años con Infecciones Respiratorias Agudas teniendo en cuenta el programa nacional de prevención, manejo y control de la IRA  
Informes de la implementación de las Salas ERA en las ESE´s de los municipios priorizados
</t>
  </si>
  <si>
    <t>68.995 niños menores de 5 años. Meta programática</t>
  </si>
  <si>
    <t>1. Concertacion con actores municipales e institucionales, instersectoriales y comunitarios para establecer acuerdos para la implementacion de la Politica de Atencion Integral a la primera infancia, infancia y adolescencia, articulando con los programas existentes. 
2. Seguimiento a los programas y/o estrategias de primera infancia, infancia y adolesencia, en las IPS de la Red Departamental y IPS Indigenas</t>
  </si>
  <si>
    <t>22,448 niños menores de 1 año. 23,092 niños de 1 año y 23.668 niños de 5 años. Total: 69.202 niños de 0 a 5 ños. Meta programática</t>
  </si>
  <si>
    <t xml:space="preserve">Vida saludable y enfermedades  transmisibles </t>
  </si>
  <si>
    <t>Timbiqui,Suarez, Inza, Balboa, Bolivar, Florencia, Almaguer, San sebastian, rosas, sotara, Piamonte, Guapi</t>
  </si>
  <si>
    <t>Costa Pacifica, Oriente,Macizo, Piedemonte</t>
  </si>
  <si>
    <t>prevención, manejo y control de la IRA en comunidad.  2. Plan de desarrollo de capacidades teórico práctico (Que evidencie metodología, temas, cronograma, responsable). 3. Evaluación pre y pos test, 4.  listas de asistencia, registro fotográfico. 5. Informe por cada encuentro desarrollado. 6. Seguimiento a la ejecución del desarrollo de capacidades por parte de Equipo PIIA en los municipios priorizados.</t>
  </si>
  <si>
    <t>Costa Pacifica, Norte,Macizo, Piedemonte</t>
  </si>
  <si>
    <t xml:space="preserve">implementación de la sala ERA. 3. Registros de usuarios atendidos y seguimiento a casos. 4. protocolos de procesos y procedimientos realizados en la sala ERA. 5. seguimiento a la adherencia de las GPC para el manejo de la ERA al personal de salud.  6. dotación con los  Insumos y Elementos de acuerdo a los lineamientos de MSPS. 7. Seguimiento en el proceso de implementación de las salas ERA en los municipios priorizados, por parte del Equipo PIIA de la SDSC. </t>
  </si>
  <si>
    <t>Jambalo,Suarez,Balboa,Bolivar,Florencia,La Vega,La sierra, San Sebastian, Sotara,Piamonte, Padilla, Mercaderes</t>
  </si>
  <si>
    <t>Norte,Sur,Macizo,Piedemonte.</t>
  </si>
  <si>
    <t>1. Asistencia técnica por parte del programa PIIA de la SDSC a los municipios priorizados en estrategia institucional e intersectorial del programa IRA. 2. Acta de desarrollo de capacidades en Programa nacional IRA a personal de salud , GPC para el manejo ERA al personal asistencial. 2. Seguimiento a la adherencia de las GPC para el manejo de la ERA. 3. Diligenciamiento del Instrumento de Evaluación de la Implementación del programa IRA de acuerdo a lineamientos del MSPS (trimestral). 4. Elaboración y seguimiento a Indicadores del programa. 5. Reunion con actores clave municipal, involucrados en la atención integral de la primera infancia, con acuerdos por cada actor o sector en la implementación del Programa IRA.</t>
  </si>
  <si>
    <t>1. Estudios Previos</t>
  </si>
  <si>
    <t>22,109 niños menores de 1 año. 22,724 niños de 1 año y 23.406 niños de 5 años. Total: 68,239 niños de 0 a 5 ños. Meta programática</t>
  </si>
  <si>
    <t>46,3%</t>
  </si>
  <si>
    <t>Anderson Hair Piamba Dorado-Profesional Universitario-Area Salud ambiental ETV.</t>
  </si>
  <si>
    <t>15,5%</t>
  </si>
  <si>
    <t>51,4%</t>
  </si>
  <si>
    <t>80,6%</t>
  </si>
  <si>
    <t>53,7%</t>
  </si>
  <si>
    <t>4,5</t>
  </si>
  <si>
    <t>22,5</t>
  </si>
  <si>
    <t>8,2</t>
  </si>
  <si>
    <t>23,4</t>
  </si>
  <si>
    <t>Hernando Gil Gomez - Líder de Salud Publica - Grupo Salud Pública., Norman Giovanni Apraez Ippolito - Profesional Especializado - Área Salud Ambiental</t>
  </si>
  <si>
    <t xml:space="preserve">Por definir </t>
  </si>
  <si>
    <t xml:space="preserve">Por Definir </t>
  </si>
  <si>
    <t>Aciones para el Control y las enfermedades relacionadas con la Picadura de Garrapata, Escabiosis y entre Otras Desatendidas.</t>
  </si>
  <si>
    <t>Esta en proceso de Priorizacion los muniicpios que se asistiran para el cumplimiento de esta meta.</t>
  </si>
  <si>
    <t>Dimensión 7:Salud Pública ante Emergencias y Desastres</t>
  </si>
  <si>
    <t xml:space="preserve">.Planes de contingencia de hospitales y municipales asesorados. </t>
  </si>
  <si>
    <t>Población: HOMBRES  722.675, MUJERES 704.263. 0-14 años :382.353, 15 a 19 años: 127.143, 20 a 59 años: 750.275 Más de 60 años:167.167 Hace falta dar continuidad a la contratación del personal profesional para dar cumplimiento a todas las metas programadas.</t>
  </si>
  <si>
    <t xml:space="preserve">.Instituciones hospitalarias con levantamiento de I.S.H., que de acuerdo a las competencias del área son asesoradas </t>
  </si>
  <si>
    <t>Consejos municipales de gestión del riesgo, secretarias de salud con planes de mitigación de riesgo, primeros auxilios en salud mental, que son  capacitados</t>
  </si>
  <si>
    <t>Stock de Hemocomponentes de Sangre consolidado.</t>
  </si>
  <si>
    <t>Personal sanitario de las entidades publicas y privadas con asistencia tecnica para el uso del emblema de Mision Medica capacitados.</t>
  </si>
  <si>
    <t xml:space="preserve">Entidades territoriales para dar respuesta inmediata ante una emergencia, capacitadas. </t>
  </si>
  <si>
    <t>Tramites previos a los Precontractuales, legalizacion de lote, estudio de Suelos etc..</t>
  </si>
  <si>
    <t>Vilma  Consuelo Polania  Medina - Profesional Universitario-Area Prestacion de Servicios-CRUE.</t>
  </si>
  <si>
    <t>Vilma  Consuelo Polania  Medina - Profesional Universitario-Area Prestacion de Servicios-CRUE-Ddier Ivan Golondrino Leon -Profesional Universitario-Area Red de Prestacion de Servicios-Infraestructura</t>
  </si>
  <si>
    <t>75,6%</t>
  </si>
  <si>
    <t>63,6%</t>
  </si>
  <si>
    <t>83,3%</t>
  </si>
  <si>
    <t>66,6%</t>
  </si>
  <si>
    <t>Dimensión 8 Salud y Ámbito laboral 2019</t>
  </si>
  <si>
    <t>Popayán, Almaguer, Caloto, Morales, Corinto, López de Micay, Timbiquí, Guapi, Patía, Mercaderes, Florencia, Páez, Totoró, La Vega, Rosas, La  Sierra, Guachene, Miranda, Silvia, Villa Rica, Padilla,  Puerto Tejada,  Timbio, El Tambo, Cajibío, Buenos Aires,  Suárez, Jambaló,  Inzá y Bolívar.</t>
  </si>
  <si>
    <t>Pacífico, Centro,  Sur, Macizo, Norte y Oriente</t>
  </si>
  <si>
    <t>1.  Informes de asistencia técnica a las administraciones municipales, ESE y puntos de atención
2. planes de mejora según hallazgos  de la asistencia técnica  
Actividades establecidas para PIC Departamental:
1-  Informe bimensual  que incluya:
Plan de acción institucional teniendo en cuenta ejecución, metodología  de las actividades,  proceso  de capacitación, evaluación del proceso respecto a  la dimensión salud y ámbito laboral.  2-  Seguimiento del cumplimiento del plan de acción, listado de asistencia, registro fotográfico.
3-  Actas de articulación (2) de actividades con referentes de la SDSC.</t>
  </si>
  <si>
    <t>Martha Lucia Duarte Suarez -Profesional Universitario</t>
  </si>
  <si>
    <t>EL TOTAL POBLACIÓN BENEFICIADA ES 1.088.373: HOMBRES   537.659- MUJERES  550.714, POBLACION INDIGENA TOTAL  185.635, INDIGENA FEMENINO 90.086, INDIGENA MASCULINO 95.551, TOTAL AFRODESCENCIENTE 261.971, AFRODESCENDIENTE FEMENINO 133.271 AFRODESCENDIENTE  MASULINO 128.701.</t>
  </si>
  <si>
    <t>Número de  muestreos para la caracterización de salud y de riesgos laborales de la población informal según el formato de la encuesta nacional de salud del MSPS desarrollados.</t>
  </si>
  <si>
    <t>Piamonte, Suarez, Totoro, Mercaderes, Florencia, López de Micay y Sucre.</t>
  </si>
  <si>
    <t>Macizo,  Sur,  Centro,  Norte, Piamonte, Oriente</t>
  </si>
  <si>
    <t>Realizar la caracterización de las poblaciones laborales vulnerables del sector informal de la economía, sus condiciones de salud y los riesgos propios de sus actividades económicas en los Municipios  del Departamento del Cauca- se requiere:
 1.  Determinar la Muestra representativa para aplicar la encuesta. 
 2- Aplicar la encuesta de condiciones de salud, trabajo y riesgos laborales en la población laboral informal en el municipio.
 3- Efectuar el levantamiento de matriz factores de riesgo por Actividad económica- según formato GTC 45.  
4- Tabulación, consolidación y análisis de la encuesta de condiciones de salud, trabajo y riesgos laborales en la población laboral informal en el municipio. 
PIC DEPARTAMENTAL: 1. Informe de caracterización y análisis cuantitativo y cualitativo de resultados de una muestra representativa del municipio según lineamientos de la Secretaría Departamental de Salud 2. .Matriz de peligros diligenciada segun formato de la GTC 45 con su respectivo análisis.</t>
  </si>
  <si>
    <t>SE APLICARA ENCUESTAS EN 7 MUNICIPIOS EN TOTAL 819;  PIAMONTE 117, SUAREZ 117, TOTORO 117, MERCADERES 117, FLORENCIA 117, LOPEZ DE MICAY 117 Y  SUCRE 117;  POR LAS DOS ACTIVIDADES ECONÓMICAS MAS REPRESENTATIVAS DE CADA MUNICIPIO.</t>
  </si>
  <si>
    <t>La Vega, Balboa, Piamonte, Suarez, Totoro, Mercaderes, Florencia, López de Micay y Sucre.</t>
  </si>
  <si>
    <t>Macizo,  Sur,  Centro y Norte</t>
  </si>
  <si>
    <t xml:space="preserve">1. Plan de acción en sensibilización y de gestión en salud pública implementada para la mitigación de riesgos laborales de la población informal; realizar capacitación a grupos organizados y no organizados de trabajadores informales de acuerdo con las actividades económicas presentes en cada Municipio, en normatividad para la afiliación al sistema general de riesgos laborales, prevención de riesgos laborales (accidentes de trabajo, enfermedades laborales), elementos de protección personal, estilos de vida saludable POR PIC DEPARTAMENTAL:    1. Informe  de ejecución bimensuales  y uno  final por cada municipio  de una estrategia de educación para la salud  que contenga temas  MCyEVS, prevención de peligros en el trabajo, accidentes laborales y prevención de enfermedades de origen laboral en la población informal.  2. Informe con plan de trabajo, diseño, implementación, evaluación (visitas de campo, (mínimo 100 personas por municipio), listados de asistencia, registro  fotográfico   y análisis de resultados  implementados en la estrategia de educación y cambios de comportamiento. </t>
  </si>
  <si>
    <t>POBLACION BENEFICIADA  PARA LA IMPLEMENTACION DE ACCIONES:  TOTAL 119.090; HOMBRES 57.885 - MUJERES 61,205, TOTAL INDIGENA  27.304; INDIGENA FEMENINO 13.362; INDIGENA MASCULINO 13.942  Y  TOTAL AFRO  32.224; AFROFEMENINO 18.723 - AFROMASCULINO 19.501.</t>
  </si>
  <si>
    <t>Dimensión 10:Fortalecimiento de la autoridad sanitaria para la gestión de la salud.</t>
  </si>
  <si>
    <t>Las 7 subregiones</t>
  </si>
  <si>
    <t>100% de EPS,  administraciones municipales e IPS con asistencia técnica, inspección, vigilancia para el fortalecimiento de la gestión de las acciones de salud pública del departamento efectuada.</t>
  </si>
  <si>
    <t>Adriana Rodríguez Gómez - Profesional Especializado - Área Gestión Salud Pública</t>
  </si>
  <si>
    <t xml:space="preserve">Acompañamiento al proceso de implementación del Modelo integral de atención en Salud en los Municipios priorizados.
Jornadas de desarrollo de capacidades para fortalecer el componente de gestión del conocimiento tanto en  profesionales de planta como contratistas.                                                                                                      Mesas de articulación con equipos de trabajo organizados conformados por profesionales de planta y contratistas de la Secretaría Departamental de Salud, y mesas de articulación intersectoriales a las cuales se suma la presencia de representantes de las administraciones municipales, IPS, EAPB que operan en el terriorio y la participación comunitaria.                       </t>
  </si>
  <si>
    <t xml:space="preserve">X </t>
  </si>
  <si>
    <t>Hernando Gil Gomez - Líder de Salud Publica - Grupo Salud Pública.</t>
  </si>
  <si>
    <t>Evaluación de metas de producto y resultado alcanzadas durante la vigencia.  Implementación del SIAS en el Departamento.</t>
  </si>
  <si>
    <t>Popayán, Santander de Quilichao</t>
  </si>
  <si>
    <t>Subregión centro y norte</t>
  </si>
  <si>
    <t>Giovanni Apráez - Profesional Especializado - Área Salud Ambiental</t>
  </si>
  <si>
    <t>7 subregiones</t>
  </si>
  <si>
    <t>1. Dos actas de visita a servicios farmacéuticos de mediana y alta compejidad</t>
  </si>
  <si>
    <t xml:space="preserve">1. Base de datos de entrega de medicamentos de control especial </t>
  </si>
  <si>
    <t>Dimension 10 Fortalecimiento de la Autoridad Sanitaria</t>
  </si>
  <si>
    <t>7 Subregiones :Piedemonte, Oriente, Centro, Norte , Sur, Macizo, Pacifico</t>
  </si>
  <si>
    <t>81,58%</t>
  </si>
  <si>
    <t>78,3%</t>
  </si>
  <si>
    <t>Dimensión 9. Gestión Diferencial de Poblaciones Vulnerables</t>
  </si>
  <si>
    <t>Guapí
Buenos Aires
Rosas
Santander
Caldono</t>
  </si>
  <si>
    <t>Pacifica
Norte
Sur</t>
  </si>
  <si>
    <t>1.	Realizar proceso de formación mediante talleres para la implementación de la estrategia de RBC (mínimo 10 familias por municipio) .
2.	Realizar implementación de la estrategia RBC mediante capacitar al personal de salud del primer nivel de atención, líderes comunitarios y familias (mínimo 10 familias por municipio) realizado en la población del municipio. En dos componentes, de acuerdo a los lineamientos y guías de atención de la estrategia aprobadas por el Ministerio de Salud y Protección Social.  (Soportes Actas, base de datos, registros de asistencia y beneficiarios formato 3 anexo, evidencia fotográfica y documento final del proceso de implementación e impacto de la estrategia de RBC).
3. Realizar incremento de las UGD y fortalecimiento de las existentes, Capacitación y sensibilización en el aplicativo web Registro de Localización y Caracterización de Personas con Discapacidad.
4. Realizar fortalecimiento de las organizaciones de personas con discapacidad con los líderes y población con discapacidad de acuerdo a los diagnósticos situacionales en el municipio. Movilización Social de las personas con discapacidad incluyendo líderes comunitarios y familias  
5. Creación y/o actualización del comité municipal de discapacidad mediante acto administrativo y operativización de los comité municipales de discapacidad en el municipio conforme a lo dispuesto por la Ley 1145 de 2007 y Resolución 3317 de 2012. Capacitación, sensibilización y acompañamiento.</t>
  </si>
  <si>
    <t xml:space="preserve">Población Afro: 2243, Población Indigena:  956 población mestiza  1959 
</t>
  </si>
  <si>
    <t>Silvia, Sotara, Almaguer, Bolivar, Santander de Quilichao, La Vega, El Tambo, Paez, Toribio, Piendamo, Rosas</t>
  </si>
  <si>
    <t xml:space="preserve">Macizo, Centro, Sur, Norte, Oriente, </t>
  </si>
  <si>
    <t xml:space="preserve">Mensajes saludables, con enfoque  diferencial difundidos </t>
  </si>
  <si>
    <t>Kelly Tello-Profesional Especializada</t>
  </si>
  <si>
    <t>Dimensión 9
Gestión Diferencial de Poblaciones Vulnerables.</t>
  </si>
  <si>
    <t>Corinto
Puerto Tejada
Padilla
Caldono
Caloto</t>
  </si>
  <si>
    <t>Norte</t>
  </si>
  <si>
    <t xml:space="preserve">1. Mecanismo de participación del municipio, JAC, líderes comunitarios del municipio de Patía.                                                                                                                        
2. Convocatoria a los talleres teórico prácticos con énfasis en la política de participación social en salud, modelo integral de atención en salud y derechos y deberes.                                                                                                                                                                                      3. Conformación de grupos para capacitación                                                                                          
4. Elaboración de listados de participantes para realizar convocatoria efectiva </t>
  </si>
  <si>
    <t>MARTHA DUARTE
Profesional Universitario
PAOLA MUÑOZ
Referente Participación Social</t>
  </si>
  <si>
    <t xml:space="preserve">Población Afro: 71494, Población Indigena: 41752 población mestiza 25974 
Total Mujeres: 69500 
Total Hombres: 69720
</t>
  </si>
  <si>
    <t xml:space="preserve"> Bolivar,Toribio, Inza, Suarez</t>
  </si>
  <si>
    <t>Centro, Norte, Sur</t>
  </si>
  <si>
    <t>1. Dinamizar mesas intersectoriales para el seguimiento a los derechos y deberes en salud de la población victima del conflicto armado para responder al goce de derechos en salud 2.Documento mensual detallado y documento final consolidado, con los resultados obtenidos de identificación de casos recepcionados por mes (quejas, reclamos, negación de servicios, derechos de petición y tutelas, etc) y número de casos resueltos por mes  con la gestión realizada con garantia de derechos en salud. 3. Documento mensual con soportes del plan de acción consolidado que evidencie las estrategias para superar las dificultades y la demanda de servicios con socialización a los actores en la mesa intersectorial. 4. Documento consolidado con soportes de Pre test y post test de  conocimiento de la ruta, con el análisis cualitativo y cuantitativo. 5.Disponer la operación de un profesional en salud con experiencia en atención a población victima del conflicto armado en los municipios priorizados. 6. Fortalecer las capacidades del SGSSS para la atención a las victimas del conflicto armado</t>
  </si>
  <si>
    <t xml:space="preserve">Se tiene un estimado de beneficiarios de mas de 700 personas de diferentes grupos etarios y etnicos. El programa respondera a la demanda de solicitudes que se logren focalizar. </t>
  </si>
  <si>
    <t>42 municipios del departamento</t>
  </si>
  <si>
    <t>1. Plan de acción
2. Informe de jornada que incluya cronograma de desplazamientos para el mes programado, estrategias IEC (aprobados por la SSDC) articulación PAI con los programas de Tuberculosis, Salud Oral, Nutrición y Salud Infantil, análisis cuantitativo y cualitativo que incluya mapeo de las actividades realizadas.
3. VAT y seguimiento al programa</t>
  </si>
  <si>
    <t>Guapi, Pto tejada, santander,Jambalo,buenos aires,Suarez,Inza,Piendamo, Florencia, Patia, Santa Rosa , Villa Rica</t>
  </si>
  <si>
    <t>Costa Pacifica,Norte,Sur,Macizo.</t>
  </si>
  <si>
    <t xml:space="preserve">1. Acompañamiento por parte del Equipo PIIA  en política de Estado para la atención integral de la primera infancia y RIA. 2. Informe  que evidencie la gestión y   garantia de las atenciones que debe recibir cada niño y niña  en cada uno de los entornos en los que transcurre la vida de las niñas y niños para su  desarrollo integral.                                      3.  Informe de  seguimiento niño a niño (reporte de alertas preventivas y alertas tempranas) de las cuatro atenciones que corresponden al sector salud ( Vacunación, CyD,  seguimiento y estado nutricional,  afiliación al SGSSS.   4.  Actas de reuniones, listas de asistencia y registro fotografico.     </t>
  </si>
  <si>
    <t>Lopez de Micay, Pto Tejada,Caldona,Jambalo , Buenos Aires, Popayan, Florencia, Sucre, La Vega, Sotara, Padilla y Villa Rica</t>
  </si>
  <si>
    <t xml:space="preserve">1. Asistencia técnica  por parte del Equipo PIIA en Estrategia Mejores Momentos .  2.  Informe con: planeación, metodología del taller, cronograma. 3. Informe de los encuentros de genración de capacidades. 4. Evaluación pre y post test, 5. listados de asistencia y soportes fotograficos. 6. Seguimiento del desarrollo de capaciades por parte del Equipo PIIA a municipios priorizados. </t>
  </si>
  <si>
    <t>Número de  municipios  con acciones  para disminuir la tasa de mortalidad por EDA  en menores de 5 años implementadas</t>
  </si>
  <si>
    <t>Lopez de Micay,Timbiqui,Totoro, Cajibio, El Tambo, Timbio, Florencia, Patia, Sucre, La Sierra, Rosas, Sotara</t>
  </si>
  <si>
    <t>Costa Pacifica,Sur,Macizo.</t>
  </si>
  <si>
    <t xml:space="preserve">1. Asistencia técnica  por parte del Equipo PIIA en AIEPI Comunitario con enfasis en EDA. 2. Informe con: planeación, metodología del taller, cronograma. 3. Informe de los encuentros de generación de capacidades. 4. Evaluación pre y post test. 5.  listados de asistencia y soportes fotograficos. 6. Seguimiento del desarrollo de capaciades por parte del Equipo PIIA a municipios priorizados. </t>
  </si>
  <si>
    <t>Guapi, Santander, Jambalo, Toribio, Inza, Paez,Morales,Piendamo,Purace,Timbio,Padilla , Villa Rica</t>
  </si>
  <si>
    <t>Costa Pacifica,Norte, Sur , Oriente, Centro</t>
  </si>
  <si>
    <t>1. Asistencia técnica por parte del programa PIIA de la SDSC a los municipios priorizados, en prevención, manejo y control de la IRA en comunidad.  2.  Informe con: planeación, metodología del taller, cronograma. 3. Informe de los encuentros de generación de capacidades. 4.  Evaluación pre y post test, 5.  listados de asistencia y soportes fotograficos.    Seguimiento a la ejecución del desarrollo de capacidades por parte de Equipo PIIA en los municipios priorizados.</t>
  </si>
  <si>
    <t>Pto Tejada , Santander, Jambalo,Toribio,Inza,Piendamo,Timbio, San Sebastian, Patia,La Vega, La Sierra, Rosas</t>
  </si>
  <si>
    <t>Norte, Oriente,Macizo, Sur</t>
  </si>
  <si>
    <t>139.394 ( 0-17 años )</t>
  </si>
  <si>
    <t>1. Asistencia técnica por parte del programa PIIA de la SDSC a los municipios priorizados. 2. actas de reuniones con  acuerdos por cada actor o sector. 3. Un  Informe que contenga el proceso de dinamización de la RPMS-PIIA ,  4. soportes fotograficos, listas de asistencia.</t>
  </si>
  <si>
    <t>Martha Lucia Duarte Suarez-Profesional Universitario-Area Proyectos Prioritarios</t>
  </si>
  <si>
    <t>5,7%</t>
  </si>
  <si>
    <t>41,7%</t>
  </si>
  <si>
    <t>54,35%</t>
  </si>
  <si>
    <t>62,6%</t>
  </si>
  <si>
    <t>36,7%</t>
  </si>
  <si>
    <t>23,5</t>
  </si>
  <si>
    <t xml:space="preserve">Caloto, Corinto, Guachene, Miranda, Buenos Aires, Suarez, Santander de Quilichao, Toribio, Caldono, Villa Rica, Puerto Tejada, Padilla, Bolivar, Sucre, Patia, Mercaderes, Florencia, Balboa, Argelia </t>
  </si>
  <si>
    <t>Norte y Sur</t>
  </si>
  <si>
    <t>Municipios con estrategia IEC Diseñada</t>
  </si>
  <si>
    <t>Poblacion Afro: 13.259, poblacion indigena : 12.239. población campesina: 24.482. Personas con Discapacidad: 1.019</t>
  </si>
  <si>
    <t>Sucre, Patia, Jambalo, Santander de Quilichao, Inza</t>
  </si>
  <si>
    <t>Sur, Norte, Oriente</t>
  </si>
  <si>
    <t>Estrategia de humanizacion Implementada</t>
  </si>
  <si>
    <t xml:space="preserve">Poblacion Afro: 5.796 poblacion indigena : 5.350. población campasina: 11.147. Personas con Discapacidad: 403 </t>
  </si>
  <si>
    <t>Poblacion Afro: 75.685, poblacion indigena : 69.863. población campasina: 139.728. Personas con Discapacidad: 5.821</t>
  </si>
  <si>
    <t>Dimensión 9
Gestión Diferencial de Poblaciones Vulnerables.
Victimas del Conflicto Armado</t>
  </si>
  <si>
    <t>SILVIA
SANTANDER 
INZÁ
MIRANDA
BUENOS AIRES
PATIA
BOLIVAR 
CAJIBIO</t>
  </si>
  <si>
    <t xml:space="preserve">CENTRO 
NORTE
SUR  
ORIENTE
</t>
  </si>
  <si>
    <t>1. Formación a equipos de atención psicosocial
2. Atención Psicosocial en 8 municipios del departamentos, priorizados para la ejecución del Programa de Atención Psicosocial y Salud Integral a Víctimas PAPSIVI.
3. Asistencia técnica a 12 municipios priorizados, en formación y capacidades para  atención con enfoque psicosocial a víctimas del conflicto armado</t>
  </si>
  <si>
    <t>MARTHA DUARTE
Profesional Universitario
JOHANA ORDÓÑEZ 
Referente VCA</t>
  </si>
  <si>
    <t xml:space="preserve">1. La población Beneficiada referida, es obtenida de la red Nacional de Información RNI, la cual realiza conrte mensualmente.
</t>
  </si>
  <si>
    <t>LOS 42 MUNICIPIOS</t>
  </si>
  <si>
    <t>NORTE
SUR
CENTRO
ORIENTE
PACIFICA
MACIZO</t>
  </si>
  <si>
    <t xml:space="preserve">1. Realización de 6 mesas psicosociales, con  la presencia de organizaciones, entidades, Asociaciones de víctimas, Organizaciones de la Sociedad Civil (ONG), para garantizar atención psicosocial.
2. Realización de 3 comités de seguridad alimentaria y nutricional
3. Realización de 3 mesas interénticas. </t>
  </si>
  <si>
    <t>MARTHA DUARTE
Profesional Universitario
JOHANA ORDÓÑEZ 
Referente VCA
YALILA DIAZ
Referente Afro</t>
  </si>
  <si>
    <t>No es posible definir un número de población específica, debido a que son eventos departamentales a los que se convocan organizaciones, entidades, Asociaciones de víctimas, Organizaciones de la Sociedad Civil (ONG), UNICEF, OIM, Autoridades tradicionales indígenas y afrodescendientes.</t>
  </si>
  <si>
    <t>Dimension 9: Gestión diferencial de poblaciones vulnerables</t>
  </si>
  <si>
    <t>1. Asistencia técnica a las ESE  y  Administraciones municipales en lo referente a normatividad para la atención a poblaciones especiales, y procesos de referencia y contrareferencia
 ambulatorios para poblaciones especiales
2. Realizar visitas de campo a las ESE y Administraciones municpales.
3, Realizar actas de visitas 
4, Seguimiento a los compromisos suscritos en las Actas de Visita.</t>
  </si>
  <si>
    <t xml:space="preserve">Jose Libardo Pomeo Pabon- Profesional Universitario-Area Red de Prestacion de los Servicios                                                 </t>
  </si>
  <si>
    <t xml:space="preserve">1, Gestionar los acuerdos intersectoriales del Plan de salvaguarda. 
2. Monitorear los acuerdos intersectoriales del Plan de salvaguardia suscritos.
3. Realizar actas de seguimiento 
</t>
  </si>
  <si>
    <t>Pacifico, Oriente, Norte, Centro y Macizo</t>
  </si>
  <si>
    <t xml:space="preserve">Hernando Gil Gomez-Profesional Universitario-Grupo Salud Pública </t>
  </si>
  <si>
    <t>Timbiqui, Totoro, Caldono , Silvia , Rosas</t>
  </si>
  <si>
    <t>Total  Poblacion Beneficidad Aprox: 123.813 de los cuales Hombres: 59.865, Mujeres: 63.948, Indigenas 56.597, Afros::19.447.</t>
  </si>
  <si>
    <t>Total, Población 2019: 1.426.938, distribuida así:</t>
  </si>
  <si>
    <t>Hombres (722,675)</t>
  </si>
  <si>
    <t>Mujeres (704,263)</t>
  </si>
  <si>
    <t>Discapacitados (29,721)</t>
  </si>
  <si>
    <t>Desplazados (145,614)</t>
  </si>
  <si>
    <t>Distribuciòn por Etnia:</t>
  </si>
  <si>
    <t>Afro (299,409)</t>
  </si>
  <si>
    <t>Indigena (290,082)</t>
  </si>
  <si>
    <t>Ron (1)</t>
  </si>
  <si>
    <t>Raizales (2)</t>
  </si>
  <si>
    <t xml:space="preserve">Otros (837,444) </t>
  </si>
  <si>
    <t xml:space="preserve"> </t>
  </si>
  <si>
    <t>1-Mesas de Articulacion Intersectorial en el marco de la Construccion, Adecuacion y Adaptacion de Modelos de Salud, 2-Jornadas de Desarrollo de Capacidades para el Fortalecimiento de la Gestion de Conocimiento sobre Modelos de Salud en municipios Priorizados.3-Propuesta de Modelo de Salud adecuado Interculturalmente.</t>
  </si>
  <si>
    <t>1-Acompañamiento y Segumiento al Proceso de Implementacion de un Modelo de Atencion Integral en salud con enfoque de genero,2-Informe del Proceso del Desarrollo de las Actividades Realizadas.3-Mesas Intersectoroials de Construccion al Modelo salud Local en el marco de la Implementacion del MIAS.</t>
  </si>
  <si>
    <t>Por asignar 2019</t>
  </si>
  <si>
    <t>DEPENDENCIA RESPONSABLE: SECRETARÍA DE EDUCACIÓN Y CULTURA</t>
  </si>
  <si>
    <t xml:space="preserve">DEPENDENCIAS DE APOYO: ___________________________________________________________                                                        </t>
  </si>
  <si>
    <t>MUNICIPIOS BENEFICIDOS</t>
  </si>
  <si>
    <t>Desarrollo Humano Integral</t>
  </si>
  <si>
    <t>Sostener en 100% la Tasa de Cobertura Bruta en los establecimientos educativos oficiales.</t>
  </si>
  <si>
    <t>Tasa de Cobertura Bruta en los establecimientos educativos oficiales</t>
  </si>
  <si>
    <t>Cobertura Educativa para La Paz.</t>
  </si>
  <si>
    <t>Garantizar el derecho fundamental a la educación en todos los niveles del sector, con criterios de equidad, inclusión, pertinencia y oportunidad a través de la aplicación de estrategias administrativas y metodológicas dirigidas a niños, niñas, adolescentes, jóvenes y adultos.</t>
  </si>
  <si>
    <t>Sostener a 218.251 estudiantes en cobertura bruta en los niveles de preescolar, primaria, secundaria y media en los establecimientos educativos de carácter oficial</t>
  </si>
  <si>
    <t xml:space="preserve">Número de estudiantes en cobertura bruta en los niveles de preescolar, primaria, secundaria y media en los establecimientos educativos de carácter oficial </t>
  </si>
  <si>
    <t>N/A</t>
  </si>
  <si>
    <t>Fernando Javier Delgado Bolaños Líder Cobertura Propiedad</t>
  </si>
  <si>
    <t>El cumplimiento de la meta está sujeta a la variación de la matrícula en la vigencia.</t>
  </si>
  <si>
    <t>Incrementar en 0,5% la Tasa de Cobertura Neta en los establecimientos educativos oficiales.</t>
  </si>
  <si>
    <t>Tasa de Cobertura Neta en los establecimientos educativos oficiales</t>
  </si>
  <si>
    <t>Incrementar en 1.060 estudiantes en la Cobertura Neta para población en edades escolares realizando especial énfasis en el nivel de Educación Media.</t>
  </si>
  <si>
    <t xml:space="preserve">Número de estudiantes en la Cobertura Neta para población en edades escolares realizando especial énfasis en el nivel de Educación Media incrementado </t>
  </si>
  <si>
    <t xml:space="preserve">Mantener entre el 1,16% y el 2,0% la Tasa de Reprobación en los establecimientos educativos oficiales. </t>
  </si>
  <si>
    <t>Tasa de Reprobación en los establecimientos educativos oficiales</t>
  </si>
  <si>
    <t xml:space="preserve">Mantener en 2.788 estudiantes como límite para la Reprobación en los niveles de primaria, secundaria y media. </t>
  </si>
  <si>
    <t xml:space="preserve">Número de estudiantes mantenidos como límite para la Reprobación en los niveles de primaria, secundaria y media </t>
  </si>
  <si>
    <t>Retener el 85% los estudiantes reprobados en el sistema educativo oficial en los niveles de primaria, secundaria y media..</t>
  </si>
  <si>
    <t xml:space="preserve">Tasa de Repitencia </t>
  </si>
  <si>
    <t>Retener 2.063 estudiantes en el sistema educativo oficial  de los que reprobaron en los niveles de primaria, secundaria y media en los establecimientos educativos de carácter oficial.</t>
  </si>
  <si>
    <t>Número de estudiantes en el sistema educativo oficial  de los que reprobaron en los niveles de primaria, secundaria y media en los establecimientos educativos de carácter oficial</t>
  </si>
  <si>
    <t>Disminuir en 0,1% la Tasa de Deserción intra-anual  en los establecimientos educativos oficiales.</t>
  </si>
  <si>
    <t>Tasa de Deserción intra-anual</t>
  </si>
  <si>
    <t>Disminuir en 100 estudiantes la deserción Intra-anual en los niveles de primaria, secundaria y media</t>
  </si>
  <si>
    <t>Número de estudiantes que desertan del Sistema Educativo los niveles de primaria, secundaria y media.</t>
  </si>
  <si>
    <t>Disminuir en 1% la Tasa de Analfabetismo para personas de 15 años en adelante</t>
  </si>
  <si>
    <t>Tasa de Analfabetismo</t>
  </si>
  <si>
    <t xml:space="preserve">Vincular 1.000 personas iletradas de 15 años en adelante al Sistema Educativo oficial en el Departamento del Cauca para reducción del analfabetismo. </t>
  </si>
  <si>
    <t xml:space="preserve">Número de personas iletradas de 15 años en adelante vinculadas al Sistema Educativo oficial en el Departamento del Cauca para reducción del analfabetismo  </t>
  </si>
  <si>
    <t>Población atendida con recursos del Consejon Noruego, MEN en la Costa Pacífica y Argelia.
Población zonas territoriales de incorporación</t>
  </si>
  <si>
    <t xml:space="preserve">Brindar continuidad a 30.000 estudiantes con el programa de educación para jóvenes y adultos de los Ciclos II al VI </t>
  </si>
  <si>
    <t>Número de estudiantes con el programa de educación para jóvenes y adultos de los Ciclos II al VI que se les brinda continuidad</t>
  </si>
  <si>
    <t xml:space="preserve">Atender a 163.535 estudiantes con el Programa de Alimentación Escolar en los establecimientos de carácter oficial </t>
  </si>
  <si>
    <t xml:space="preserve">Número de estudiantes con el Programa de Alimentación Escolar en los establecimientos de carácter oficial  atendidos </t>
  </si>
  <si>
    <t xml:space="preserve">Mantener en 163.535 el número de niños, niñas y jóvenes atendidos a través del Programa de Alimentación Escolar </t>
  </si>
  <si>
    <t xml:space="preserve">Número de niños, niñas y jóvenes atendidos a través del Programa de Alimentación Escolar </t>
  </si>
  <si>
    <t>Implementación del programa de alimentación escolar en la ETC Cauca</t>
  </si>
  <si>
    <t>41 Municipios</t>
  </si>
  <si>
    <t>Estudiantes atendidos con Alimentación Escolar</t>
  </si>
  <si>
    <t>Fernando Javier Delgado Bolaños Líder Cobertura Propiedad
Dayra Achicanoy Achiocanoy, PU Propiedad</t>
  </si>
  <si>
    <t>En el mes de diciembre de 2017 el MEN expide la R 29452 - 2017 que modifica los lineamientos PAE y la minuta patron, requiriendo con ello un nuevo estudio de costos al valor racion, lo que hace que difieran los costos de lo inicialmente proyectado en el presente plan</t>
  </si>
  <si>
    <t xml:space="preserve">Implementar 1 Modelo de Gestión de la Educación Inicial (MGEI) en la estructura organizacional de la Secretaría de Educación </t>
  </si>
  <si>
    <t>Número de Modelos de Gestión de la Educación Inicial (MGEI) en la estructura organizacional de la Secretaría de Educación  implementados</t>
  </si>
  <si>
    <t>Implementar 1 Modelo de Gestión de la Educación Inicial (MGEI) en la estructura organizacional de la Secretaría de Educación del Departamento del Cauca en beneficio del sector educativo articulado con las Políticas del Ministerio de Educación Nacional.</t>
  </si>
  <si>
    <t>Número de modelos de Gestión de la Educación Inicial (MGEI) en la estructura organizacional de la Secretaría de Educación del Departamento del Cauca en beneficio del sector educativo articulado con las Políticas del Ministerio de Educación Nacional implementados</t>
  </si>
  <si>
    <t>Fernando Javier Delgado Bolaños, Líder de Cobertura Educativa</t>
  </si>
  <si>
    <t xml:space="preserve">La meta no se programa para la vigencia 2019 debido a que en el 2018 se cumple la meta con 1 Modelo de Educación Inicial,  de la programada para el cuatrenio (1).
El Programa tendrá continuidad en el 2019 </t>
  </si>
  <si>
    <t xml:space="preserve">Garantizar al 100% de población víctima que solicite ingreso al sistema educativo el acceso y su permanencia </t>
  </si>
  <si>
    <t>Porcentaje de población víctima con acceso y permanencia al sistema educativo que soliciten ingreso garantizado</t>
  </si>
  <si>
    <t xml:space="preserve">Atender al 100% de las emergencias presentadas en los establecimientos educativos de carácter oficial por diferentes tipos de afectación en los municipios no certificados </t>
  </si>
  <si>
    <t>Porcentaje de las emergencias presentadas en los establecimientos educativos de carácter oficial por diferentes tipos de afectación en los municipios no certificados atendidas</t>
  </si>
  <si>
    <t>Implementar 566 Planes Escolares de Gestión del Riesgo en los establecimientos educativos oficiales en cumplimento de las Leyes 1448 de 2011 y 1523 de 2012</t>
  </si>
  <si>
    <t xml:space="preserve">Número de Planes Escolares de Gestión del Riesgo en los establecimientos educativos oficiales en cumplimento de las Leyes 1448 de 2011 y 1523 de 2012 implementados </t>
  </si>
  <si>
    <t>Actualizar 146 Planes Escolares de Gestión del Riesgo en establecimientos educativos oficiales</t>
  </si>
  <si>
    <t>Número de Planes Escolares de Gestión del Riesgo en establecimientos educativos oficiales actualizados.</t>
  </si>
  <si>
    <t>Formulación de los Planes Escolares de Gestión del Riesgo</t>
  </si>
  <si>
    <t xml:space="preserve">41 Municipios </t>
  </si>
  <si>
    <t>242538
Estudiantes</t>
  </si>
  <si>
    <t>36 PGER ACTUALIZADOS</t>
  </si>
  <si>
    <t>Fernando Javier Delgado Bolaños, Líder Cobertura Educativa</t>
  </si>
  <si>
    <t>Se ajusta la meta fisica y el presupuesto programado,  se suprime el valor presupuestado por recursos de gestión
Se solicito inlusión del presupuesto para vigencias futuro.</t>
  </si>
  <si>
    <t xml:space="preserve">Formular 420 Planes Escolares de Gestión del Riesgo en establecimientos educativos oficiales </t>
  </si>
  <si>
    <t>Número de Planes Escolares de Gestión del Riesgo en establecimientos educativos oficiales formulados</t>
  </si>
  <si>
    <t>136 PGER FORMULADOS</t>
  </si>
  <si>
    <t xml:space="preserve">Intervenir la infraestructura física de 50 establecimientos educativos de municipios no certificados del Departamento del Cauca </t>
  </si>
  <si>
    <t xml:space="preserve">Número de infraestructura física de establecimientos educativos de municipios no certificados intervenidos  </t>
  </si>
  <si>
    <t>Ambientes y espacios escolares para la paz.</t>
  </si>
  <si>
    <t>Ofrecer ambientes y espacios escolares seguros, amigables con el medio ambiente que permitan prestar el servicio educativo en los establecimientos oficiales de los municipios no certificados del Departamento del Cauca.</t>
  </si>
  <si>
    <t>Construir y dotar 120 aulas en establecimientos educativos oficiales</t>
  </si>
  <si>
    <t>Número de aulas en establecimientos educativos oficiales construidas y dotadas</t>
  </si>
  <si>
    <t>Construcción de aulas escolares en los municipios  de:
 IE Marco Fidel Narvaez (Argelia)
IE Pueblo Nuevo Cipres ( El Tambo)
IE San Fernando de Melchor (Bolívar)
ERM Palma O pocos (Bolívar)
 IE A Kwe.uus.yat- Resg. Gaitana  (Inzá)
 IE Santa Marte (Santa Rosa)
IE Jebala y IE Palacé (Totoro)
IE Puente Quiemado ( Toribio)</t>
  </si>
  <si>
    <t>NA</t>
  </si>
  <si>
    <t>Argelia, El Tambo, Bolívar, 
Inzá, Santa Rosa, Totoro, Toribio</t>
  </si>
  <si>
    <t>Centro,  Sur, Piedemonte</t>
  </si>
  <si>
    <t>2500  estudiantes</t>
  </si>
  <si>
    <t xml:space="preserve">Construcción de 43 Aulas Educativas distribuidas así:
Argelia, El Tambo, Bolívar, 
Inzá, Santa Rosa, Totoro, Toribio
</t>
  </si>
  <si>
    <t xml:space="preserve">Ing.Juan Carlos Folleco Olave PE Provisional
Milton Muñoz, PU Provisional  y Jairo Emiro Dorado  PE Provisional  </t>
  </si>
  <si>
    <t>El número de aulas que se construiran son:
 IE Marco Fidel Narvaez (Argelia) (24)
IE Pueblo Nuevo Cipres ( El Tambo) (11)
IE San Fernando de Melchor (Bolívar) (9)
ERM Palma O pocos (Bolívar) (1)
 IE A Kwe.uus.yat- Resg. Gaitana  (Inzá) (5)
 IE Santa Martha (Santa Rosa) (5)
IE Jebala y IE Palacé (Totoro)
IE Puente Quiemado ( Toribio)
Se solicita mayor celeridad a las oficinas transversales para el cumplimiento de las metas.</t>
  </si>
  <si>
    <t>Construir 3 internados en establecimientos educativos oficiales</t>
  </si>
  <si>
    <t>Número de internados en establecimientos educativos oficiales construidos</t>
  </si>
  <si>
    <t>Estudios y diseños para la construcción de internados escolares en los municipios  de:
 IE Normal Santa Clara (Almaguer)
IE Normal Los Andes (La Vega)
IE Normal Enrique Vallejo (Paez)</t>
  </si>
  <si>
    <t>Almaguer
La Vega
Paez</t>
  </si>
  <si>
    <t>Macizo y Oriente</t>
  </si>
  <si>
    <t>600 estudiantes</t>
  </si>
  <si>
    <t>Construcción de 3 internados</t>
  </si>
  <si>
    <t>Estudios y diseños para la construcción de internados escolares en los municipios  de:
 IE Normal Santa Clara (Almaguer)
IE Normal Los Andes (La Vega)
IE Normal Enrique Vallejo (Paez)
Se solicita mayor celeridad a las oficinas transversales para el cumplimiento de las metas.</t>
  </si>
  <si>
    <t>Construir 3 ambientes de formación para programas técnicos, tecnológicos y de formación superior en establecimientos educativos oficiales.</t>
  </si>
  <si>
    <t>Número de ambientes de formación para programas técnicos, tecnológicos y de formación superior en establecimientos educativos oficiales construidos</t>
  </si>
  <si>
    <t>Por definir</t>
  </si>
  <si>
    <t>Construir 5 aulas de informática en establecimientos educativos oficiales</t>
  </si>
  <si>
    <t>Número de aulas de informática en establecimientos educativos oficiales construidas</t>
  </si>
  <si>
    <t xml:space="preserve">Construcción de aulas de sistemas en los municipios  de:
 IE Marco Fidel Narvaez (Argelia)
IE Pueblo Nuevo Cipres ( El Tambo)
IE San Fernando de Melchor (Bolívar) </t>
  </si>
  <si>
    <t xml:space="preserve">Argelia, El Tambo, Bolívar, 
</t>
  </si>
  <si>
    <t>Centro y Sur</t>
  </si>
  <si>
    <t xml:space="preserve">Construcción de 4 Aulas de sistemas distribuidas así:
Argelia, El Tambo, Bolívar, 
</t>
  </si>
  <si>
    <t>El número de aulas de sistemas que se construiran son:
 IE Marco Fidel Narvaez (Argelia) (2)
IE Pueblo Nuevo Cipres ( El Tambo) (1)
IE San Fernando de Melchor (Bolívar) (1)</t>
  </si>
  <si>
    <t>Construir 150 baterías sanitarias con tratamiento de aguas servidas en establecimientos educativos oficiales</t>
  </si>
  <si>
    <t>Número de baterías sanitarias con tratamiento de aguas servidas en establecimientos educativos oficiales construidas</t>
  </si>
  <si>
    <t xml:space="preserve">Construcción de Baterias sanitarias en los municipios  de:
 IE Marco Fidel Narvaez (Argelia)
IE Pueblo Nuevo Cipres ( El Tambo)
IE San Fernando de Melchor (Bolívar)
ERM Palma O pocos (Bolívar)
 IE A Kwe.uus.yat- Resg. Gaitana  (Inzá)
 IE Santa Marteha(Santa Rosa)
IE Jebala y IE Palacé (Totoro)                                                             ERM   PIIYA THE WE´SX UUSYAT   (Inza)                                                             ERM  San Martin   (Inza)                                                           Proyecto en formulación  Proyecto de regalias </t>
  </si>
  <si>
    <t xml:space="preserve">Argelia, El Tambo, Bolívar, 
Inzá, Santa Rosa, Totoro, Toribio </t>
  </si>
  <si>
    <t>Centro, Sur, Oriente y Bota Caucanas</t>
  </si>
  <si>
    <t xml:space="preserve">Construcción de 37 baterias sanitarias distribuidas así:
Argelia, El Tambo, Bolívar, 
Inzá, Santa Rosa, Totoro
</t>
  </si>
  <si>
    <t>El número de Baterias sanitarias que se construiran son:                                                                          ERM Palma O pocos (1)                                                                                                         IE Pueblo Nuevo Cipres (1)                                                                                            
IESan Fernando de Melchor (2)                                                                               
IE A´KWE UUS YAT, Resguardo la Gaitana (1)                                                                         IE Marco Fidel Narvaez  (4)                                                                                          
 IE Santa Martha (Santa Rosa)  (1)                                                                      
ERM   PIIYA THE WE´SX UUSYAT   (1)                                                            
 ERM  San Martin   (1)                                                                                             Proyecto por regalias de 25 baterias sanitarias</t>
  </si>
  <si>
    <t>Intervenir 20 restaurantes escolares en establecimientos educativos oficiales</t>
  </si>
  <si>
    <t>Número de restaurantes escolares en establecimientos educativos oficiales intervenidos</t>
  </si>
  <si>
    <t xml:space="preserve">Construcción de Restaurantes Escolares en los municipios  de:
 IE Marco Fidel Narvaez (Argelia)
IE Pueblo Nuevo Cipres ( El Tambo)
IE San Fernando de Melchor (Bolívar)
ERM Palma O pocos (Bolívar)
 IE  Palacé (Totoro)                                                                                    ERM La Milagrosa  (Inzá)                                                                       IE Puente quemado Toribio)                                                           Proyecto en formulación  Proyecto de regalias </t>
  </si>
  <si>
    <t xml:space="preserve">Argelia, El Tambo, Bolívar, Inza,  Totoro </t>
  </si>
  <si>
    <t xml:space="preserve">Construcción de 18 Restaurantes escolares distribuidas así:
Argelia, El Tambo, Bolívar, Inza, , Totoro, Toribio
</t>
  </si>
  <si>
    <t>El número de Restaurantes escolares que se construiran son:                                                                          ERM Palma O pocos (1)                                                                                                         IE Pueblo Nuevo Cipres (1)                                                                                            IESan Fernando de Melchor (2)                                                                                IE A´KWE UUS YAT, Resguardo la Gaitana (1)                                                                         IE Marco Fidel Narvaez  (4)                                                                                                                                                                                                                                                                   IE Puente Quemado  (1)                                                                                      Proyecto por regalias de 12 Resaturantes Escolares</t>
  </si>
  <si>
    <t>Construir 10 laboratorios en establecimientos educativos oficiales</t>
  </si>
  <si>
    <t>Número de laboratorios  en establecimientos educativos oficiales construidos</t>
  </si>
  <si>
    <t xml:space="preserve">Construcción de Laboratorios en los municipios  de:
 IE Marco Fidel Narvaez (Argelia)
IE Pueblo Nuevo Cipres ( El Tambo)
IE San Fernando de Melchor (Bolívar)
 IE Santa Martha (Santa Rosa)
IE  Palacé (Totoro)                                                                                                                                                                                                            Proyecto en formulación  Proyecto de regalias </t>
  </si>
  <si>
    <t xml:space="preserve">Argelia, El Tambo, Bolívar, Santa Rosa,  Totoro </t>
  </si>
  <si>
    <t xml:space="preserve">Construcción de 12 Laboratorios distribuidas así:
Argelia, El Tambo, Bolívar, Inza, , Totoro, Toribio
</t>
  </si>
  <si>
    <t>El número de Laboratorios que se construiran son:   
 IE Marco Fidel Narvaez (Argelia)  (2)
IE Pueblo Nuevo Cipres ( El Tambo)  (1)
IE San Fernando de Melchor (Bolívar)  (1)
 IE Santa Marte (Santa Rosa)  (1)
IE  Palacé (Totoro)     (1)                                                                                                                                                                                                  Proyecto por regalias de 6 Laboratorios</t>
  </si>
  <si>
    <t>Construir 6 polideportivos para establecimientos educativos oficiales.</t>
  </si>
  <si>
    <t>Número de polideportivos para establecimientos educativos oficiales construidos</t>
  </si>
  <si>
    <t xml:space="preserve">Construcción dePolideportivos en los municipios  de:
 IE Marco Fidel Narvaez (Argelia)
IE Pueblo Nuevo Cipres ( El Tambo)
IE San Fernando de Melchor (Bolívar)                                                                                                                                                                                                          </t>
  </si>
  <si>
    <t xml:space="preserve">Argelia, El Tambo, Bolívar  </t>
  </si>
  <si>
    <t xml:space="preserve">Construcción de 3 polideportivos distribuidas así:
Argelia, El Tambo, Bolívar
</t>
  </si>
  <si>
    <t xml:space="preserve">El número de Laboratorios que se construiran son:   
 IE Marco Fidel Narvaez (Argelia)  (1)
IE Pueblo Nuevo Cipres ( El Tambo)  (1)
IE San Fernando de Melchor (Bolívar)  (1)
</t>
  </si>
  <si>
    <t>Adecuar la infraestructura física de 25 sedes educativas oficiales</t>
  </si>
  <si>
    <t xml:space="preserve">Número de sedes educativas oficiales con adecuación de la  infraestructura física </t>
  </si>
  <si>
    <t>Adecuación de Infraestrucutra educativa  en sedes educativas de Los municipios no certificados del Dpto</t>
  </si>
  <si>
    <t>por definr</t>
  </si>
  <si>
    <t xml:space="preserve">Adecuación de Infraestrucutra educativa  en 2 sedes educativas </t>
  </si>
  <si>
    <t xml:space="preserve">Realizar en 10 sedes educativas oficiales  el mantenimiento de la infraestructura </t>
  </si>
  <si>
    <t>Número de sedes educativas oficiales  con mantenimiento de la infraestructura realizada</t>
  </si>
  <si>
    <t xml:space="preserve">Meta Cumplida 2018 y por lo tanto no se programa
El Programa tendrá continuidad en el 2019 </t>
  </si>
  <si>
    <t>Legalizar 50 predios de sedes educativas oficiales.</t>
  </si>
  <si>
    <t xml:space="preserve">Número de predios de sedes educativas oficiales legalizados </t>
  </si>
  <si>
    <t>Predios legalizados</t>
  </si>
  <si>
    <t xml:space="preserve">Realizar 5 estudios y diseños para construcción de infraestructura educativa. </t>
  </si>
  <si>
    <t>Número de estudios y diseños para construcción de infraestructura educativa realizados</t>
  </si>
  <si>
    <t xml:space="preserve">Estudios y Diseños en los municipios  de:
 IE Normal Santa Clara (Almaguer)
IE Normal enrrique Vallejo (Paez)
IENormal Los andes (La Vega)                                                                                                                                                                                                          </t>
  </si>
  <si>
    <t>Almaguer, Paez, La Vega</t>
  </si>
  <si>
    <t xml:space="preserve">Estudios y Diseños en 3 sedes educativas de los municipios  de:
 Almaguer, Paez, La Vega                                                                                                                                                                                                         </t>
  </si>
  <si>
    <t xml:space="preserve">El número de Estudios y diseños que se realizaran son:   
IE Normal Santa Clara (Almaguer)
IE Normal enrrique Vallejo (Paez)
IENormal Los andes (La Vega)             
</t>
  </si>
  <si>
    <t xml:space="preserve">Construir 35 aulas escolares musicales en sedes educativas oficiales </t>
  </si>
  <si>
    <t xml:space="preserve">Número de aulas escolares musicales en sedes educativas oficiales construidas </t>
  </si>
  <si>
    <t xml:space="preserve">Construcción de Aulas escolares musicales en los municipios  de:
 IE Marco Fidel Narvaez (Argelia)
IE Pueblo Nuevo Cipres ( El Tambo)
IE San Fernando de Melchor (Bolívar)
ERM Palma O pocos (Bolívar)
 IE A Kwe.uus.yat- Resg. Gaitana  (Inzá)
 IE Santa Marte (Santa Rosa)
IE  Palacé (Totoro                                                                                ERM   PIIYA THE WE´SX UUSYAT   (Inza)                                                             ERM  San Martin   (Inza)                                                                                  IE  Palacé (Totoro)                                                                                                                                                                                                                                                 </t>
  </si>
  <si>
    <t>Argelia, el tambo, Bolivar, Inza, Totoro</t>
  </si>
  <si>
    <t xml:space="preserve">Construcción de 12 aulas escolares musicales distribuidas así:
Argelia, El Tambo, Bolívar, Inza, , Totoro
</t>
  </si>
  <si>
    <t xml:space="preserve">El número de aulas escolares musicales que se construiran son:   
  IE Marco Fidel Narvaez (1)
IE Pueblo Nuevo Cipres ( 1)
IE San Fernando de Melchor (1)
ERM Palma O pocos (1)
 IE A Kwe.uus.yat- Resg. Gaitana  (1)
 IE Santa Marte (1)
IE  Palacé (1)                                                                                                                   ERM   PIIYA THE WE´SX UUSYAT   (1)                                                             ERM  San Martin   (1)                                                                                                                                                                                                      </t>
  </si>
  <si>
    <t>Aumentar a 5.05  el índice sintético  en la Básica primaria</t>
  </si>
  <si>
    <t xml:space="preserve">Índice sintético en la Básica primaria mejorado </t>
  </si>
  <si>
    <t>4.55</t>
  </si>
  <si>
    <t>Cauca caminando hacia la excelencia educativa.</t>
  </si>
  <si>
    <t>Mejorar la calidad de la educación en los establecimientos educativos a través del acompañamiento, asistencia técnica y formación de los docentes y directivos docentes.</t>
  </si>
  <si>
    <t xml:space="preserve">Beneficiar a 4.300 nuevos estudiantes con la implementación de la Jornada Única </t>
  </si>
  <si>
    <t xml:space="preserve">Número de nuevos estudiantes beneficiados con la implementación de la Jornada Única </t>
  </si>
  <si>
    <t>Número de nuevos estudiantes beneficiados con la implementación de la Jornada Única</t>
  </si>
  <si>
    <t xml:space="preserve">Rosalbina Valdes Castillo PU Provisional
Carlos Andres Agredo, PU Provisional  </t>
  </si>
  <si>
    <t>La Población atendida corresponde al sector  rural, afro, mayoritaria y campesina. 
 La jornada unica en  diferentes EE se articula al proceso de alimentación escolar  de acuerdos a los recursos asignados para la atención de la población estudiantil.</t>
  </si>
  <si>
    <t xml:space="preserve"> Aumentar  a 4.92, el índice sintético de secundaría</t>
  </si>
  <si>
    <t>Índice sintético de secundaría mejorado</t>
  </si>
  <si>
    <t>4.18</t>
  </si>
  <si>
    <t>Beneficiar a 4.300 nuevos estudiantes con el Programa Todos Aprender (PTA)</t>
  </si>
  <si>
    <t>Número de nuevos estudiantes con el Programa Todos Aprender (PTA) beneficiados</t>
  </si>
  <si>
    <t xml:space="preserve">Rosalbina Valdes Castillo PU Provisional
Felipe Gonzalez, PU Provisional  </t>
  </si>
  <si>
    <t>La meta no se programa para la vigencia 2019 debido a que en el 2018 se cumple la meta con 9327 estudiantes nuevos de la programada para el cuatrenio (4300).
El PTA tendrá continuidad en el 2019</t>
  </si>
  <si>
    <t>Mejorar el  índice sintético en educación media a 5.08</t>
  </si>
  <si>
    <t>índice sintético en educación media mejorado</t>
  </si>
  <si>
    <t>4.52</t>
  </si>
  <si>
    <t>Implementar en 100 establecimientos educativos la estrategia de psicometría mejoramiento de las Pruebas Saber.</t>
  </si>
  <si>
    <t>Número de establecimientos educativos con la estrategia de psicometría implementada para el mejoramiento de las Pruebas Saber.</t>
  </si>
  <si>
    <t>Formación de estudiantes en pruebas estandarizadas y curriculares de aplicación masiva</t>
  </si>
  <si>
    <t>7 Subregiones</t>
  </si>
  <si>
    <t>Pruebas aplicadas</t>
  </si>
  <si>
    <t>Proyecto en formulación</t>
  </si>
  <si>
    <t>Formar 450 docentes y directivos docentes en las evaluaciones anuales de desempeño (Decreto Ley 1278 de 2002)</t>
  </si>
  <si>
    <t>Número docentes y directivos docentes en las evaluaciones anuales de desempeño formados (Decreto Ley 1278 de 2002)</t>
  </si>
  <si>
    <t xml:space="preserve">Rosalbina Valdes Castillo PU Provisional
Deicy Yaneth Casallas Restrepo, PU Propiedad  </t>
  </si>
  <si>
    <t xml:space="preserve">La meta no se programa para la vigencia 2019 debido a que en el 2018 se cumple la meta con 505 Directivos Docentes y PU Unidades Desconcentradas de la programada para el cuatrenio (450).
El Programa tendrá continuidad en el 2019 </t>
  </si>
  <si>
    <t>Actualizar 400 sistemas de evaluación interna de estudiantes</t>
  </si>
  <si>
    <t>Número de sistemas de Evaluación interna de estudiantes actualizados</t>
  </si>
  <si>
    <t>La meta no se programa para la vigencia 2019 debido a que en el 2018 se cumple la meta con 605 estudiantes nuevos de la programada para el cuatrenio (400).
El Programa tendrá continuidad en el 2019 y el proyecto se encuentra en formulación</t>
  </si>
  <si>
    <t>Implementar 1 Plan de Formación Territorial Docente.</t>
  </si>
  <si>
    <t>Número de Planes Territoriales de Formación Docente  implementados</t>
  </si>
  <si>
    <t>Rosalbina Valdes Castillo PU Provisional
José Iván Collazos Córdoba - Profesional Especializado - Provisional</t>
  </si>
  <si>
    <t>Formar 450 docentes en la formulación e implementación de proyectos pedagógicos transversales</t>
  </si>
  <si>
    <t xml:space="preserve">Número de docentes formados en formulación e implementación de proyectos pedagógicos transversales </t>
  </si>
  <si>
    <t>Rosalbina Valdes Castillo PU Provisional
Alix Amanda Navia, PU propiedad
Carolina Barrera, Contratista
José Alejandro Martinez, Técnico Administrativo</t>
  </si>
  <si>
    <t xml:space="preserve">La meta no se programa para la vigencia 2019 debido a que en el 2018 se cumple la meta con 1127 docentes y directivos docentes,  de la programada para el cuatrenio (450).
El Programa tendrá continuidad en el 2019 </t>
  </si>
  <si>
    <t>Beneficiar a 650 docentes y directivos docentes con la realización de 4 foros educativos</t>
  </si>
  <si>
    <t>Número de docentes y directivos docentes beneficiados con la realización de 4 foros educativos</t>
  </si>
  <si>
    <t>Rosalbina Valdes Castillo PU Provisional
Liliana Herrera, Contratista</t>
  </si>
  <si>
    <t xml:space="preserve">La meta no se programa para la vigencia 2019 debido a que en el 2018 se cumple la meta con 944 docentes y directivos docentes de la programada para el cuatrenio (650).
El Programa tendrá continuidad en el 2019 </t>
  </si>
  <si>
    <t>Formar 500 agentes educativos, docentes y/o directivos docentes en lineamientos de la política pública de primera infancia y/o educación inicial</t>
  </si>
  <si>
    <t>Número de agentes educativos, docentes y/o directivos docentes en lineamientos de la política pública de primera infancia y/o educación inicial formados</t>
  </si>
  <si>
    <t>Rosalbina Valdes Castillo PU Provisional
Maryuri Luna, Contratista</t>
  </si>
  <si>
    <t xml:space="preserve">La meta no se programa para la vigencia 2019 debido a que en el 2018 se cumple la meta con 554 docentes y directivos docentes de la programada para el cuatrenio (500).
El Programa tendrá continuidad en el 2019 </t>
  </si>
  <si>
    <t>Formar 120 docentes  en Programa de Fortalecimiento de Competencias de Lenguas Extranjeras (PFCLE) - Bilingüismo</t>
  </si>
  <si>
    <t xml:space="preserve">Número de docentes con Programas de Fortalecimiento de Competencias de Lenguas Extranjeras (PFCLE) - Bilingüismo formados </t>
  </si>
  <si>
    <t xml:space="preserve">Cauca Bilingue </t>
  </si>
  <si>
    <t>40 docentes</t>
  </si>
  <si>
    <t>40 docentes formados en Competencias de Lenguas Extranjeras (PFCLE) - Bilingüismo</t>
  </si>
  <si>
    <t>Rosalbina Valdes Castillo Líder Calidad Educativa- PU Provisional
Jose Alejandro Martinez Cerón  Técnico Administrativo- Provisional.</t>
  </si>
  <si>
    <t xml:space="preserve">Beneficiar 140 docentes con el programa excelencia docente en becas de maestría </t>
  </si>
  <si>
    <t xml:space="preserve">Número de docentes con el programa excelencia docente en becas de maestría beneficiados </t>
  </si>
  <si>
    <t>Rosalbina Valdes Castillo Líder Calidad Educativa- PU Provisional
José Iván Collazos- P. Especializado - Propiedad</t>
  </si>
  <si>
    <t xml:space="preserve">La meta se cumple para la vigencia 2018 con los recursos propagramados, de igual manera a través del Proyecto en formación de alto nivel con recursos SGR - Ciencia, Fondo y tecnología se atenderan 150 docentes  en formación de maestrías por valor de 7.900.000 millones de pesos. Covocatoria 822 Colciencias de mayo de 2018
</t>
  </si>
  <si>
    <t>Sistematizar 40 experiencias significativas</t>
  </si>
  <si>
    <t>Número de experiencias significativas sistematizadas</t>
  </si>
  <si>
    <t>Acompañamiento a Experiencias significativas identificadas y sistematizadas los EE de los municipios no certificados del Dpto del Cauca</t>
  </si>
  <si>
    <t>41 municipios</t>
  </si>
  <si>
    <t>60 docentes</t>
  </si>
  <si>
    <t>Experiencias significativas acompañadas y cargas en el portal de Colombia Aprende</t>
  </si>
  <si>
    <t>Rosalbina Valdes Castillo PU Provisional
Liliana Herrera - Contratista</t>
  </si>
  <si>
    <t>El proyecto se encuentra formulado para las vigencia 2018  por valor de $44.820.000 el cual se encuentra en proceso de contratación para su ejecución en el 2019</t>
  </si>
  <si>
    <t>Acompañar 34 nuevos establecimientos educativos con el programa Fortalecimiento de la Educación Básica y Media (FOCEB)</t>
  </si>
  <si>
    <t xml:space="preserve">Número de nuevos establecimientos educativos acompañados con el programa Fortalecimiento de la Educación Básica y Media (FOCEB) </t>
  </si>
  <si>
    <t>Rosalbina Valdes Castillo PU Provisional
Alexander Caicedo, PU Propiedad</t>
  </si>
  <si>
    <t xml:space="preserve">La meta no se programa para la vigencia 2019 debido a que en el 2018 se cumple la meta con 81 docentes  de la programada para el cuatrenio (34).
El Programa tendrá continuidad en el 2019 </t>
  </si>
  <si>
    <t>Integrar 20 nuevos establecimientos educativos en la red de dinamizadores de Proyectos Ambientales Escolares (REDEPRAE).</t>
  </si>
  <si>
    <t xml:space="preserve">Número de nuevos establecimientos educativos integrados en la red de dinamizadores de Proyectos Ambientales Escolares (REDEPRAE) </t>
  </si>
  <si>
    <t>Rosalbina Valdes Castillo PU Provisional
José Alejandro Martinez, TA Provisional</t>
  </si>
  <si>
    <t xml:space="preserve">La meta no se programa para la vigencia 2019 debido a que en el 2018 se cumple la meta con 29 EE integrados as la Redeprae de la programada para el cuatrenio (20).
El Programa tendrá continuidad en el 2019 </t>
  </si>
  <si>
    <t>Resignificar 120 Proyectos Educativos Institucionales - PEI en población mayoritaria</t>
  </si>
  <si>
    <t xml:space="preserve">Número de Proyectos Educativos Institucionales - PEI en población mayoritaria resignificados </t>
  </si>
  <si>
    <t>Resignificación del PEI en población mayoritaria de los EE  de los 41 municipios no certificados del Departamento</t>
  </si>
  <si>
    <t>97193 estudiantes</t>
  </si>
  <si>
    <t>PEI resignificados</t>
  </si>
  <si>
    <t>Rosalbina Valdes Castillo PU Provisional
Susuna Cucuñame - Contratista</t>
  </si>
  <si>
    <t>Acompañar 160 establecimientos educativos en el  proceso de Ruta de Mejoramiento: Autoevaluación  Institucional y Plan de Mejoramiento Institucional- PMI  articulados al PAM</t>
  </si>
  <si>
    <t>Número de establecimientos educativos en el  proceso de Ruta de Mejoramiento: Autoevaluación  Institucional y Plan de Mejoramiento Institucional- PMI  articulados al PAM acompañados</t>
  </si>
  <si>
    <t>Rosalbina Valdes Castillo PU Provisional
Martha Quinchoa, Contratista</t>
  </si>
  <si>
    <t xml:space="preserve">La meta no se programa para la vigencia 2019 debido a que en el 2018 se cumple la meta con 300 EE de la programada para el cuatrenio (160).
El Programa tendrá continuidad en el 2019 </t>
  </si>
  <si>
    <t>Beneficiar 2.600 estudiantes en emprendimiento o acceso a educación terciaria</t>
  </si>
  <si>
    <t xml:space="preserve">Número de estudiantes en emprendimiento o acceso a educación terciaria beneficiados </t>
  </si>
  <si>
    <t>4.200 estudiantes beneficiados</t>
  </si>
  <si>
    <t>Transitando a la educación terciaria.</t>
  </si>
  <si>
    <t>Mejorar las competencias académicas y de emprendimiento en los estudiantes para acceder al sistema productivo o educación terciaria.</t>
  </si>
  <si>
    <t>Beneficiar 1.800 estudiantes con el acceso de los programas de educación terciaria y en los procesos de articulación de la media con la superior</t>
  </si>
  <si>
    <t xml:space="preserve">Número de estudiantes con el acceso de los programas de educación terciaria y en los procesos de articulación de la media con la superior beneficiados </t>
  </si>
  <si>
    <t xml:space="preserve">Rosalbina Valdes Castillo PU Provisional
Fernando Murguetio - Técnico- Provisional </t>
  </si>
  <si>
    <t xml:space="preserve">La meta no se programa para la vigencia 2019 debido a que en el 2018 se cumple la meta con 1800 estudiantes de la programada para el cuatrenio (1800).
El Programa tendrá continuidad en el 2019 </t>
  </si>
  <si>
    <t>Formar a 800 estudiantes de establecimientos educativos técnicos a través de la estrategia escuelas emprendedoras.</t>
  </si>
  <si>
    <t>Número de estudiantes de establecimientos educativos técnicos formados a través de la estrategia escuelas emprendedoras.</t>
  </si>
  <si>
    <t>Rosalbina Valdes Castillo PU Provisional
Luis Ferrnando Murgueitio, TA Provisional</t>
  </si>
  <si>
    <t xml:space="preserve">La meta no se programa para la vigencia 2019 debido a que en el 2018 se cumple la meta con 800 estudiantes  de la programada para el cuatrenio (800).
El Programa tendrá continuidad en el 2019 </t>
  </si>
  <si>
    <t xml:space="preserve">Beneficiar 45.000 estudiantes con programas escolares incluyentes, diversos y en paz </t>
  </si>
  <si>
    <t xml:space="preserve">Número de estudiantes con programas escolares incluyentes, diversos y en paz beneficiados intervenida </t>
  </si>
  <si>
    <t xml:space="preserve">31.000 estudiantes </t>
  </si>
  <si>
    <t>Cauca diverso y en paz.</t>
  </si>
  <si>
    <t>Mejorar la calidad de la educación a través de la implementación de políticas que respetan y valoran la Diversidad y generan ambientes escolares incluyentes.</t>
  </si>
  <si>
    <t>Atender el 50% niños y niñas con necesidades educativas especiales en situación crítica</t>
  </si>
  <si>
    <t xml:space="preserve">Porcentaje de niños y niñas con necesidades educativas especiales en situación crítica atendidos </t>
  </si>
  <si>
    <t xml:space="preserve">La meta no se programa para la vigencia 2019 debido a que en el 2018 se cumple la meta con 50% de estudiantes atendidos en situación de discapacidad o talentos excepcioales,  de la programada para el cuatrenio (50%).
El Programa tendrá continuidad en el 2019 </t>
  </si>
  <si>
    <t xml:space="preserve">Incrementar en 248 estudiantes matriculados en condición de discapacidad y/o talentos excepcionales beneficiados en el programa de inclusión </t>
  </si>
  <si>
    <t xml:space="preserve">Número de estudiantes matriculados en condición de discapacidad y/o talentos excepcionales beneficiados en el programa de inclusión </t>
  </si>
  <si>
    <t xml:space="preserve">La meta no se programa para la vigencia 2019 debido a que en el 2018 se cumple la meta con 248 estudiantes de la programada para el cuatrenio (248).
El Programa tendrá continuidad en el 2019 </t>
  </si>
  <si>
    <t xml:space="preserve">Implementar 1 Plan Departamental de Educación Ambiental con enfoque diferencial </t>
  </si>
  <si>
    <t>Plan Departamental de Educación Ambiental con enfoque diferencial étnico implementado</t>
  </si>
  <si>
    <t>Implementación de las lineas estrategicas del Plan departamental de Educación Ambiental</t>
  </si>
  <si>
    <t>213.000 estudiantes</t>
  </si>
  <si>
    <t>Plan departamental de Educación ambiental implementado</t>
  </si>
  <si>
    <t>Pendiente por asignación de recursos por cuanto la fuente CTI no aplicó para el cumplimiento de  esta meta.</t>
  </si>
  <si>
    <t xml:space="preserve">Implementar  1 Política de Educación Rural (PER), beneficiando la población rural y campesina  </t>
  </si>
  <si>
    <t>Política de Educación Rural (PER), beneficiando la población rural y campesina implementada</t>
  </si>
  <si>
    <t>0.1</t>
  </si>
  <si>
    <t>Construcción de la politica pública de educación rural para el departamento del Cauca</t>
  </si>
  <si>
    <t>Política pública de educación rural para el departamento del Cauca formulada</t>
  </si>
  <si>
    <t>Rosalbina Valdes Castillo PU Provisional
Carlos Andres Agreso, PU Provisional</t>
  </si>
  <si>
    <t>El proyecto se encuentra formulado para las vigencias 2018 y 2019 por valor de $114.222.000 y 266.518.000 respectivamente</t>
  </si>
  <si>
    <t>Beneficiar 1.200 estudiantes a través de la implementación del Plan de Educación Rural (PER), incluyendo modelos flexibles y población campesina</t>
  </si>
  <si>
    <t xml:space="preserve">Número de estudiantes beneficiados a través de la implementación del Plan de Educación Rural (PER), incluyendo modelos flexibles y población campesina </t>
  </si>
  <si>
    <t>La meta no se programa para la vigencia 2019 debido a que en el 2018 se cumple la meta con 36548 estudiantes de la programada para el cuatrenio (1200).
El Programa tendrá continuidad en el 2019 
El Programa de Escuela Nueva como modelo flexible, para municipios con población mayoritariamente  rural, fue financiado por el MEN, lo que permitió recursos adicionales al Dpto cumpliendo la meta de manera anticipada.</t>
  </si>
  <si>
    <t>Acompañar a  200 establecimientos educativos a través de la construcción de Proyectos Etnoeducativos (Afro - PECA e Indígenas - SEIP).</t>
  </si>
  <si>
    <t xml:space="preserve">Número de establecimientos educativos acompañados a través de la construcción de Proyectos Etnoeducativos (Afro - PECA e Indígenas - SEIP) </t>
  </si>
  <si>
    <t>Fortalecimiento del proceso etnoeducativo afrocolombiano para visibilizar la transformación pluricultural de la sociedad caucana</t>
  </si>
  <si>
    <t xml:space="preserve">24 Municipios
</t>
  </si>
  <si>
    <t>Subregiones  Norte. Pacifico, oriente - Paez,  Centro El Tambo , Cajibio
Sur .</t>
  </si>
  <si>
    <t>58.429 estudiantes</t>
  </si>
  <si>
    <t>Conformación de una red de 50 etnoeducadores 
Diseño de material didáctico y pedagógico ( 4 textos educativos)
Resignificasción de 70 planes de estudios comunitarios PEC
Realización de 33 foros (30 zonales y 3 Dptales)</t>
  </si>
  <si>
    <t xml:space="preserve">Rosalbina Valdés Castillo Profesional Universitario.Líder de Calidad. 
José Ivan Collazos Cordoba -Supervisor Proyecto
</t>
  </si>
  <si>
    <t>Este proyecto actualmente se encuentra en ejecución, su ejecutor es la Universidad del Cauca , tiene una durabilidads de 24 meses y su acta de inicio fue firmada el 19 de diciembre de 2017 y de acuerdo con su tiempo de ejecución esta proyectado terminarse el 19 de diciembre de 2019.
El valor del proyecto total es de 3,298.300.000 de los cuales 1.652.623.983 le corresponde ejecutarlo a la Gobernación del Cauca en el componente de la impresión de los libros.
1483.676.017 es el contrato interadministrativo 1905-2017 firmado con la UNICAUCA.
30.000.000 corresponden a la contrapartida del Consejo Comunitario campesino Palenque de Monte Oscuro.
132.000.000 a la interventoría técnica administrativa, financiera y jurídica del proyecto
El valor de los 24 millones corresponde a la contratación.</t>
  </si>
  <si>
    <t>Beneficiar a 5.634 estudiantes de los establecimientos educativos con el programa Vive la Educación</t>
  </si>
  <si>
    <t xml:space="preserve">Número de estudiantes de los establecimientos educativos con el programa Vive la Educación beneficiados  </t>
  </si>
  <si>
    <t xml:space="preserve">La meta no se programa para la vigencia 2019 debido a que en el 2018 se cumple la meta con 6400 estudiantes de la programada para el cuatrenio (5634).
</t>
  </si>
  <si>
    <t>Implementar 1  política pública etnoeducativa para comunidades afrodescendientes</t>
  </si>
  <si>
    <t>Número de Política Públicas Etnoeducativas para comunidades afrodescendientes implementadas</t>
  </si>
  <si>
    <t xml:space="preserve">Rosalbina Valdés Castillo Profesional Universitario.
Líder de Calidad. 
</t>
  </si>
  <si>
    <t xml:space="preserve">Meta cumplida parcialmente, se esta formulando un proyecto para consolidación y continuidad de la política en el Departamento del Cauca
</t>
  </si>
  <si>
    <t>Beneficiar a 21.000 estudiantes a través de la formación de docentes y directivos docentes en Prácticas Pedagógicas (derechos humanos, víctimas del conflicto armado, género, escuelas protectoras, escuela escenario de paz)</t>
  </si>
  <si>
    <t xml:space="preserve">Número de estudiantes beneficiados a través de la formación de docentes y directivos docentes en Prácticas Pedagógicas (derechos humanos, víctimas del conflicto armado, género, escuelas protectoras, escuela escenario de paz) </t>
  </si>
  <si>
    <t>Formación en ciudadanía, catedra de la paz e implementación de practicas pedagógicas que contribuyan en la resolución de conflictos a través de la implementación de Proyectos Pedagogícos Transversales</t>
  </si>
  <si>
    <t>por definir</t>
  </si>
  <si>
    <t>4200 estudiantes beneficiados a través de la formación de docentes y directivos docentes en Prácticas Pedagógicas (derechos humanos, víctimas del conflicto armado, género, escuelas protectoras, escuela escenario de paz)  y 154 docentes formados</t>
  </si>
  <si>
    <t>Rosalbina Valdés Castillo Profesional Universitario.Líder de Calidad. 
Astrid Carolina Barrera - Contratista Calidad Educativa
Alix Amanda Navia, PU - Propiedad
José Alejandro Martinez - TA Provisional</t>
  </si>
  <si>
    <r>
      <t xml:space="preserve">Con el fin de dar cumplimiento a las metas de formación de los 450 docentes y directivos docentes en el tema de PPT (practicas pedagógicas) del programa Cauca Caminado hacia la excelencia el cual tiene presupuestado para las vigencia 2019 $95.000.000 por recursos propios y $110.000.000 por recursos de gestión se </t>
    </r>
    <r>
      <rPr>
        <b/>
        <u/>
        <sz val="11"/>
        <color theme="1"/>
        <rFont val="Calibri"/>
        <family val="2"/>
        <scheme val="minor"/>
      </rPr>
      <t xml:space="preserve">unifica con la meta </t>
    </r>
    <r>
      <rPr>
        <sz val="11"/>
        <color theme="1"/>
        <rFont val="Calibri"/>
        <family val="2"/>
        <scheme val="minor"/>
      </rPr>
      <t>de beneficiar a 21.000 estudiantes en el tema de través de la formación de docentes y directivos docentes en Prácticas Pedagógicas (derechos humanos, víctimas del conflicto armado, género, escuelas protectoras, escuela escenario de paz)  del progama Cauca Diverso y en paz el cual tiene presupuestado para las vigencia 2019 $100.000.000 por recursos propios y $60.000.000 por recursos de gestión se unifica.  Se formulará un solo proyecto.</t>
    </r>
  </si>
  <si>
    <t>Generación de condiciones para la riqueza colectiva</t>
  </si>
  <si>
    <t>Innovación</t>
  </si>
  <si>
    <t>Fortalecer a 1.200 sedes educativas oficiales en el buen uso y apropiación de TIC´s.</t>
  </si>
  <si>
    <t xml:space="preserve">Número de sedes educativas oficiales fortalecidas con buen uso y apropiación de TIC´s     </t>
  </si>
  <si>
    <t>Navegando por el Cauca.</t>
  </si>
  <si>
    <t>Mejorar los ambientes de aprendizaje a través del uso y apropiación de las tecnologías de la información, comunicaciones e innovación.</t>
  </si>
  <si>
    <t>Beneficiar a 300 estudiantes con el Programa Ondas</t>
  </si>
  <si>
    <t xml:space="preserve">Número de estudiantes con el Programa Ondas beneficiados </t>
  </si>
  <si>
    <t>Rosalbina Valdes Castillo, PU- Líder Calidad Educativa</t>
  </si>
  <si>
    <t>Meta cumplida vigencia anterior</t>
  </si>
  <si>
    <t>Aumentar en 219 el número de sedes oficiales con servicio de conectividad a internet y programas interactivos</t>
  </si>
  <si>
    <t>Número de sedes oficiales con servicio de conectividad a internet y programas interactivos aumentadas</t>
  </si>
  <si>
    <t>Meta cumplida vigencia anterior
Continuar según la necesidad con el servicio de conectividad a internet a las Sedes Educativas Beneficiadas de acuerdo a los recursos financieros disponibles y a los lineamientos establecidos por el MEN.</t>
  </si>
  <si>
    <t>Mejorar la relación de 2 estudiantes por computador en el sector educativo oficial.</t>
  </si>
  <si>
    <t xml:space="preserve">Número de estudiantes por computador en el sector educativo oficial </t>
  </si>
  <si>
    <t>Meta cumplida vigencia anterior
Según las condiciones dadas mantener la relación de 2 estudiantes por computador en el sector educativo oficial.</t>
  </si>
  <si>
    <t>Capacitar al 30% de directivos docentes en la implantación, el uso y apropiación de los software desarrollados por la Secretaría de Educación y Cultura</t>
  </si>
  <si>
    <t>Porcentaje de directivos docentes capacitados en la implantación, el uso y apropiación de los software desarrollados por la Secretaría de Educación y Cultura</t>
  </si>
  <si>
    <t>Gestión e innovación educativa con TICs.</t>
  </si>
  <si>
    <t>Brindar infraestructura tecnológica, conectividad y formación en el uso y apropiación de los sistemas de información propios, que permitan mejorar los ambientes y canales de comunicación con los establecimientos educativos.</t>
  </si>
  <si>
    <t>Poner en funcionamiento 6 software desarrollados en la Secretaría de Educación y Cultura del Cauca</t>
  </si>
  <si>
    <t xml:space="preserve">Número de software desarrollados en la Secretaría de Educación y Cultura del Cauca puestos en funcionamiento </t>
  </si>
  <si>
    <t xml:space="preserve">Incremento </t>
  </si>
  <si>
    <t>Número de software desarrollados en la Secretaría de Educación y Cultura del Cauca puestos en funcionamiento</t>
  </si>
  <si>
    <t xml:space="preserve">Juan Paulo Guzmán Florez - Lider servicios informaticos del sector educativo - provisional. </t>
  </si>
  <si>
    <t>Desarrollar 3 nuevos software para la Secretaría de Educación y Cultura del Cauca</t>
  </si>
  <si>
    <t>Número de Software para la Secretaría de Educación y Cultura del Cauca desarrollados</t>
  </si>
  <si>
    <t>Implementar un 50% del sistema de atención a Peticiones, Quejas, Respuestas y Denuncias (PQRD) para la Secretaría de Educación y Cultura del Cauca.</t>
  </si>
  <si>
    <t xml:space="preserve">Porcentaje del sistema de atención a Peticiones, Quejas, Respuestas y Denuncias (PQRD) para la Secretaría de Educación y Cultura del Cauca implementado </t>
  </si>
  <si>
    <t>Julian Andrés López - Lider SAC</t>
  </si>
  <si>
    <t>La meta no se programa para la vigencia 2019 debido a que en el 2018 se cumple la meta. 
El proceso de atencón de pqrs tendrá continuidad en el 2019 bajo la nueva plataforma SAC implementada por el MEN para las Secretarías de Educación certificadas del país.</t>
  </si>
  <si>
    <t>Fortalecimiento de lo público, el buen gobierno y la participación</t>
  </si>
  <si>
    <t>Cultura Ciudadana de Gestión y de Servicio</t>
  </si>
  <si>
    <t>Mantener 4 macroprocesos certificados con ICONTEC del Sistema de Gestión de Calidad para la Secretaría de Educación y Cultura del Cauca</t>
  </si>
  <si>
    <t xml:space="preserve">Número de macroprocesos certificados con ICONTEC del Sistema de Gestión de Calidad para la Secretaría de Educación y Cultura del Cauca mantenidos  </t>
  </si>
  <si>
    <t>Fortalecimiento de la gestión institucional en el nivel central y los establecimientos educativos.</t>
  </si>
  <si>
    <t>Desarrollar estrategias y aplicar herramientas de gestión para mejorar la calidad en la prestación del servicio educativo, y lograr altos desempeños en los procesos de fortalecimiento institucional y administrativo; que incida con calidad, eficiencia, eficacia y efectividad en el desarrollo integral de las actividades del nivel central de la Secretaría de Educación y Cultura y en los establecimientos educativos oficiales de los municipios no certificados del Departamento del Cauca.</t>
  </si>
  <si>
    <t>Hector Mario Tafurt Quintero - Lider Gestión Calidad</t>
  </si>
  <si>
    <t>Realizar auditoria de seguimiento ICONTEC a los cuatro (4) macroprocesos certificados en el segundo (2) semestre de 2019</t>
  </si>
  <si>
    <t xml:space="preserve">Ejecutar el 80% el Plan de Bienestar Laboral docente y administrativo dela Secretaría de Educación y Cultura </t>
  </si>
  <si>
    <t xml:space="preserve">Porcentaje del Plan de Bienestar Laboral docente y administrativo dela Secretaría de Educación y Cultura ejecutado </t>
  </si>
  <si>
    <t>Capacitar a 3500 docentes y directivos docentes  y administrativos del sector educativo en inducción, reinducción, encuentro con rectores y prepensionados</t>
  </si>
  <si>
    <t xml:space="preserve">Número de docentes y directivos docentes y administrativos del sector educativo capacitados en inducción, reinducción, encuentro con rectores y prepensionados capacitados </t>
  </si>
  <si>
    <t>CAPACITACIÓN DEL PERSONAL DOCENTE Y ADMINISTRATIVO PRÓXIMO AL RETIRO DEL SERVICIO LABORAL DE LA SECRETARIA DE EDUCACIÓN Y CULTURA DEL DEPARTAMENTO DEL CAUCA 2019</t>
  </si>
  <si>
    <t xml:space="preserve">
Afro 80
Indígena 70
Mayoritaria 350 para un total de 500</t>
  </si>
  <si>
    <t>Docentes y Administrativos preparados para el retiro del servicio laboral</t>
  </si>
  <si>
    <t xml:space="preserve">Adalberto Narvaez Ñañez, Líder Bienestar y Seguridad  y Salud en el Trabajo.
Karen Viviana Pérez Profesional Universitario - Provisional (Inducción, reinducción y Prepesionados)
</t>
  </si>
  <si>
    <t>Con el relación al presupuesto a ejecutar en el proyecto de prepensionados se tiene estimado por valor de $200.000.000
El proyecto en formulación</t>
  </si>
  <si>
    <t>FORTALECIMIENTO DE COMPETENCIAS LABORALES, GERENCIALES E INTERPERSONALES DE DOCENTES, DIRECTIVOS DOCENTES Y ADMINISTRATIVOS DEL SECTOR EDUCATIVO EN EL MARCO DEL PROGRAMA DE BIENESTAR LABORAL</t>
  </si>
  <si>
    <t>140 Docentes y Directivos Docentes</t>
  </si>
  <si>
    <t>Docentes y Directivos docentes incentivados</t>
  </si>
  <si>
    <t xml:space="preserve">Adalberto Narvaez Ñañez, Líder Bienestar y Seguridad  y Salud en el Trabajo.
Elizabeth Cordoba Perugache- Profesional Universitario - Propiedad
Karen Viviana Pérez- Profesional Universitario - Provisional
</t>
  </si>
  <si>
    <t>El proyecto esta distribuido presupuestalmente así:
Encuentro con Directivos Docentes- $243,216,750
Inducción: $44.073.750
Reinducción: $ 57.529.500
Incentivos: $102,270.000
TOTAL:$ 447.090.000
Proyecto en ajuste de correcciones sugeridas por el Banco de Proyectos</t>
  </si>
  <si>
    <t xml:space="preserve">Aumentar 456 docentes y directivos docentes que participan en los Juegos Deportivos Nacionales, en el encuentro Nacional Folclórico - Cultural del Magisterio y el reconocimiento de estímulos por la excelencia en la labor docente y de los administrativos </t>
  </si>
  <si>
    <t>Número de docentes y directivos docentes que participan en los Juegos Deportivos Nacionales, en el encuentro Nacional Folclórico - Cultural del Magisterio y el reconocimiento de estímulos por la excelencia en la labor docente y de los administrativos aumentada</t>
  </si>
  <si>
    <t>PARTICIPACION DE LOS DOCENTES,  DIRECTIVOS DOCENTES Y/O ADMINISTRATIVOS DE LOS EE DE LOS MUNICIPIOS NO CERTIFICADOS DEL DEPARTAMENTO DEL CAUCA EN LOS JUEGOS DEPORTIVOS DEL MAGISTERIO Y ENCUENTRO FOLCLORICO Y CULTURA, EN EL MARCO DE LA POLITICA DE BIENESTAR LABORAL 2019-2020</t>
  </si>
  <si>
    <t>PARTICIPACION DE LOS DOCENTES EN LOS JUEGOS NACIONALES Y ENCUENTRO CULTURAL</t>
  </si>
  <si>
    <t>Adalberto Narvaez Ñañez, Líder Bienestar y Seguridad  y Salud en el Trabajo.
Elizabeth Cordoba Perugache- Profesional Universitario - Propiedad</t>
  </si>
  <si>
    <t xml:space="preserve">El número de participantes puede variar teniendo en cuenta que los seleccionados se definen en la fase departamental quienes pueden ser de Secretaría de Educación certificada de Popayán o del Cauca
Con relación al encuentro folclorico el No. De participantes se define el proximo año durante las fases de preselección ( Municipal, Departamental y Final Departamental)
</t>
  </si>
  <si>
    <t>El cumplimiento de la meta esta enmarcada en un proyecto, el cual contempla  varios programas, siendo uno de ellos  el de incentivos  por valor  $102.270.000.
Es de aclarar que el valor total del proyecto corresponde a $447.090.000 - Proyecto en ajuste</t>
  </si>
  <si>
    <t>Capacitar en un 70% a docentes, directivos docentes y administrativos en el Sistema de Gestión de Seguridad y Salud en el Trabajo de acuerdo a los Decretos: 1655 de 2015 y 1072 de 2014</t>
  </si>
  <si>
    <t xml:space="preserve">Porcentaje del docentes, directivos docentes y administrativos en el Sistema de Gestión de Seguridad y Salud en el Trabajo de acuerdo a los Decretos: 1655 de 2015 y 1072 de 2014 capacitados </t>
  </si>
  <si>
    <t>Adalberto Narvaez Ñañez, Líder Bienestar y Seguridad  y Salud en el Trabajo.
Yady Quiñonez- Profesional Universitario - Provisional</t>
  </si>
  <si>
    <t xml:space="preserve">La meta no se programa para la vigencia 2019 debido a que en el 2018 se cumple la meta con 100% de la programada para el cuatrenio (70%).
El Programa tendrá continuidad en el 2019 </t>
  </si>
  <si>
    <t>Incrementar en 30% los establecimientos educativos oficiales dotados de mobiliario escolar, equipos y/o herramientas</t>
  </si>
  <si>
    <t>Porcentaje de los establecimientos educativos oficiales dotados de mobiliario escolar, equipos y/o herramientas incrementado</t>
  </si>
  <si>
    <t>Dotar a 306 establecimientos educativos oficiales con mobiliario escolar, equipos y/o herramientas.</t>
  </si>
  <si>
    <t>Número de Establecimientos educativos dotados con mobiliario escolar, equipos y/o herramientas</t>
  </si>
  <si>
    <t>Milton Fabián Pérez Ayala, Líder Administrativa y Financiera</t>
  </si>
  <si>
    <t xml:space="preserve">La meta no se programa para la vigencia 2019 debido a que en el 2018 se cumple la meta con 390 de la programada para el cuatrenio (306).
El Programa tendrá continuidad en el 2019 </t>
  </si>
  <si>
    <t>Mantener 530 puestos de vigilancia y aseo contratados para los establecimientos educativos oficiales de los municipios no certificados del Departamento del Cauca (dependiendo de los recursos financieros asignados por el Ministerio de Educación Nacional)</t>
  </si>
  <si>
    <t>Número de puestos de vigilancia y aseo contratados para los establecimientos educativos oficiales de los municipios no certificados del Departamento del Cauca (dependiendo de los recursos financieros asignados por el Ministerio de Educación Nacional)</t>
  </si>
  <si>
    <t xml:space="preserve">Mantener 530 puestos de vigilancia y aseo contratados para los establecimientos educativos oficiales de los municipios no certificados </t>
  </si>
  <si>
    <t xml:space="preserve">Número de puestos de vigilancia y aseo contratados para los establecimientos educativos oficiales de los municipios no certificados </t>
  </si>
  <si>
    <t>Se espera mantener los 530 puestos de vigilancia y aseo, sin embargo dependerá de los recursos financieros con los que cuente la SECD.</t>
  </si>
  <si>
    <t xml:space="preserve">Mejorar en 2 Unidades Administrativas Desconcentradas los niveles de gestión administrativa del servicio educativo con eficiencia y eficacia en municipios no certificados </t>
  </si>
  <si>
    <t xml:space="preserve">Número de Unidades Administrativas Desconcentradas los niveles de gestión administrativa del servicio educativo con eficiencia y eficacia en municipios no certificados </t>
  </si>
  <si>
    <t xml:space="preserve">Crear 2 Unidades Administrativas Desconcentradas para igual número de subregiones en los municipios no certificados </t>
  </si>
  <si>
    <t>Número de Unidades Administrativas Desconcentradas para igual número de subregiones en los municipios no certificados creadas</t>
  </si>
  <si>
    <t>Meta Cumplida 2017 - 2018 .
Por lo tanto no se programa</t>
  </si>
  <si>
    <t>Desarrollo humano integral</t>
  </si>
  <si>
    <t xml:space="preserve">Consolidar en un 100% el Sistema Departamental de Cultura </t>
  </si>
  <si>
    <t xml:space="preserve">Porcentaje del Sistema Departamental de Cultura implementado </t>
  </si>
  <si>
    <t>Convocando y planeando para la cultura</t>
  </si>
  <si>
    <t>Fortalecer la institucionalidad cultural caucana con la consolidación del Sistema Departamental de Cultura.</t>
  </si>
  <si>
    <t>Implementar el 40% del Plan departamental de Cultura con enfoque participativo y social de paz</t>
  </si>
  <si>
    <t xml:space="preserve">Porcentaje del Plan departamental de Cultura con enfoque participativo y social de paz implementado </t>
  </si>
  <si>
    <t>Diseño, elaboración e implementación del Plan Departamental de Cultura, Plan de Lectura y Consejo de Areas Artisticas</t>
  </si>
  <si>
    <t>Plan departamental de Cultura Diseñado y formulado</t>
  </si>
  <si>
    <t>Migdonia Navia, PU (e )  Coordinadora de Cultura, Propiedad
Carlos Díaz, Contratista</t>
  </si>
  <si>
    <t>Implementar el 20% de los planes departamentales de consejos de área (Patrimonio, Cinematografía, Medios de Comunicación Ciudadanos y Comunitarios, Áreas Artísticas)</t>
  </si>
  <si>
    <t xml:space="preserve">Porcentaje de los planes departamentales de consejos de área (Patrimonio, Cinematografía, Medios de Comunicación Ciudadanos y Comunitarios, Áreas Artísticas) implementados </t>
  </si>
  <si>
    <t>Planes departamentales de consejos de área (Patrimonio, Cinematografía, Medios de Comunicación Ciudadanos y Comunitarios, Áreas Artísticas) implementados</t>
  </si>
  <si>
    <t>Implementar el 50% del sistema de información cultural caucano</t>
  </si>
  <si>
    <t xml:space="preserve">Porcentaje del sistema de información cultural caucano implementado </t>
  </si>
  <si>
    <t>Fortalecimiento de los territorios a través de consolidación del Sistema Departamental de Cultura del Cauca.</t>
  </si>
  <si>
    <t xml:space="preserve">Sistema de información cultural caucano implementado </t>
  </si>
  <si>
    <t xml:space="preserve">Esta meta se cumple con la captura información cultural secundaria </t>
  </si>
  <si>
    <t xml:space="preserve">Gestionar 46 iniciativas de fortalecimiento para el arte, la cultura y la infraestructura cultural </t>
  </si>
  <si>
    <t xml:space="preserve">Número de iniciativas de fortalecimiento para el arte, la cultura y la infraestructura cultural  con enfoque diferencial hacia las poblaciones, gestionadas. </t>
  </si>
  <si>
    <t>Arte, cultura y espacios para la paz</t>
  </si>
  <si>
    <t>Visibilizar la importancia de las expresiones culturales, valores de la interculturalidad, el respeto por la diferencia, la convivencia pacífica    de los diversos grupos poblacionales y el fortalecimiento de espacios para la paz.</t>
  </si>
  <si>
    <t>Impulsar 35 iniciativas de proyectos en investigación, creación, formación, producción y circulación artística y cultural, con el programa departamental de estímulos</t>
  </si>
  <si>
    <t xml:space="preserve">Número de iniciativas de proyectos en investigación, creación, formación, producción y circulación artística y cultural, con el programa departamental de estímulos impulsadas </t>
  </si>
  <si>
    <t>Fortalecimiento de las iniciativas culturales con el programa de estímulos en el Departamento del Cauca</t>
  </si>
  <si>
    <t xml:space="preserve"> 35 iniciativas de proyectos en investigación, creación, formación, producción y circulación artística y cultural, impulsadas</t>
  </si>
  <si>
    <t>Se aclara que el program de estimulos no existe y no se adelanta formulacion del mismo</t>
  </si>
  <si>
    <t>Realizar 3 encuentros culturales étnicos (Comunidades afro, indígena y campesina)</t>
  </si>
  <si>
    <t xml:space="preserve">Número de encuentros culturales étnicos (Comunidades afro, indígena y campesina) realizados </t>
  </si>
  <si>
    <t>Fortelecimiento de los procesos culturales de las poblaciones indigenas, a través de la ruta de la chirimia en el Departamento del Cauca</t>
  </si>
  <si>
    <t>por focalizar</t>
  </si>
  <si>
    <t>Ruta de la chirimia identificada - Encuentros culturales realizados</t>
  </si>
  <si>
    <t xml:space="preserve">La meta no se programa para la vigencia 2019 debido a que en el 2018 se cumple la meta con 3.5 de la programada para el cuatrenio (3.
El Programa tendrá continuidad en el 2019 </t>
  </si>
  <si>
    <t>Apoyar 4 iniciativas de carácter diferencial para población en condición de discapacidad o grupos de interés.</t>
  </si>
  <si>
    <t xml:space="preserve">Número de iniciativas de carácter diferencial para población en condición de discapacidad o grupos de interés apoyadas </t>
  </si>
  <si>
    <t xml:space="preserve"> Apoyo de Iniciativas de carácter diferencial para población en condición de discapacidad o grupos de interés apoyadas población con discapacidad en el Departamento del Cauca </t>
  </si>
  <si>
    <t>Iniciativas de carácter diferencial para población en condición de discapacidad o grupos de interés apoyadas</t>
  </si>
  <si>
    <t>Apoyar 4 iniciativas  de equipamiento de los servicios culturales de impacto subregional (construcción, mejoramiento de la infraestructura, dotación cultural)</t>
  </si>
  <si>
    <t xml:space="preserve">Número de iniciativas  de equipamiento de los servicios culturales de impacto subregional (construcción, mejoramiento de la infraestructura, dotación cultural) apoyadas </t>
  </si>
  <si>
    <t>Dotación de instrumentos musicales y capacitación para bandas musicales municipales del Cauca</t>
  </si>
  <si>
    <t>Sietes escuelas de formación dotadas</t>
  </si>
  <si>
    <t xml:space="preserve">Consolidar en un 100% el Plan Departamental de lectura, escritura y bibliotecas </t>
  </si>
  <si>
    <t xml:space="preserve">Porcentaje del el Plan Departamental de lectura, escritura y bibliotecas consolidado </t>
  </si>
  <si>
    <t>Cauca lee y escribe</t>
  </si>
  <si>
    <t>Fortalecer las bibliotecas públicas en el marco de las políticas nacionales de lectura y bibliotecas</t>
  </si>
  <si>
    <t>Implementar el 40% del Plan departamental de Lectura, escritura y Bibliotecas</t>
  </si>
  <si>
    <t xml:space="preserve">Porcentaje del Plan departamental de Lectura, escritura y Bibliotecas implementado </t>
  </si>
  <si>
    <t>Fortalecimiento de las bibliotecas públicas del Departamento del Cauca</t>
  </si>
  <si>
    <t>Bibliotecas públicas fortalecidas - Bibliotecarios capacitados</t>
  </si>
  <si>
    <t xml:space="preserve">Implementar el 50% de municipios mecanismos de reconocimiento y valoración del patrimonio cultural </t>
  </si>
  <si>
    <t>Porcentaje de municipios con mecanismos de reconocimiento y valoración del patrimonio cultural</t>
  </si>
  <si>
    <t>Somos patrimonio, somos territorio</t>
  </si>
  <si>
    <t>Reafirmar la identidad y reconocer la diversidad cultural caucana, con la apropiación del patrimonio cultural material e inmaterial presente en las subregiones  del departamento del Cauca.</t>
  </si>
  <si>
    <t>Inventariar en 22 municipios las manifestaciones y bienes del patrimonio cultural caucano</t>
  </si>
  <si>
    <t>Número de municipios con manifestaciones y bienes del patrimonio cultural caucano inventariados</t>
  </si>
  <si>
    <t>Realización de los inventarios de patrimonio cultural del Departamento del Cauca</t>
  </si>
  <si>
    <t>Municipios con inventarios de patriomnio cultural realizados</t>
  </si>
  <si>
    <t>Realizar 16 acciones de salvaguardia o protección del patrimonio cultural caucano</t>
  </si>
  <si>
    <t xml:space="preserve">Número de acciones de salvaguardia o protección del patrimonio cultural caucano realizadas </t>
  </si>
  <si>
    <t>Realizar acciones de salvaguarda en municipios del departamento del Cauca</t>
  </si>
  <si>
    <t>Acciones de salvaguarda realizadas en los municipios</t>
  </si>
  <si>
    <t>Asistir técnicamente 7 subregiones del Cauca  en emprendimientos o unidades de negocio cultural</t>
  </si>
  <si>
    <t xml:space="preserve">Número de subregiones del Cauca  en emprendimientos o unidades de negocio cultural asistidas técnicamente </t>
  </si>
  <si>
    <t>Emprendiendo, creando e intercambiando cultura</t>
  </si>
  <si>
    <t>Consolidar la economía cultural caucana con la generación de valor simbólico y el mejoramiento de los ingresos de los emprendedores cultuales del Cauca.</t>
  </si>
  <si>
    <t>Asistir técnicamente a 22 municipios en emprendimiento cultural</t>
  </si>
  <si>
    <t xml:space="preserve">Número de municipios en emprendimiento cultural asistidos técnicamente </t>
  </si>
  <si>
    <t xml:space="preserve">La meta no se programa para la vigencia 2019 debido a que en el 2018 se cumple la meta con 23 Municipios asistidos  de la programada para el cuatrenio (22).
El Programa tendrá continuidad en el 2019 </t>
  </si>
  <si>
    <t>Realizar 4 convocatorias  para entrega de estímulos al emprendimiento cultural</t>
  </si>
  <si>
    <t xml:space="preserve">Número de convocatorias  para entrega de estímulos al emprendimiento cultural realizadas </t>
  </si>
  <si>
    <t>Agenda Cultural 2019</t>
  </si>
  <si>
    <t>Conmemoración del artista caucano</t>
  </si>
  <si>
    <t>Realizar 4 eventos de promoción  de la economía cultural regional</t>
  </si>
  <si>
    <t xml:space="preserve">Número de eventos de promoción  de la economía cultural regional realizados </t>
  </si>
  <si>
    <t>ND</t>
  </si>
  <si>
    <t>Realizar Expocultura 2019</t>
  </si>
  <si>
    <t>Eventos culturales realizados</t>
  </si>
  <si>
    <t xml:space="preserve">La meta no se programa para la vigencia 2019 debido a que en el 2018 se cumple la meta con 5  eventos de promoción  de la economía cultural regional realizados   de la programada para el cuatrenio (4).
El Programa tendrá continuidad en el 2019 </t>
  </si>
  <si>
    <t>Apoyar 4 iniciativas comunitarias de turismo cultural</t>
  </si>
  <si>
    <t>Número de iniciativas de turismo cultural apoyadas</t>
  </si>
  <si>
    <t xml:space="preserve">La meta no se programa para la vigencia 2019 debido a que en el 2018 se cumple la meta con 22 Municipios asistidos  de la programada para el cuatrenio (4).
El Programa tendrá continuidad en el 2019 </t>
  </si>
  <si>
    <t>Realizar 12 acciones de visibilización de la identidad caucana</t>
  </si>
  <si>
    <t>Número de acciones de visibilización de la identidad caucana realizadas</t>
  </si>
  <si>
    <t>Cauca vive en ti</t>
  </si>
  <si>
    <t>Promover el reconocimiento de los principales rasgos distintivos socioculturales del territorio caucano para la apropiación de su identidad.</t>
  </si>
  <si>
    <t>Realizar 4 encuentros de socialización de buenas prácticas, políticas, ambientales, sociales y de economías alternativas propias de la cultura caucana</t>
  </si>
  <si>
    <t xml:space="preserve">Número de encuentros de socialización de buenas prácticas, políticas, ambientales y sociales y de economías alternativas propias de la cultura caucana realizados </t>
  </si>
  <si>
    <t>Evento de buenas practicas realizados</t>
  </si>
  <si>
    <t>Realizar 2 festivales escolares de identidad caucana</t>
  </si>
  <si>
    <t>Número de festivales escolares de la identidad caucana realizados</t>
  </si>
  <si>
    <t>Festival escolar de identidad caucana apoyado</t>
  </si>
  <si>
    <t>Realizar 4 foros de intercambio de experiencias multiculturales presentes en el Departamento del Cauca</t>
  </si>
  <si>
    <t>Número de foros de experiencias multiculturales presentes en el Departamento del Cauca.</t>
  </si>
  <si>
    <t>Foros de experiencia multicultural realizados</t>
  </si>
  <si>
    <t>Realizar 2 campañas culturales de identidad territorial sobre el cuidado del agua y del medio ambiente</t>
  </si>
  <si>
    <t>Número de campañas culturales de identidad territorial sobre el cuidado del agua y del medio ambiente realizadas</t>
  </si>
  <si>
    <t xml:space="preserve"> Campañas culturales de identidad territorial sobre el cuidado del agua y del medio ambiente </t>
  </si>
  <si>
    <t>DEPENDENCIA RESPONSABLE: SECRETARÍA DE INFRAESTRUCUTRA</t>
  </si>
  <si>
    <t>Recuperación del Tejido Social, Construcción de Paz y Posconflicto</t>
  </si>
  <si>
    <t xml:space="preserve">Reducir al 4% el déficit cuantitativo de vivienda
</t>
  </si>
  <si>
    <t xml:space="preserve">Porcentaje del déficit cuantitativo de vivienda reducido 
</t>
  </si>
  <si>
    <t xml:space="preserve">6%
</t>
  </si>
  <si>
    <t xml:space="preserve">Construir 5.517 viviendas
</t>
  </si>
  <si>
    <t xml:space="preserve">Número de viviendas construidas
</t>
  </si>
  <si>
    <t xml:space="preserve">4.803
</t>
  </si>
  <si>
    <t>Proyecto de vivienda de interés prioritario Santa Isabel y Torres de San Eduardo, municipio de Popayán, Departamento del Cauca</t>
  </si>
  <si>
    <t>Gloria Marmolejo - Profesional Universitario</t>
  </si>
  <si>
    <t>Proyecto de vivienda de interés prioritario Santa Isabel, municipio de Popayán, Departamento del Cauca</t>
  </si>
  <si>
    <t>Cauca</t>
  </si>
  <si>
    <t>Centro</t>
  </si>
  <si>
    <t>Proyecto de vivienda de interés social Torres de San Eduardo en el municipio de Popayán, Departamento del Cauca</t>
  </si>
  <si>
    <t>Popayán</t>
  </si>
  <si>
    <t>Reducir a 16% el déficit cualitativo de vivienda</t>
  </si>
  <si>
    <t xml:space="preserve">Porcentaje del déficit cualitativo de vivienda reducido </t>
  </si>
  <si>
    <t>Mejorar  2.758 viviendas</t>
  </si>
  <si>
    <t>Número de viviendas mejoradas</t>
  </si>
  <si>
    <t>incremento</t>
  </si>
  <si>
    <t>5,580,000</t>
  </si>
  <si>
    <t>Mejoramiento de vivienda para los municipios de Patía, El Tambo, La Sierra, Sotará, Bolivar y San Sebastian</t>
  </si>
  <si>
    <t>2012-019000-0122</t>
  </si>
  <si>
    <t>Patía, El Tambo, La Sierra, Sotará, Bolivar y San Sebastian</t>
  </si>
  <si>
    <t>Sur, Centro, Macizo</t>
  </si>
  <si>
    <t>Atender el 100% de las emergencias de vivienda</t>
  </si>
  <si>
    <t xml:space="preserve">Porcentaje de emergencias de vivienda atendidas </t>
  </si>
  <si>
    <t xml:space="preserve">Infraestructura Social y Productiva </t>
  </si>
  <si>
    <t>Ampliar en un 2% la cobertura de energía eléctrica</t>
  </si>
  <si>
    <t xml:space="preserve">Porcentaje de cobertura de energía eléctrica ampliado </t>
  </si>
  <si>
    <t>Electrificar 5.000 viviendas</t>
  </si>
  <si>
    <t>Número de viviendas electrificadas</t>
  </si>
  <si>
    <t xml:space="preserve">CONSTRUCCIÓN DE REDES ELECTRICAS DE MT, BT EN LA ZONA ZONAL RURAL DEL MUNICIPIO DE SANTA ROSA, AMPLIACIÓN DE LA COBERTURA DE ENERGÍA ELÉCTRICA A USUARIOS DEL SECTOR RURAL </t>
  </si>
  <si>
    <t>SANTA ROSA, ALMAGUER, BALBOA, BOLIVAR, LA SIERRA, MERCADERES, SOTARÁ</t>
  </si>
  <si>
    <t>sur, Macizo, sur</t>
  </si>
  <si>
    <t>Edison Hoyos - Profesional Universitario</t>
  </si>
  <si>
    <t>CONSTRUCCIÓN DE REDES ELECTRICAS DE MT, BT EN LA ZONA ZONAL RURAL DEL MUNICIPIO DE SANTA ROSA</t>
  </si>
  <si>
    <t>SANTA ROSA</t>
  </si>
  <si>
    <t>SUR</t>
  </si>
  <si>
    <t>AMPLIACIÓN DE LA COBERTURA DE ENERGÍA ELÉCTRICA A USUARIOS DEL SECTOR RURAL POR MEDIO DE LA CONSTRUCCIÓN DE REDES ELÉCTRICAS EN DIFERENTES MUNICIPIOS DEL DEPARTAMENTO DEL CAUCA</t>
  </si>
  <si>
    <t>ALMAGUER, BALBOA, BOLIVAR, LA SIERRA, MERCADERES, SOTARÁ</t>
  </si>
  <si>
    <t>MACIZO, SUR</t>
  </si>
  <si>
    <t>Ampliar en 10 MW la potencialidad de generación eléctrica reportada por la UPME</t>
  </si>
  <si>
    <t xml:space="preserve">MW ampliados de potencialidad de generación eléctrica reportada por la UPME  </t>
  </si>
  <si>
    <t>Gestionar 2 proyectos a nivel de factibilidad</t>
  </si>
  <si>
    <t>Número de proyectos  a nivel de factibilidad gestionados</t>
  </si>
  <si>
    <t>Estudios para la generación de energía en el sector de Julumito mediante el aprovechamiento de los recursos hídricos municipio de Popayán, estudios de reconocimiento y prefactibilidad para la construccion de una pch en la zona campesina de Silvia municipio de Silvia Departamento del Cauca</t>
  </si>
  <si>
    <t>201800319097-2018003190122</t>
  </si>
  <si>
    <t>Popayán -Silvia</t>
  </si>
  <si>
    <t>CENTRO</t>
  </si>
  <si>
    <t>Estudios para la generación de energía en el sector de Julumito mediante el aprovechamiento de los recursos hídricos municipio de Popayán Departamento del Cauca</t>
  </si>
  <si>
    <t>estudios de reconocimiento y prefactibilidad para la construccion de una pch en la zona campesina de Silvia municipio de Silvia Departamento del Cauca</t>
  </si>
  <si>
    <t>Silvia</t>
  </si>
  <si>
    <t>centro</t>
  </si>
  <si>
    <t>Disminuir en un 30% el costo del servicio de energía eléctrica en establecimientos o espacios públicos intervenidos</t>
  </si>
  <si>
    <t xml:space="preserve">Porcentaje de costo del servicio de energía eléctrica en establecimientos o espacios públicos intervenidos disminuido </t>
  </si>
  <si>
    <t>100% costo del servicio de energía para establecimientos o espacios públicos intervenidos</t>
  </si>
  <si>
    <t>Intervenir 5 establecimientos o espacios públicos</t>
  </si>
  <si>
    <t xml:space="preserve">Número de establecimientos o espacios públicos intervenidos </t>
  </si>
  <si>
    <t>Implementación de sistema hibrido (fotovoltaico - red eléctrica) en la institución educativa agropecuaria Mama Juana (misak) de Silvia, institución educativa Vasco Nuñez de Balboa en el Municipio de Balboa y Construcción de infraestructura educativa San agustín del Napi, sede Escuela Rural Mixta Soledad, en el municipio de Guapi.</t>
  </si>
  <si>
    <t>Silvia, Balboa, Guapi</t>
  </si>
  <si>
    <t>Centro, Centro, Pacífico</t>
  </si>
  <si>
    <t>Implementación de sistema hibrido (fotovoltaico - red eléctrica) en la institución educativa agropecuaria Mama Juana (misak) de Silvia- Cauca.</t>
  </si>
  <si>
    <t>Implementación de sistema hibrido (fotovoltaico - red eléctrica) en la institución educativa Vasco Nuñez de Balboa en el Municipio de Balboa.</t>
  </si>
  <si>
    <t>Balboa</t>
  </si>
  <si>
    <t>Construcción de infraestructura educativa San agustín del Napi, sede Escuela Rural Mixta Soledad, en el municipio de Guapi.</t>
  </si>
  <si>
    <t>Guapi</t>
  </si>
  <si>
    <t>Pacifico</t>
  </si>
  <si>
    <t xml:space="preserve">Garantizar 300 días al año las condiciones aceptables de transitabilidad en la red vial secundaria
</t>
  </si>
  <si>
    <t xml:space="preserve">Número de días al año con condiciones aceptables de transitabilidad en la red vial secundaria garantizados 
</t>
  </si>
  <si>
    <t xml:space="preserve">
0
</t>
  </si>
  <si>
    <t xml:space="preserve">
Conservar 1.878 km de vías secundarias y terciarias
</t>
  </si>
  <si>
    <t xml:space="preserve">Kilómetros de vías secundarias y terciarias con conservación rutinaria
</t>
  </si>
  <si>
    <t xml:space="preserve">
0
</t>
  </si>
  <si>
    <t>PROYECTO DE CONSERVACIÓN RUTINARIA DE LA RED VIAL A CARGO DEL DEPARTAMENTO, CON PARTICIPACiÓN
COMUNITARIA</t>
  </si>
  <si>
    <t>Bolívar, Almaguer, Mercaderes, El Tambo, Patía, Purace, Florencia, Balboa, Argelia, Sucre, La Vega, La Sierra, Timbio, Puerto Tejada, Sotará, San Sebastián, Cajibío, Totoró, Piendamó, Caldono, Santander De Quilichao, Buenos Aires, Silvia, Caloto, Jambaló, Guachené, Morales, Suárez, Inzá, Páez, Padilla, Corinto, Miranda</t>
  </si>
  <si>
    <t>NORTE, SUR, CENTRO, MACIZO, ORIENTE</t>
  </si>
  <si>
    <t>Julian Andres Muñoz - Profesional Universitario</t>
  </si>
  <si>
    <t xml:space="preserve">Incrementar a un 70% la red vial  secundaria en buen estado
</t>
  </si>
  <si>
    <t xml:space="preserve">Porcentaje de la red vial secundaria en buen estado 
</t>
  </si>
  <si>
    <t xml:space="preserve">50%
</t>
  </si>
  <si>
    <t xml:space="preserve">Atender 800 km de red vial secundaria
</t>
  </si>
  <si>
    <t xml:space="preserve">Kilómetros de vías secundarias atendidas
</t>
  </si>
  <si>
    <t xml:space="preserve">0
</t>
  </si>
  <si>
    <t>CRUCE RUTA 2503 (EL ARADO)-CINCO DIAS-EL TABLON-CRUCE RUTA 25CC07(PTE RIO TIMBIO) POPAYAN-CRUCERO -CHIRIBIO-PIEDRA LEON-EL TREBOL(CRUCE RUTA 2002)CRUCE RUTA 2602-PUEBLITO-CRUCE RUTA 26CC03 (SILVIA) CONSTRUCCIÓN OBRAS MENORES PARA LA ATENCIÓN DE SÍTIOS CRÍTICOS PRIORIZADOS EN LA RED VIAL A CARGO DEL DEPARTAMENTO DEL CAUCA-MEJORAMIENTO DE LA VÍA DE ACCESO A RESGUARDO INDIGENA LA MARIA MEDIANTE LA CONSTRUCCIÓN DE PLACA HUELLA EN EL MUNICIPIO DE PIENDAMO, CAUCA</t>
  </si>
  <si>
    <t>2017003190271-2018003190080-2018003190123</t>
  </si>
  <si>
    <t xml:space="preserve">TIMBIO-EL TAMBO          POPAYAN-SOTARA            TOTORO-SILVIA      (Almaguer, Argelia,Balboa,Bolivar, Buenos Aires, Cajibio, Caldono, Caloto, El Tambo, Florencia,Inza,Jambalo,La Sierra,La Vega,Mercaderes,Morales,Patia,Piendamo,San Sebastian,Santander,Silvia,Sotara,Sucre,Timbio,Totoro)- (  Piendamó) </t>
  </si>
  <si>
    <t>centro- centro Macizo - Oreinte Centro - Centro Sur Oriente - Centro</t>
  </si>
  <si>
    <t>CRUCE RUTA 2503 (EL ARADO)-CINCO DIAS-EL TABLON-CRUCE RUTA 25CC07(PTE RIO TIMBIO)</t>
  </si>
  <si>
    <t>TIMBIO-EL TAMBO</t>
  </si>
  <si>
    <t>Alex Diaz - Contratista</t>
  </si>
  <si>
    <t>POPAYAN-CRUCERO -CHIRIBIO-PIEDRA LEON-EL TREBOL(CRUCE RUTA 2002)</t>
  </si>
  <si>
    <t>POPAYAN-SOTARA</t>
  </si>
  <si>
    <t>Centro, Macizo</t>
  </si>
  <si>
    <t>CRUCE RUTA 2602-PUEBLITO-CRUCE RUTA 26CC03 (SILVIA)</t>
  </si>
  <si>
    <t>TOTORO-SILVIA</t>
  </si>
  <si>
    <t>Oriente, Centro</t>
  </si>
  <si>
    <t>CONSTRUCCIÓN OBRAS MENORES PARA LA ATENCIÓN DE SÍTIOS CRÍTICOS PRIORIZADOS EN LA RED VIAL A CARGO DEL DEPARTAMENTO DEL CAUCA</t>
  </si>
  <si>
    <t>Almaguer, Argelia,Balboa,Bolivar, Buenos Aires, Cajibio, Caldono, Caloto, El Tambo, Florencia,Inza,Jambalo,La Sierra,La Vega,Mercaderes,Morales,Patia,Piendamo,San Sebastian,Santander,Silvia,Sotara,Sucre,Timbio,Totoro</t>
  </si>
  <si>
    <t>Centro, Sur, Oriente</t>
  </si>
  <si>
    <t>Julian Muñoz-Profesional Universitario Diana Collazos-Contratista</t>
  </si>
  <si>
    <t>MEJORAMIENTO DE LA VÍA DE ACCESO A RESGUARDO INDIGENA LA MARIA MEDIANTE LA CONSTRUCCIÓN DE PLACA HUELLA EN EL MUNICIPIO DE PIENDAMO, CAUCA</t>
  </si>
  <si>
    <t>PIENDAMO</t>
  </si>
  <si>
    <t>Julian Muñoz-Profesional Universitario Julieth Valencia</t>
  </si>
  <si>
    <t xml:space="preserve">Incrementar a un 10% la red vial  terciaria en buen estado
</t>
  </si>
  <si>
    <t>Porcentaje de la red vial terciaria en buen estado</t>
  </si>
  <si>
    <t xml:space="preserve">
5%</t>
  </si>
  <si>
    <t>Atender 300 km de red vial terciaria</t>
  </si>
  <si>
    <t>Kilómetros de vías terciarias atendidas</t>
  </si>
  <si>
    <t>PIEDRASENTADA-LOS UVOS-PARAISO-SUCRE-GUACHICONO LA DEPRESION  (CRUCE RUTA 2503) LA SIERRA (CRUCE RUTA 2503) PUENTE LOS ROBLES -LA CABAÑA - EL HATOMEJORAMIENTO DE VÍAS TERCIARIAS MEDIANTE LA CONSTRUCCION DE OBRAS DE DRENAJE EN EL MUNICIPIO SUCRE, CAUCA</t>
  </si>
  <si>
    <t>LA SIERRA-SUCRE-BOLIVAR-PATIA LA VEGA-SOTARA TIMBIO CAJIBIO TOTORO INZA PIENDAMO MORALES PAEZ</t>
  </si>
  <si>
    <t>SUR - CENTRO - ORIENTE</t>
  </si>
  <si>
    <t>Alex Diaz</t>
  </si>
  <si>
    <t>PIEDRASENTADA-LOS UVOS-PARAISO-SUCRE-GUACHICONO</t>
  </si>
  <si>
    <t>LA SIERRA-SUCRE-BOLIVAR-PATIA</t>
  </si>
  <si>
    <t>LA DEPRESION  (CRUCE RUTA 2503) LA SIERRA</t>
  </si>
  <si>
    <t>LA SIERRA</t>
  </si>
  <si>
    <t>MACIZO</t>
  </si>
  <si>
    <t>CRUCERO EL LLANO-LOS ROBLES-RIO BLANCO-PARAMO DE BARBILLAS-PANCITARA-LA ZANJA(CRUCE RUTA 25CC15) CRUCERO EL LLANO-LOS ROBLES-RIO BLANCO-PARAMO DE BARBILLAS-PANCITARA-LA ZANJA(CRUCE RUTA 25CC15)</t>
  </si>
  <si>
    <t>LA VEGA-SOTARA</t>
  </si>
  <si>
    <t>(CRUCE RUTA 2503) PUENTE LOS ROBLES -LA CABAÑA - EL HATO</t>
  </si>
  <si>
    <t>TIMBIO</t>
  </si>
  <si>
    <t>CRUCE RUTA 2504-EL TUNEL-JEBALA-MIRAFLORES (CRUCE RUTA 26CC08)</t>
  </si>
  <si>
    <t>CAJIBIO-TOTORO</t>
  </si>
  <si>
    <t>CENTRO,ORIENTE</t>
  </si>
  <si>
    <t>EL MANGO-PESCADOR</t>
  </si>
  <si>
    <t>CAJIBIO</t>
  </si>
  <si>
    <t>TUMBICHUCUE- LAME-LA TROJA</t>
  </si>
  <si>
    <t xml:space="preserve">INZA_x000D_
</t>
  </si>
  <si>
    <t>ORIENTE</t>
  </si>
  <si>
    <t>CRUCE RUTA 2601 (CUATRO ESQUINAS)-CARPINTERO-PORVENIR-ALTO DE OVEJAS</t>
  </si>
  <si>
    <t>PIENDAMO-MORALES</t>
  </si>
  <si>
    <t>CRUCE RUTA 3105-GUALANDAY-RIO NEGRO</t>
  </si>
  <si>
    <t>BELALCAZAR(PÁEZ)-LA HONDURA-RIO CHIQUITO-PUENTE RIO NEGRO (LIMITE HUILA)</t>
  </si>
  <si>
    <t>PAEZ</t>
  </si>
  <si>
    <t>CRUCE RUTA 26CC06 (LOS PINOS)-CRUCE RUTA 25CC19</t>
  </si>
  <si>
    <t>MEJORAMIENTO (BACHEO) PARA LAS VÍAS: 31CC02 CORINTO – PADILLA – PUERTO TEJADA, SECTOR PADILLA – PUERTO TEJADA Y 31CC04 CRUCE RUTA 3105 – PADILLA, SECTOR PADILLA – LA COSECHA, DEPARTAMENTO DEL CAUCA</t>
  </si>
  <si>
    <t>PADILLA</t>
  </si>
  <si>
    <t>NORTE</t>
  </si>
  <si>
    <t>Ricardo Castillo - Profesional Universitario</t>
  </si>
  <si>
    <t>MEJORAMIENTO DE VÍAS TERCIARIAS MEDIANTE LA CONSTRUCCION DE OBRAS DE DRENAJE EN EL MUNICIPIO SUCRE, CAUCA</t>
  </si>
  <si>
    <t>SUCRE</t>
  </si>
  <si>
    <t>Claudia Ceron-Contratista</t>
  </si>
  <si>
    <t>Atender el 100% de las emergencias  viales</t>
  </si>
  <si>
    <t>Porcentaje de Emergencias viales atendidas</t>
  </si>
  <si>
    <t xml:space="preserve">Incrementar a 40 km/h la velocidad de operación  en las vías intervenidas
</t>
  </si>
  <si>
    <t xml:space="preserve">km/h de velocidad de operación en las vías intervenidas incrementado 
</t>
  </si>
  <si>
    <t xml:space="preserve">25
</t>
  </si>
  <si>
    <t>Pavimentar o mejorar 70 km de vías</t>
  </si>
  <si>
    <t>Kilómetros de vías pavimentados o mejorados</t>
  </si>
  <si>
    <t>PAVIMENTACIÓN DE LA VÍA 25CC12 TIMBIO - PAISPAMBA - CRUCERO EL LLANO, EN EL TRAMO COMPRENDIDO ENTRE EL PR14+828 AL PR20+629, MUNICIPIO DE SOTARA CONSTRUCCION DE PAVIMENTO DE LA VÍA 25CC22 "CRUCE RUTA 2504 (EL PITAL)-CALDONO-PUEBLO NUEVO-ASNENGA-EL PEÑON" SECTOR PITAL-CALDONO entre el PR 0+700 al PR5+300 CONSTRUCION DE PAVIMENTO  DE LA VÍA 26CC01: MORALES - LA TOMA SUAREZ - , EN  LOS SECTORES PR09+545 (80M) Y PR16+507 AL PR20+000 DEPARTAMENTO DEL CAUCA. PAVIMENTACION DE LA VÍA 25CC03 EL ESTRECHO - BALBOA  ARGELIA EN EL TRAMO COMPRENDIDO ENTRE EL PR53+000 AL PR57+969 Municiio de Argelia PAVIMENTACIÓN DEL TRAMO 4 DE LA VÍA 1202 ESTRECHO-BALBOA-ARGELIA-EL PLATEADO EN EL MUNICIPIO DE BALBOA, DEPARTAMENTO DEL CAUCA</t>
  </si>
  <si>
    <t>2017000030079 - 2017000030196 - 2018000030033 - 2018000030092 - 2018000030013 - 20181719000153 - 20181719000152 - 2017000030193 - 20181301011091 - 2018000030050 - 2017000030080 - 2017000030084</t>
  </si>
  <si>
    <t>PAVIMENTACIÓN DE LA VÍA 25CC12 TIMBIO - PAISPAMBA - CRUCERO EL LLANO, EN EL TRAMO COMPRENDIDO ENTRE EL PR14+828 AL PR20+629, MUNICIPIO DE SOTARA</t>
  </si>
  <si>
    <t>Sotara</t>
  </si>
  <si>
    <t>Macizo</t>
  </si>
  <si>
    <t>Henry Cuellar - Profesional Universitario</t>
  </si>
  <si>
    <t>CONSTRUCCION DE PAVIMENTO DE LA VÍA 25CC22 "CRUCE RUTA 2504 (EL PITAL)-CALDONO-PUEBLO NUEVO-ASNENGA-EL PEÑON" SECTOR PITAL-CALDONO entre el PR 0+700 al PR5+300</t>
  </si>
  <si>
    <t>Caldono</t>
  </si>
  <si>
    <t xml:space="preserve">CONSTRUCION DE PAVIMENTO  DE LA VÍA 26CC01: MORALES - LA TOMA SUAREZ - , EN  LOS SECTORES PR09+545 (80M) Y PR16+507 AL PR20+000 DEPARTAMENTO DEL CAUCA.  </t>
  </si>
  <si>
    <t>Morales, Suarez</t>
  </si>
  <si>
    <t xml:space="preserve">Centro </t>
  </si>
  <si>
    <t xml:space="preserve">CONSTRUCCION DE PAVIMENTO DE LA VIA 12CC01 PALMITAS - LERMA ALMAGUER, EN EL TRAMO COMPRENDIDO ENTRE EL PR0+000 AL PR7+250 </t>
  </si>
  <si>
    <t>Almaguer</t>
  </si>
  <si>
    <t xml:space="preserve">PAVIMENTACION DE LA VÍA 25CC03 EL ESTRECHO - BALBOA  ARGELIA EN EL TRAMO COMPRENDIDO ENTRE EL PR53+000 AL PR57+969 Municiio de Argelia </t>
  </si>
  <si>
    <t>Argelia</t>
  </si>
  <si>
    <t>Sur</t>
  </si>
  <si>
    <t>PAVIMENTACIÓN DE LA VÍA 12CC01 EN EL TRAMO PALMITAS - LERMA, MUNICIPIO DE BOLÍVAR EN EL DEPARTAMENTO DEL CAUCA</t>
  </si>
  <si>
    <t>Bolivar</t>
  </si>
  <si>
    <t>PAVIMENTACIÓN VÍA CENTRAL CORREGIMIENTO DE SAN JUAN - MUNICIPIO DE BOLÍVAR, CAUCA</t>
  </si>
  <si>
    <t>Pavimentación de la Vía 31CC05 Miranda - Santa Ana - Puente Río Desbaratado (Limite del Valle), en el tramo comprendido entre el PR7+050 al PR8+914 y PR9+480 al PR10+000, en el Municipio de Miranda Departamento del  Cauca</t>
  </si>
  <si>
    <t>Miranda</t>
  </si>
  <si>
    <t>REHABILITACIÓN DE LA VÍA 25CC21 PESCADOR, SIBERIA, CALDONO, DESDE EL SECTOR PR0+000 AL PR 5+619, EN EL MUNICIPIO DE CALDONO, DEPARTAMENTO DEL CAUCA</t>
  </si>
  <si>
    <t>Carlos Cordoba</t>
  </si>
  <si>
    <t xml:space="preserve">MEJORAMIENTO DE LA INTERCONEXIÓN ORIENTE SILVIA - PIENDAMÓ - PANAMERICANA EN EL KILÓMETRO K0+000 AL K0+812,18 DEPARTAMENTO DEL CAUCA </t>
  </si>
  <si>
    <t>Silvia, Piendamo</t>
  </si>
  <si>
    <t>MEJORAMIENTO Y PAVIMENTACIÓN DE LA VÍA 25CC22 CRUCE RUTA 2504 (EL PITAL) CALDONO - PUEBLO NUEVO - ASNEGA - EL PEÑON EN EL SECTOR EL PITAL - CALDONO, DESDE EL PR 5+300 AL PR9+200, MUNICIPIO DE CALDONO, DEPARTAMENTO DEL CAUCA</t>
  </si>
  <si>
    <t>MEJORAMIENTO DE LA VÍA: CRUCE KILÓMETRO 55 - GOLONDRINAS MEDIANTE LA CONSTRUCCIÓN DE PLACA HUELLA Y OBRAS DE ARTE EN EL KM 3+506 AL KM 3+801 Y KM 5+721 AL K5+901, MUNICIPIO DE ROSAS, CAUCA, CAUCA</t>
  </si>
  <si>
    <t>Rosas</t>
  </si>
  <si>
    <t>Claudia ceron-Contratista</t>
  </si>
  <si>
    <t>REHABILITACIÓN DE LA VÍA EL ESTRECHO – PUENTE LA BARCA EN LOS TRAMOS DEL PR0 + 000 AL PR0+400 Y DEL PR0+600 AL PR1+000 EN EL MUNICIPIO DE PATIA, DEPARTAMENTO DEL CAUCA</t>
  </si>
  <si>
    <t>Patia</t>
  </si>
  <si>
    <t>PAVIMENTACIÓN DE LA VÍA SILVIA-JAMBALO</t>
  </si>
  <si>
    <t>Melba Rocio Cruz - Profesional Universitario</t>
  </si>
  <si>
    <t>PAVIMENTACIÓN DEL TRAMO 4 DE LA VÍA 1202 ESTRECHO-BALBOA-ARGELIA-EL PLATEADO EN EL MUNICIPIO DE BALBOA, DEPARTAMENTO DEL CAUCA</t>
  </si>
  <si>
    <t>MEJORAMIENTO Y PAVIMENTACIÓN DE LA VÍA 31CC05 MIRANDA-SANTA ANA-EL ORTIGAL-PARAMERICANA PARA EL TRAMO ENTRE EL ORTIGAL - PANAMERICANA EN EL DEPARTAMENTO DEL CAUCA</t>
  </si>
  <si>
    <t>PAVIMENTACIÓN DE LA VÍA 25CC25 SANTANDER DE QUILICHAO-SAN PEDRO-LA PLACA-NUEVO DÍA-LA MINA-BARONDILLO SECTOR SAN PEDRO-LA PALOMERA EN EL MUNICIPIO DE SANTANDER DE QUILICHAO</t>
  </si>
  <si>
    <t>Santander de Quilichao</t>
  </si>
  <si>
    <t>PAVIMENTACIÓN DE LA VÍA 25CC14 POPAYÁN – CHIRIBÍO – PIEDRA LEÓN – EL TREBOL SECTOR PR1+496 AL PR2+946</t>
  </si>
  <si>
    <t>Popayan</t>
  </si>
  <si>
    <t>PAVIMENTACIÓN TERCERA ETAPA DE LA VÍA 25CC12 TIMBÍO – PAISPAMBA EN EL MUNICIPIO DE SOTARÁ, DEPARTAMENTO DEL CAUCA</t>
  </si>
  <si>
    <t>Sotará</t>
  </si>
  <si>
    <t>Mejoramiento y pavimentación de la doble calzada 53 norte desde la variante hacia la carrera 9 entre el  pr k1+420 hacia el pr k1+100, en la ciudad de popayan para aumentar la integración y competividad del departamento del cauca</t>
  </si>
  <si>
    <t>Mejoramiento y rehabilitación de la vía Popayán - El Tambo, intersección Ruta 2001 desde El Tablón hacia Río Hondo, tramo PR0+000 hasta el PR 1+350, en el Municipio de Popayán</t>
  </si>
  <si>
    <t>MEJORAMIENTO DE LA INFRAESTRUCTURA VIAL REGIONAL POR MEDIO DE LA CONSTRUCCIÓN DE PAVIMENTO RÍGIDO Y FLEXIBLE EN VÍAS URBANAS Y RURALES DE LOS MUNICIPIOS DE BALBOA, CORINTO, GUACHENÉ, SANTANDER DE QUILICHAO Y SUCRE, DEL DEPARTAMENTO DEL  CAUCA</t>
  </si>
  <si>
    <t>Balboa
Corinto
Guachene
Sucre
Santander</t>
  </si>
  <si>
    <t>Sur, Norte</t>
  </si>
  <si>
    <t>MEJORAMIENTO Y PAVIMENTACION VIA ENTRE EL CEMENTERIO Y BARRIO LA PILA, MUNICIPIO DE LA SIERRA CAUCA</t>
  </si>
  <si>
    <t>La Sierra</t>
  </si>
  <si>
    <t>Construcción de pavimento de la vía 12CC05 tramo Almaguer - Cruce Ruta 25CC15</t>
  </si>
  <si>
    <t>Construcción de pavimento en concreto rígido de la carrera 6 entre calles 3 y 9, carrera 8 entre calles 2 y 7, calle 8 entre carreras 6 y 9 y calle 4 entre carreras 6 y 9 en el corregimiento de Santa Maria</t>
  </si>
  <si>
    <t>Timbiquí</t>
  </si>
  <si>
    <t>Pacífico</t>
  </si>
  <si>
    <t>Integrar 20 veredas nuevas al sistema vial departamental</t>
  </si>
  <si>
    <t>Número de veredas nuevas integradas al sistema vial departamental</t>
  </si>
  <si>
    <t xml:space="preserve">Intervenir 20  puentes o pontones
</t>
  </si>
  <si>
    <t xml:space="preserve">Número de puentes o pontones intervenidos
</t>
  </si>
  <si>
    <t>Construir 3 proyectos convencionales o no convencionales</t>
  </si>
  <si>
    <t>Número de proyectos convencionales o no convencionales construidos</t>
  </si>
  <si>
    <t>CONSTRUCCIÓN DEL PUENTE PEATONAL SOBRE EL RÍO CAQUETÁ PARA CONECTAR LA VEREDA YUNGUILLO DEL MUNICIPIO DE MOCOA, DEPARTAMENTO DE PUTUMAYO, CON LA VEREDA DE TANDARIDO DEL MUNICIPIO DE SANTA ROSA, DEPARTAMENTO DEL  CAUCA. RECONSTRUCCIÓN DE PUENTE PEATONAL Y CABALLAR SOBRE EL RÍO MOLINO, EN LA VEREDA PUEBLILLO, SECTOR EL BOSQUE, DEL MUNICIPIO DE POPAYÁN, DEPARTAMENTO DEL  CAUCA</t>
  </si>
  <si>
    <t>2017000030074 - 2018003190090</t>
  </si>
  <si>
    <t>Santa Rosa - Popayán</t>
  </si>
  <si>
    <t>Macizo - Centro</t>
  </si>
  <si>
    <t>CONSTRUCCIÓN DEL PUENTE PEATONAL SOBRE EL RÍO CAQUETÁ PARA CONECTAR LA VEREDA YUNGUILLO DEL MUNICIPIO DE MOCOA, DEPARTAMENTO DE PUTUMAYO, CON LA VEREDA DE TANDARIDO DEL MUNICIPIO DE SANTA ROSA, DEPARTAMENTO DEL  CAUCA</t>
  </si>
  <si>
    <t>Santa Rosa</t>
  </si>
  <si>
    <t>Henry Cuellar-Profesional Universitario</t>
  </si>
  <si>
    <t>RECONSTRUCCIÓN DE PUENTE PEATONAL Y CABALLAR SOBRE EL RÍO MOLINO, EN LA VEREDA PUEBLILLO, SECTOR EL BOSQUE, DEL MUNICIPIO DE POPAYÁN, DEPARTAMENTO DEL  CAUCA</t>
  </si>
  <si>
    <t>Elaborar 4 estudios y diseños</t>
  </si>
  <si>
    <t>Número de estudios y diseños elaborados</t>
  </si>
  <si>
    <t xml:space="preserve">Incrementar en 2.000 el Número de pasajeros/año
</t>
  </si>
  <si>
    <t xml:space="preserve">Número de pasajeros/año incrementado
</t>
  </si>
  <si>
    <t>Construir o ampliar 5 km de vías</t>
  </si>
  <si>
    <t>kms de vías construidas o ampliadas</t>
  </si>
  <si>
    <t>Construcción (1 km) del tramo Rio Claro – Los Andes, de la vía 20CC01 (Munchique – Juntas – Huisitó – Rio Claro – Los Andes), Municipio de El Tambo – Cauca.</t>
  </si>
  <si>
    <t>El Tambo</t>
  </si>
  <si>
    <t xml:space="preserve">Actualizar 1 Plataforma de información de la red vial secundaria y terciaria
</t>
  </si>
  <si>
    <t xml:space="preserve">Número de Plataformas de información de la red vial secundaria y terciaria actualizadas </t>
  </si>
  <si>
    <t xml:space="preserve">0
</t>
  </si>
  <si>
    <t xml:space="preserve">Formular 15 planes viales municipales 
</t>
  </si>
  <si>
    <t xml:space="preserve">Número de planes viales municipales formulados
</t>
  </si>
  <si>
    <t xml:space="preserve">6
</t>
  </si>
  <si>
    <t>Formulación de los planes viales municipales de la red terciaria del Departamento del Cauca</t>
  </si>
  <si>
    <t>Bolivar, Cajibio, Caldono, Caloto, Corinto, El Tambo, Guachene, Inza, Jambalo, La sierra, La Vega, Mercaderes, Miranda, Morales, Patia, Piendamo, Popayán, Rosas, San Sebastian, Santa Rosa, Santander de Quilichao, Silvia, Suarez, Timbio, Toribio</t>
  </si>
  <si>
    <t>Norte, Sur, Centro, Macizo, Oriente</t>
  </si>
  <si>
    <t>Actualizar 1 plan vial departamental</t>
  </si>
  <si>
    <t>Número de Planes viales departamental actualizados</t>
  </si>
  <si>
    <t>Poner 1 base de costos en funcionamiento</t>
  </si>
  <si>
    <t>Base de costos en funcionamiento</t>
  </si>
  <si>
    <t>Implementar 1 base de costos</t>
  </si>
  <si>
    <t xml:space="preserve">
Base de costos implementada</t>
  </si>
  <si>
    <t xml:space="preserve">Mantenimiento </t>
  </si>
  <si>
    <t>Forotalecimiento integral, estructural, técnico y operativo para el reforzamiento de la gestión institucional de la Secretaría de Infraestructura: Administración y actualización de la base de costos</t>
  </si>
  <si>
    <t>Todo el Departamento</t>
  </si>
  <si>
    <t>Pacífico, Sur, Macizo, Norte, Oriente, Centro, Pie de Monte Amazónico</t>
  </si>
  <si>
    <t>Martha Medina</t>
  </si>
  <si>
    <t>Viabilizar el 50% de proyectos de infraestructura del transporte</t>
  </si>
  <si>
    <t xml:space="preserve">Porcentaje de proyectos de  infraestructura del transporte viabilizados </t>
  </si>
  <si>
    <t>Elaborar 20 estudios de infraestructura del transporte</t>
  </si>
  <si>
    <t>Número de estudios de infraestructura del transporte elaborados</t>
  </si>
  <si>
    <t>Estudios y diseños construcción doble calzada Glorieta de Timba al parque de Santader de Quilichao - rehabilitacón de la vía Villa Rica - Caloto, construcción de placa huella en los muinicipios de Popayán, El Tambo y Patía PAVIMENTACIÓN Y/O REHABILITACIÓN DE VÍAS CONTEMPLADAS EN LOS GRUPOS 1, 2 Y 3 DEL DEPARTAMENTO DEL CAUCA</t>
  </si>
  <si>
    <t>2018000030040 - 2018003190044 - 2018003190048 - 2018000030040</t>
  </si>
  <si>
    <t>Santander de Quilichao - Caloto - Popayán - El Tambo y Patia - Suarez, Buenos Aires - Paez - Timbio - La Sierra - Totoró - Balboa - Cajibio</t>
  </si>
  <si>
    <t>Norte, Sur, Centro, Oriente, Macizo</t>
  </si>
  <si>
    <t>Estudios y diseños construcción doble calzada Glorieta de Timba al parque de Santader de Quilichao</t>
  </si>
  <si>
    <t>Estudios para la rehabilitacón de la vía Villa Rica - Caloto</t>
  </si>
  <si>
    <t>Caloto</t>
  </si>
  <si>
    <t>Estudios y diseños para construcción de placa huella en los muinicipios de Popayán, El Tambo y Patía</t>
  </si>
  <si>
    <t>Popayán - El Tambo y Patia</t>
  </si>
  <si>
    <t>Centro, Sur</t>
  </si>
  <si>
    <t>Estudios y diseños de la vía Buenos Aires-Honduras-Asnazu</t>
  </si>
  <si>
    <t>Suarez, Buenos Aires</t>
  </si>
  <si>
    <t xml:space="preserve">Estudios y diseños de la vía 37CC02 Belalcazar-Honduras-Río Chiquito </t>
  </si>
  <si>
    <t>Paez</t>
  </si>
  <si>
    <t>Oriente</t>
  </si>
  <si>
    <t>ESTUDIOS Y DISEÑOS PARA LA PAVIMENTACIÓN Y/O REHABILITACIÓN DE VÍAS CONTEMPLADAS EN LOS GRUPOS 1, 2 Y 3 DEL DEPARTAMENTO DEL CAUCA</t>
  </si>
  <si>
    <t>ESTUDIOS Y DISEÑOS PARA LA PAVIMENTACIÓN DE LA VIA 25CC10 CRUCE RUTA 2503(EL ARADO)- CINCO DIAS-EL TABLON CRUCE RUTA 25CC07 (PUENTE RIO TIMBIO) DEL PR 02-000 AL PR 04+500</t>
  </si>
  <si>
    <t>Timbio</t>
  </si>
  <si>
    <t>ESTUDIOS Y DISEÑOS PARA LA PAVIMENTACIÓN DE LA VÍA 25CC12-1 CRUCERO EL LLANO - LOS ROBLES - RIO BLANCO - PARAMO DE BARBILLAS - PANCITARA - LA ZANJA (CRUCE RUTA 25CC15) TRAMO LA SIERRA - ROBLES - RIO BLANCO; CAUCA</t>
  </si>
  <si>
    <t>ESTUDIOS Y DISEÑOS PARA LA PAVIMENTACIÓN DE LA VÍA 26CC08 CRUCE RUTA 2602 PANIQUITA-MIRAFLORES EN EL MUNICIPIO DE TOTORÓ, DEPARTAMENTO DEL CAUCA</t>
  </si>
  <si>
    <t>TOTORO</t>
  </si>
  <si>
    <t>ESTUDIOS Y DISEÑOS PARA LA ATENCIÓN DE LOS SITIOS CRÍTICOS EN LA VÍA 25CC03 EL ESTRECHO - BALBOA - ARGELIA - EL PLATEADO - EL PINCHE, EN EL TRAMO DEL PR13+000 AL PR20+500</t>
  </si>
  <si>
    <t>BALBOA</t>
  </si>
  <si>
    <t>ESTUDIOS Y DISEÑOS PARA LA CONSTRUCCIÓN DE PLACA HUELLA EN VEREDAS DEL MUNICIPIO DE POPAYÁN, DEPARTAMENTO DEL CAUCA</t>
  </si>
  <si>
    <t>POPAYAN</t>
  </si>
  <si>
    <t>Julian Andres Muñoz-Profesional Universitario</t>
  </si>
  <si>
    <t>Estudios y diseños de la vía 25CC07 Piedra Sentada-El Hoyo-Navarro-Cuatro Esquinas ruta 2001</t>
  </si>
  <si>
    <t>Patia, El Tambo</t>
  </si>
  <si>
    <t>Sur, Centro</t>
  </si>
  <si>
    <t>Claudia Ceron</t>
  </si>
  <si>
    <t xml:space="preserve">Estudios y diseños de la vía 37CC02 Belalcazar-la Hondura-Río Chiquito </t>
  </si>
  <si>
    <t>Estudios y diseños  via 26CC01-1 Suarez - Asnazú - Timba - 1 kms - zona Urbana  -Suarez</t>
  </si>
  <si>
    <t>Suarez</t>
  </si>
  <si>
    <t>Estudios y dieños vía  25CC17 El Cairo - Cajibio, sector Cajibio - El Carmelo  5 kms</t>
  </si>
  <si>
    <t>Cajibio</t>
  </si>
  <si>
    <t xml:space="preserve">Incrementar el 5% el transporte de pasajeros/año  en la Costa Pacífica
</t>
  </si>
  <si>
    <t xml:space="preserve">Porcentaje de  transporte de pasajeros/año en la Costa Pacífica incrementado
</t>
  </si>
  <si>
    <t>Gestionar 3 proyectos de infraestructura marítima, fluvial, portuaria y aérea</t>
  </si>
  <si>
    <t>Número de proyectos de infraestructura marítima, fluvial, portuaria y aérea, gestionados</t>
  </si>
  <si>
    <t>Construcción III Etapa Muelle De Carga Y Pasajeros, Cabecera Municipal De Guapi, Cauca, Occidente: suministro e instalación grúas y dotación mobiliario - CONSTRUCCIÓN DE VÍAS PEATONALES PALAFÍTICAS EN EL CORREGIMIENTO DE COROZAL - CONSTRUCCIÓN DE LAS OBRAS DE MITIGACIÓN EN LA SUBCUENCA LA PAILA, PARA REDUCIR LAS AMENAZAS Y RIESGOS EXISTENTES, CONFORME AL PLAN DE ACCIÓN DEL DECRETO DE SITUACIÓN CALAMIDAD PUBLICA NO 059 DE 2017, EN EL MUNICIPIO DE CORINTO, CAUCA</t>
  </si>
  <si>
    <t>2013000030068 - 2017003190309 - 2018000030011</t>
  </si>
  <si>
    <t>Guapi - Timbiquí - Corinto</t>
  </si>
  <si>
    <t>Pacifico - Norte</t>
  </si>
  <si>
    <t>Construcción III Etapa Muelle De Carga Y Pasajeros, Cabecera Municipal De Guapi, Cauca, Occidente: suministro e instalación grúas y dotación mobiliario</t>
  </si>
  <si>
    <t>CONSTRUCCIÓN DE VÍAS PEATONALES PALAFÍTICAS EN EL CORREGIMIENTO DE COROZAL</t>
  </si>
  <si>
    <t>Clara Acosta-Profesional Universitario</t>
  </si>
  <si>
    <t>CONSTRUCCIÓN DE LAS OBRAS DE MITIGACIÓN EN LA SUBCUENCA LA PAILA, PARA REDUCIR LAS AMENAZAS Y RIESGOS EXISTENTES, CONFORME AL PLAN DE ACCIÓN DEL DECRETO DE SITUACIÓN CALAMIDAD PUBLICA NO 059 DE 2017, EN EL MUNICIPIO DE CORINTO, CAUCA</t>
  </si>
  <si>
    <t>Corinto</t>
  </si>
  <si>
    <t xml:space="preserve">Mejoramiento en 1 posición en  el escalafón de competitividad </t>
  </si>
  <si>
    <t xml:space="preserve">Posiciones mejoradas en el escalafón de competitividad </t>
  </si>
  <si>
    <t>Gestionar 4 proyectos  estratégicos de infraestructura</t>
  </si>
  <si>
    <t xml:space="preserve">Número de proyectos  estratégicos de infraestructura gestionados </t>
  </si>
  <si>
    <t>Estudios y diseños Marginal del río Cauca - ESTUDIOS Y DISEÑOS CORREDOR VARIANTE ORIENTAL DE POPAYÁN - ESTUDIOS Y DISEÑOS A NIVEL DE FASE DE FACTIBILIDAD EN EL MARCO DEL PROYECTO CONSTRUCCIÓN DE LA CONEXIÓN POPAYAN - GUAPI SECTOR POPAYAN - EL TAMBO - EL PLATEADO - GUAPI Y CONEXIÓN ARGELIA - EL PLATEADO. CAUCA</t>
  </si>
  <si>
    <t>2017003190219 - 2018000030032</t>
  </si>
  <si>
    <t>El Tambo, Cajibío, Morales, Suárez, Popayán, Guapi</t>
  </si>
  <si>
    <t>Norte, Centro</t>
  </si>
  <si>
    <t>Estudios y diseños Marginal del río Cauca</t>
  </si>
  <si>
    <t>El Tambo, Cajibío, Morales, Suárez</t>
  </si>
  <si>
    <t>ESTUDIOS Y DISEÑOS CORREDOR VARIANTE ORIENTAL DE POPAYÁN</t>
  </si>
  <si>
    <t>ESTUDIOS Y DISEÑOS A NIVEL DE FASE DE FACTIBILIDAD EN EL MARCO DEL PROYECTO CONSTRUCCIÓN DE LA CONEXIÓN POPAYAN - GUAPI SECTOR POPAYAN - EL TAMBO - EL PLATEADO - GUAPI Y CONEXIÓN ARGELIA - EL PLATEADO. CAUCA</t>
  </si>
  <si>
    <t>Costa Pacifica</t>
  </si>
  <si>
    <t>doble calzada popayan-santander</t>
  </si>
  <si>
    <t>Disminuir el 5% la tasa de mortalidad en accidentes de tránsito</t>
  </si>
  <si>
    <t xml:space="preserve">Tasa de mortalidad en accidentes de tránsito </t>
  </si>
  <si>
    <t>13,97 Tasa de mortalidad/ 100.000 habitantes</t>
  </si>
  <si>
    <t xml:space="preserve">Implementar 3 proyectos incluidos en el plan de seguridad vial </t>
  </si>
  <si>
    <t xml:space="preserve">Número de proyectos incluidos en el plan de seguridad vial implementados </t>
  </si>
  <si>
    <t>DEMARCACIÓN Y SEÑALIZACIÓN VIAL EN ESCUELAS PÚBLICAS, EN EL MARCO DE LA ESTRUCTURACIÓN DEL PROYECTO DE SEGURIDAD VIAL EN EL DEPARTAMENTO CAUCA.</t>
  </si>
  <si>
    <t>Municipio de Patía -Corregimiento El Estrecho Municipio de Padilla- Corregimiento La Paila Santander de Quilichao -Vereda San Pedro.
Todo el Departamento</t>
  </si>
  <si>
    <t>Municipio de Patía -Corregimiento El Estrecho
Municipio de Padilla- Corregimiento La Paila
Santander de Quilichao -Vereda San Pedro.
Todo el Departamento.</t>
  </si>
  <si>
    <t>Fabio Cañon-Contratista</t>
  </si>
  <si>
    <t xml:space="preserve">Implementar el 100% del plan de seguridad vial </t>
  </si>
  <si>
    <t>Porcentaje del plan de seguridad vial implementado</t>
  </si>
  <si>
    <t>Formalización de las políticas, organización institucional para seguridad vial en concordancia con tránsito y transporte determinando competencias jurídicas y jurisdiccionales; trayectoria estratégica y desarrollo específico de las mismas; implementación, seguimiento, evaluación y mejora contínua</t>
  </si>
  <si>
    <t>Henry Cuellar Angel-Profesional Universitario</t>
  </si>
  <si>
    <t xml:space="preserve">Apoyar 5 dependencias de la gobernación con proyectos de infraestructura </t>
  </si>
  <si>
    <t xml:space="preserve">Número de dependencias de la gobernación con proyectos de infraestructura apoyadas </t>
  </si>
  <si>
    <t xml:space="preserve">0%
</t>
  </si>
  <si>
    <t xml:space="preserve">Ejecutar 40 proyectos de Construcción, mejoramiento, rehabilitación, mantenimiento de infraestructura  para la producción, de servicios sociales e institucionales
</t>
  </si>
  <si>
    <t xml:space="preserve">Número de proyectos de construcción, mejoramiento, rehabilitación, mantenimiento de infraestructura  para la producción, de servicios sociales e institucionales ejecutados 
</t>
  </si>
  <si>
    <t xml:space="preserve">Construcción puesto de salud en el corregimiento de El Rosal - Construcción puesto de salud vereda Santa Rita - MEJORAMIENTO DE LAS CONDICIONES DE SALUBRIDAD MEDIANTE LA CONSTRUCCIÓN DE BATERÍAS SANITARIAS EN SEDES EDUCATIVAS DEL DEPARTAMENTO DEL CAUCA - CONSTRUCCION DE INFRAESTRUCTURA EDUCATIVA EN LA SEDE ESCUELA RURAL MIXTA PIIYA THE WE´SX UUSYAT DE LA INSTITUCION EDUCATIVA JIISA FXIW, EN EL MUNICIPIO DE INZÁ, DEPARTAMENTO DEL CAUCA. </t>
  </si>
  <si>
    <t>2017003190126 - 2017003190124 - 2018000030112 - 2018000030001 - 2018000030025 - 20181301011098 - 20181301011044 - 20181301011003 - 2018000030157 - 2018000030163 - 2018003190106 - 2018003190111</t>
  </si>
  <si>
    <t>Argelia, Bolívar, Caldono, Corinto, La Vega, Inzá, Totoró, Timbío, Toribío, Sotará,  Mercaderes, San Sebastián, La Vega, Santa Rosa, Guapi, Inzá, Santander, Bolivar, El Tambo, Jambaló, Piendamó</t>
  </si>
  <si>
    <t>Macizo-Centro-Sur-Oriente</t>
  </si>
  <si>
    <t>Construcción puesto de salud en el corregimiento de El Rosal</t>
  </si>
  <si>
    <t>San Sebastián</t>
  </si>
  <si>
    <t>Construcción puesto de salud vereda Santa Rita</t>
  </si>
  <si>
    <t>La Vega</t>
  </si>
  <si>
    <t>MEJORAMIENTO DE LAS CONDICIONES DE SALUBRIDAD MEDIANTE LA CONSTRUCCIÓN DE BATERÍAS SANITARIAS EN SEDES EDUCATIVAS DEL DEPARTAMENTO DEL CAUCA</t>
  </si>
  <si>
    <t xml:space="preserve">Argelia, Bolívar, Caldono, Corinto, La Vega, Inzá, Totoró, Timbío, Toribío, Sotará,  Mercaderes, </t>
  </si>
  <si>
    <t>SUR, NORTE</t>
  </si>
  <si>
    <t>Juan Carlos Folleco - Profesional Universitario</t>
  </si>
  <si>
    <t>MEJORAMIENTO DE LAS CONDICIONES SOCIALES PARA LA POBLACIÓN AFECTADA POR LA POBREZA EXTREMA EN EL SUR DEL CAUCA, MEDIANTE LA CONSTRUCCIÓN DE INFRAESTRUCTURA EN LA INSTITUCIÓN EDUCATIVA SANTA MARTHA, SEDE PRINCIPAL, MUNICIPIO DE SANTA ROSA, CAUCA.</t>
  </si>
  <si>
    <t>MEJORAMIENTO DE LAS CONDICIONES SOCIALES DE LAS COMUNIDADES AFROCOLOMBIANAS MEDIANTE LA CONSTRUCCION DE LA INFRAESTRUCTUA EDUCATIVA EN AL I.E SAN AGUSTIN DE NAPI, SEDE E.R.M SOLEDAD, MUNICIPIO DE GUAPI, CAUCA.</t>
  </si>
  <si>
    <t>CONSTRUCCION DE UN COMEDOR ESCOLAR EN LA SEDE PRINCIPAL ESCUELA RURAL MIXTA LA MILAGROSA DE LA INSTITUCION EDUCATIVA JIISA FXIW, EN EL MUNICIPIO DE INZÁ, DEPARTAMENTO DEL CAUCA.</t>
  </si>
  <si>
    <t>Inzá</t>
  </si>
  <si>
    <t>CONSTRUCCION DE INFRAESTRUCTURA EDUCATIVA EN LA SEDE ESCUELA RURAL MIXTA PIIYA THE WE´SX UUSYAT DE LA INSTITUCION EDUCATIVA JIISA FXIW, EN EL MUNICIPIO DE INZÁ, DEPARTAMENTO DEL CAUCA.</t>
  </si>
  <si>
    <t>CONSTRUCCION DE INFRAESTRUCTURA EDUCATIVA EN LA SEDE SAN MARTIN DE LA INSTITUCION EDUCATIVA SANTA TERESITA DEL NIÑO JESUS EN EL MUNICIPIO DE INZÁ, DEPARTAMENTO DEL CAUCA.</t>
  </si>
  <si>
    <t>CONSTRUCCION DE INFRAESTRUCTURA EDUCATIVA EN LA INSTITUCION EDUCATIVA AGROPECUARIA MARISCAL SUCRE, EN EL MUNICIPIO DE SUCRE, DEPARTAMENTO DEL CAUCA</t>
  </si>
  <si>
    <t>Sucre</t>
  </si>
  <si>
    <t>CONSTRUCCIÓN DE RESTAURANTES ESCOLARES EN SEDES EDUCATIVAS DEL DEPARTAMENTO DEL CAUCA</t>
  </si>
  <si>
    <t>Santander, Morales, Toribío, San Sebastián, El Tambo, Jambaló, Santa Rosa, Sucre, Caloto, Totoró, Inzá, Silvia, Bolívar</t>
  </si>
  <si>
    <t>NORTE, CENTRO, ORIENTE, MACIZO</t>
  </si>
  <si>
    <t>CONSTRUCCIÓN DE LABORATORIOS  EN SEDES EDUCATIVAS DEL DEPARTAMENTO DEL CAUCA</t>
  </si>
  <si>
    <t>El Tambo,  Jambaló, Piendamó</t>
  </si>
  <si>
    <t>CENTRO, ORIENTE</t>
  </si>
  <si>
    <t>CONSTRUCCIÓN INFRAESTRUCTURA EDUCATIVA I.E JÉBALA</t>
  </si>
  <si>
    <t>Totoró</t>
  </si>
  <si>
    <t>CONSTRUCCIÓN DE INFRAESTRUCTURA EDUCATIVA EN LA SEDE PRINCIPAL DE LA INSTITUCIÓN EDUCATIVA PALACÉ, RESGUARDO DE PANIQUITÁ, EN EL MUNICIPIO DE TOTORÓ, DEPARTAMENTO DEL CAUCA</t>
  </si>
  <si>
    <t>CONSTRUCCIÓN DE INFRAESTRUCTURA EDUCATIVA EN LA I.E FRANCISCO JOSÉ DE CALDAS</t>
  </si>
  <si>
    <t>MANTENIMIENTO CORRECTIVO DE LA INFRAESTRUCTURA EN LA INSTITUCIÓN EDUCATIVA SAN JOSE DEL MORRO, EN EL MUNICIPIO DE BOLIVAR, DEPARTAMENTO DEL CAUCA</t>
  </si>
  <si>
    <t>Reubicación del Hospital de mediana complejidad Francisco de Paula Santander</t>
  </si>
  <si>
    <t>Santander de quilichao</t>
  </si>
  <si>
    <t>Construcción de la primera etapa de la Ciudadela Universitaria en Santander de Quilichao para la Región Norte del Departamento del Cauca</t>
  </si>
  <si>
    <t>CONSTRUCCIÓN Y DOTACIÓN DE UNA BIBLIOTECA
PÚBLICA MUNICIPAL EN VILLA RICA, CAUCA</t>
  </si>
  <si>
    <t>Villa Rica</t>
  </si>
  <si>
    <t>Restauración, adecuación y dotación de la planta física de la edificación ubicada en la calle 5 N° 9-10 de Popayán</t>
  </si>
  <si>
    <t>Clara Acosta - Profesional Universitario</t>
  </si>
  <si>
    <t>Ejecutar 20 proyectos de estudios y diseños de infraestructura para la producción, de servicios sociales e institucionales</t>
  </si>
  <si>
    <t xml:space="preserve">Número de proyectos de estudios y diseños de infraestructura para la producción, de servicios sociales e institucionales ejecutados </t>
  </si>
  <si>
    <t>ESTUDIOS Y DISEÑOS PARA LA CONSTRUCCIÓN DE AUDITORIO GENERAL Y LABORATORIO DE SUELOS DE LA SECRETARÍA DE AGRICULTURA Y DESARROLLO RURAL DE LA GOBERNACIÓN DEL CAUCA, EN LA CIUDAD DE POPAYÁN, DEPARTAMENTO DEL CAUCA - ELABORAR ESTUDIOS Y DISEÑOS PARA LA CONSTRUCCION DE UN INTERNADO EN LA I.E. NORMAL ENRIQUE VALLEJO, MUNICIPIO DE PAEZ, DEPARTAMENTO DEL CAUCA - ELABORACIÓN DE ESTUDIOS Y DISEÑOS PARA LA CONSTRUCCIÓN DE UN INTERNADO EN LA I.E NORMAL SUPERIOR LOS ANDES, MUNICIPIO DE LA VEGA, DEPARTAMENTO DEL CAUCA</t>
  </si>
  <si>
    <t xml:space="preserve">2018003190074 - 20180003190079 - </t>
  </si>
  <si>
    <t>Popayán, Paéz, La Vega</t>
  </si>
  <si>
    <t>Centro, Oriente, Macizo</t>
  </si>
  <si>
    <t>ESTUDIOS Y DISEÑOS PARA LA CONSTRUCCIÓN DE AUDITORIO GENERAL Y LABORATORIO DE SUELOS DE LA SECRETARÍA DE AGRICULTURA Y DESARROLLO RURAL DE LA GOBERNACIÓN DEL CAUCA, EN LA CIUDAD DE POPAYÁN, DEPARTAMENTO DEL CAUCA</t>
  </si>
  <si>
    <t>JUAN CARLOS FOLLECO - PROFESIONAL UNIVERSITARIO</t>
  </si>
  <si>
    <t>ELABORAR ESTUDIOS Y DISEÑOS PARA LA CONSTRUCCION DE UN INTERNADO EN LA I.E. NORMAL ENRIQUE VALLEJO, MUNICIPIO DE PAEZ, DEPARTAMENTO DEL CAUCA.</t>
  </si>
  <si>
    <t>JAIRO DORADO-PROFESIONAL UNIVERSITARIO</t>
  </si>
  <si>
    <t>ELABORACIÓN DE ESTUDIOS Y DISEÑOS PARA LA CONSTRUCCIÓN DE UN INTERNADO EN LA I.E NORMAL SUPERIOR LOS ANDES, MUNICIPIO DE LA VEGA, DEPARTAMENTO DEL CAUCA</t>
  </si>
  <si>
    <t>LA VEGA</t>
  </si>
  <si>
    <t>Construir 120.000 M2 de infraestructura deportiva y recreativa</t>
  </si>
  <si>
    <t xml:space="preserve">M2  infraestructura deportiva y recreativa construidos </t>
  </si>
  <si>
    <t>Construcción primera I etapa del coliseo El Pueblo, cabecera municipal de Mercaderes Cauca- POLIDEPORTIVOS PARA LAS VEREDAS: LIMONGUAICO BAJO, CHALGUAYACO SESTEADERO Y VILLANUEVA, MUNICIPIO DE BOLÍVAR, DEPARTAMENTO DEL CAUCA -POLIDEPORTIVO CUBIERTO EN EL CENTRO POBLADO DE CORRALES CORREGIMIENTO DE CORRALES, MUNICIPIO DE PIENDAMO, CAUCA</t>
  </si>
  <si>
    <t>Mercaderes-Bolivar, Piendamo, Patia, Sucre, Popayán</t>
  </si>
  <si>
    <t>Construcción primera I etapa del coliseo El Pueblo, cabecera municipal de Mercaderes Cauca</t>
  </si>
  <si>
    <t>Mercaderes</t>
  </si>
  <si>
    <t>CONSTRUCCIÓN DE POLIDEPORTIVOS PARA LAS VEREDAS: LIMONGUAICO BAJO, CHALGUAYACO SESTEADERO Y VILLANUEVA, MUNICIPIO DE BOLÍVAR, DEPARTAMENTO DEL CAUCA</t>
  </si>
  <si>
    <t>CONSTRUCCION POLIDEPORTIVO CUBIERTO EN EL CENTRO POBLADO DE CORRALES CORREGIMIENTO DE CORRALES, MUNICIPIO DE PIENDAMO, CAUCA</t>
  </si>
  <si>
    <t>Piendamo</t>
  </si>
  <si>
    <t>Oficina de proyectos</t>
  </si>
  <si>
    <t>CONSTRUCCIÓN CUBIERTA ESCUELA RURAL MIXTA EL TUNO, SEDE DE LA INSTITUCIÓN EDUCATIVA DE DESARROLLO RURAL EL ESTRECHO, MUNICIPIO DE PATÍA, DEPARTAMENTO DEL CAUCA PATÍA</t>
  </si>
  <si>
    <t>Gloria Marmolejo-Profesional Universitario</t>
  </si>
  <si>
    <t>CONSTRUCCIÓN, MEJORAMIENTO Y DOTACIÓN DE LA PLACA POLIDEPORTIVA EN EL BARRIO VALPARAISO, MUNICIPIO DE POPAYÁN, DEPARTAMENTO DEL CAUCA</t>
  </si>
  <si>
    <t>Ricardo Castillo-Profesional Universitario</t>
  </si>
  <si>
    <t>MEJORAMIENTO DE ESCENARIOS DEPORTIVOS EN MUNICIPIOS DE LA SUBREGIÓN SUR DEL DEPARTAMENTO DEL CAUCA</t>
  </si>
  <si>
    <t>Patía, Sucre</t>
  </si>
  <si>
    <t>Ricardo Castillo - Profesional Universitario
Gloria Marmolejo - Profesional Universitario</t>
  </si>
  <si>
    <t xml:space="preserve">Construir 5.000 M2 de infraestructura comunitaria </t>
  </si>
  <si>
    <t>M2 de infraestructura comunitaria construidos</t>
  </si>
  <si>
    <t>Construcción cubierta cancha múltiple en reclusión de mujeres-Pavimentación de vías urbanas en el municipio de Popayán, Cauca-programa pavimento en tu barrio</t>
  </si>
  <si>
    <t>DEPENDENCIA RESPONSABLE: SECRETARÍA DE AGRICULTURA Y DESARROLLO RURAL</t>
  </si>
  <si>
    <t xml:space="preserve">Beneficiar a 4000 nuevas familias en situación de vulnerabilidad con el programa de seguridad y soberanía alimentaria </t>
  </si>
  <si>
    <t>Número de nuevas familias en situación de vulnerabilidad con el programa de seguridad y soberanía alimentaria beneficiadas</t>
  </si>
  <si>
    <t>Seguridad y soberanía alimentaria (Programa PANES)</t>
  </si>
  <si>
    <t xml:space="preserve">Producir y/o transformar 2000  toneladas de alimentos  </t>
  </si>
  <si>
    <t>Número de toneladas de alimentos producidos y/o transformados</t>
  </si>
  <si>
    <t xml:space="preserve"> INCREMENTO</t>
  </si>
  <si>
    <t>Mejoramiento de la seguridad alimentaria en el departamento del cauca</t>
  </si>
  <si>
    <t>Todos menos Popayan</t>
  </si>
  <si>
    <t>93000 escolares, 1000 familias</t>
  </si>
  <si>
    <t>650 Toneladas de alimento producidas en las Granjas escolares de las I.E. 1000 familias y Planta de producción de alimentos</t>
  </si>
  <si>
    <t>Contratistas programa PANES</t>
  </si>
  <si>
    <t>En formulacion</t>
  </si>
  <si>
    <t>Realizar 400 eventos de capacitaciones en Agroindustria</t>
  </si>
  <si>
    <t>Número de eventos de capacitación en agroindustria realizados</t>
  </si>
  <si>
    <t>INCREMENTO</t>
  </si>
  <si>
    <t>Meta Cumplida en la totalidad vigencia 2018</t>
  </si>
  <si>
    <t>Realizar 700 capacitaciones en  manejo, cuidado y conservación de los recursos naturales para la producción de alimentos</t>
  </si>
  <si>
    <t>Número de capacitaciones en  manejo, cuidado y conservación de los recursos naturales para la producción de alimentos realizadas</t>
  </si>
  <si>
    <t>7 Sub-regiones</t>
  </si>
  <si>
    <t>2250 Escolares de I.E</t>
  </si>
  <si>
    <t>2250 Escoares capacitados en manejo y conservación de recursos naturales</t>
  </si>
  <si>
    <t xml:space="preserve">Beneficiar a  90.000 escolares con el programa de seguridad y soberanía alimentaria </t>
  </si>
  <si>
    <t>Número de escolares con el programa de seguridad y soberanía alimentaria beneficiados</t>
  </si>
  <si>
    <t xml:space="preserve">Mejorar en 20 instituciones educativas las condiciones  para el procesamiento de alimentos </t>
  </si>
  <si>
    <t xml:space="preserve">Número de Instituciones educativas donde se mejoran las condiciones para el procesamiento de alimentos </t>
  </si>
  <si>
    <t>Implementar 4000 arreglos productivos en familias vulnerables</t>
  </si>
  <si>
    <t>Número de arreglos productivos implementados en familias vulnerables implementados</t>
  </si>
  <si>
    <t xml:space="preserve">INCREMENTO </t>
  </si>
  <si>
    <t>1000 Familias Beneficiadas en 41 Municipios</t>
  </si>
  <si>
    <t>1000 Sistemas Productivos sostenibles implementados</t>
  </si>
  <si>
    <t>Impementacion de 60 soluciones para la diversificacion y generacion de ingresos en familias afectadas por cultivos de uso ilicitos en el macizo colombiano -Cauca</t>
  </si>
  <si>
    <t>Almaguer, Bolivar y Mercaderes</t>
  </si>
  <si>
    <t>60  familias</t>
  </si>
  <si>
    <t>60 arreglos productivos implementados en familias</t>
  </si>
  <si>
    <t>Proyecto de sustitucion de cutivos ilicitos con recursos de cooperacion internacional y se desarrolla mediante convenio entre la federacion de departamentos y el depatamento del Cauca, el proyecto sera operado por la Secretaria de Gobierno</t>
  </si>
  <si>
    <t>Realizar 20 encuentros de intercambio de saberes y sabores (al menos 1 por sub-región)</t>
  </si>
  <si>
    <t>Número de encuentros de saberes y sabores realizados (al menos 1 por sub-región realizados)</t>
  </si>
  <si>
    <t xml:space="preserve">Escolares de I.E. </t>
  </si>
  <si>
    <t>5 Eventos de intercambio de saberes y sabores</t>
  </si>
  <si>
    <t>Apoyar la  productividad en 20 organizaciones de mujeres</t>
  </si>
  <si>
    <t xml:space="preserve">Número de organizaciones de mujeres apoyadas en productividad </t>
  </si>
  <si>
    <t>Mujer rural</t>
  </si>
  <si>
    <t>Apoyar 20 organizaciones de mujeres con iniciativas de emprendimiento.</t>
  </si>
  <si>
    <t xml:space="preserve">Número de Iniciativas de emprendimiento de organizaciones de mujeres apoyadas </t>
  </si>
  <si>
    <t xml:space="preserve">Fortalecimiento de iniciativas organizacionales de mujeres del departamento del Cauca </t>
  </si>
  <si>
    <t>6 organizaciones de mujeres</t>
  </si>
  <si>
    <t>Mujeres fortalecidas organizacionalmete</t>
  </si>
  <si>
    <t>Personal de planta que se designe</t>
  </si>
  <si>
    <t>Formulacion</t>
  </si>
  <si>
    <t xml:space="preserve"> Fortalecer socioempresarialmente a 20 organizaciones de mujeres 
</t>
  </si>
  <si>
    <t>Número de organizaciones de mujeres 
en el componente socioempresarial fortalecidas</t>
  </si>
  <si>
    <t xml:space="preserve">Crecimiento y competitividad económica </t>
  </si>
  <si>
    <t>Apoyar 1 nueva agrocadena productiva del departamento en el componente de competitividad y productividad</t>
  </si>
  <si>
    <t>Número de agrocadenas productivas apoyadas en el componente de competitividad y productividad</t>
  </si>
  <si>
    <t xml:space="preserve">Cadenas productivas                                                                </t>
  </si>
  <si>
    <t xml:space="preserve">Cofinanciar 12 cadenas productivas  </t>
  </si>
  <si>
    <t>Número de cadenas productivas Cofinanciadas</t>
  </si>
  <si>
    <t>Meta Cumplida en la totalidad vigencia 2017</t>
  </si>
  <si>
    <t>Constituir 6 nuevos comités técnicos de cadena</t>
  </si>
  <si>
    <t>Número de Comités técnicos de cadenas constituidos</t>
  </si>
  <si>
    <t>Fortalecimiento de la secretaria de agricultura y desarrollo rural del departamento del Cauca</t>
  </si>
  <si>
    <t>Todos los municipios</t>
  </si>
  <si>
    <t xml:space="preserve">Beneficiarios de proyectos de cadenas productivas </t>
  </si>
  <si>
    <t>Apoyo en la consttucion de comites tecnicos de cadenas</t>
  </si>
  <si>
    <t>Contratista pry fortalecimiento</t>
  </si>
  <si>
    <t xml:space="preserve">Alianzas estratégicas </t>
  </si>
  <si>
    <t xml:space="preserve">Apoyar 10 proyectos productivos de interés Departamental </t>
  </si>
  <si>
    <t>Número de proyectos productivos de interés Departamental apoyados</t>
  </si>
  <si>
    <t xml:space="preserve">
42</t>
  </si>
  <si>
    <t>Apoyo COMPLEMENTARIO AL FORTALECIMIENTO DE LAS CAPACIDADES PRODUCTIVAS Y COMPETITIVAS EN EL MARCO DEL PROGRAMA DE DESARROLLO RURAL CON ENFOQUE TERRITORIAL - DRET/CAUCA  PARA LAS SUBREGIONES CENTRO Y NORTE DEL DEPARTAMENTO DEL  Cauca</t>
  </si>
  <si>
    <t>Buenos Aires, Popayan, Cajibio, Purace, Caloto, Santander De Quilichao, Guachene, Silvia, El Tambo, Timbio, Morales, Villa Rica</t>
  </si>
  <si>
    <t xml:space="preserve">2 Subregiones </t>
  </si>
  <si>
    <t>2.642 beneficiarios</t>
  </si>
  <si>
    <t>Apoyo complementario a productores de aguacate, café. Leche, platano y cacao</t>
  </si>
  <si>
    <t>En proceso de contratacion</t>
  </si>
  <si>
    <t>FORTALECIMIENTO Y COMERCIALIZACIÓN DEL CULTIVO DE PIANGUA EN LA COSTA PACIFICA DEL DEPARTAMENTO DEL CAUCA</t>
  </si>
  <si>
    <t>Municipios costa pacifica caucana</t>
  </si>
  <si>
    <t>1 Subregion</t>
  </si>
  <si>
    <t>300 mujeres piangueras</t>
  </si>
  <si>
    <t>Mejorar la produccion de la piangua</t>
  </si>
  <si>
    <t>Apoyar 11 agrocadenas productivas existentes y cadenas productivas de cultivos promisorios  en el componente de competitividad y productividad</t>
  </si>
  <si>
    <t>Número de agrocadenas productivas y cadenas productivas de cultivos promisorios existentes apoyadas en el componente de competitividad y productividad</t>
  </si>
  <si>
    <t>Capacidades empresariales y comerciales</t>
  </si>
  <si>
    <t>Realizar 4 Ruedas de Negocios</t>
  </si>
  <si>
    <t>Número de ruedas de negocios realizadas</t>
  </si>
  <si>
    <t>Fortalecimiento de las capacidades empresariales y comerciales de las agrocadenas productivas del departamento del cauca</t>
  </si>
  <si>
    <t>Todo el departamento</t>
  </si>
  <si>
    <t>Sector Agropecuario</t>
  </si>
  <si>
    <t xml:space="preserve">Evento de exoposicion, fortalecimeinto empresarial, formacion en mercadeo a las organizaciones </t>
  </si>
  <si>
    <t xml:space="preserve">Apoyar en 4 eventos productivos y/o comerciales  la  participación de organizaciones del sector agropecuario </t>
  </si>
  <si>
    <t xml:space="preserve"> Número de eventos productivos y/o comerciales con participación de organizaciones agropecuarias apoyados</t>
  </si>
  <si>
    <t>Realizar 3 ferias de exposición agropecuaria</t>
  </si>
  <si>
    <t xml:space="preserve">Número de Ferias de exposición agropecuaria realizadas
</t>
  </si>
  <si>
    <t xml:space="preserve">Generación de condiciones para la riqueza colectiva </t>
  </si>
  <si>
    <t xml:space="preserve"> Innovación</t>
  </si>
  <si>
    <t>Tecnologías para la producción</t>
  </si>
  <si>
    <t>Impulsar la aplicación de 4 nuevas tecnologías en el sector agropecuario</t>
  </si>
  <si>
    <t>Número de nuevas tecnologías en el sector agropecuario impulsadas</t>
  </si>
  <si>
    <t>Estrategias para el desarrollo productivo</t>
  </si>
  <si>
    <t xml:space="preserve">Cofinanciar 4 distritos de riego </t>
  </si>
  <si>
    <t>Número de distritos de riego    cofinanciados</t>
  </si>
  <si>
    <t>En revision de solicitdes de comunidades para viabilizacion</t>
  </si>
  <si>
    <t>Avalar 2.000 solicitudes de crédito en el Fondo de Garantías del Departamento</t>
  </si>
  <si>
    <t xml:space="preserve">Número de solicitudes de crédito en el Fondo de Garantías del Departamento avaladas </t>
  </si>
  <si>
    <t>Gestionar y aprobar solicitudes de credito</t>
  </si>
  <si>
    <t>Profesional del proyecto  (contratista del proyecto que realizara las actividades)</t>
  </si>
  <si>
    <t xml:space="preserve">Formalizar  500 predios rurales </t>
  </si>
  <si>
    <t xml:space="preserve">Número de predios rurales formalizados </t>
  </si>
  <si>
    <t>Apoyo a la formalizacion de predios rurales en el departamento del Cauca, capacitacion en formalizacion de predios a 200 personas</t>
  </si>
  <si>
    <t>Popayan timbio piendamo morales caldono santander de quilichao buenos aires padilla miranda rosas y mercaderes</t>
  </si>
  <si>
    <t>apoyo a la formalizacion de 500 predios</t>
  </si>
  <si>
    <t>Implementar 1 nuevo instrumento de planificación</t>
  </si>
  <si>
    <t>Número de instrumentos de planificación implementados</t>
  </si>
  <si>
    <t>Instrumentos de planificación participativa del desarrollo rural</t>
  </si>
  <si>
    <t>Actualizar un 20 % el Sistema de Información geográfico departamental – SIG</t>
  </si>
  <si>
    <t>Porcentaje del Sistema de Información geográfico sectorial departamental – SIG actualizado</t>
  </si>
  <si>
    <t>1 Sistema de Información geográfico sectorial implementado</t>
  </si>
  <si>
    <t xml:space="preserve">proyecto “IMPLEMENTACIÓN DE UN SISTEMA DE INFORMACIÓN GEOGRÁFICA PARA LA PLANIFICACIÓN DE LOS RECURSOS AGRÍCOLA, MINERO, HÍDRICO Y FORESTAL DEL DEPARTAMENTO DEL CAUCA” </t>
  </si>
  <si>
    <t xml:space="preserve"> 2013000030058.</t>
  </si>
  <si>
    <t>Numero de  Sistemas de Abastecimiento de Agua Potable Georreferenciados.
Kilometros2 de uso de suelo actual del Depto del Cauca Clasificada con metodología Corine Land Cover.
% de la Geodatabase Actualizada.</t>
  </si>
  <si>
    <t xml:space="preserve">
Debido a que no se pudo cumplir con recursos del SISTEMA GENERAL DE PARTICIPACIÓN (SGP) para la ejecución del componente Hídrico; por no ser un proyecto elegible de acuerdo al concepto del Ministerio emitido en diciembre de 2017, se optó por cambiar la fuente de financiación por valor del 20% del total del proyecto, en OCAD REGIÓN PACIFICO indicado en el Artículo 4.4.2.1.1. literal 2, acuerdo 045 de 2017 del Decreto 1082 de 2015 queda así aprobado mediante acta 070 de 6 de julio de 2018; con DECRETO 0686-07-2018 $1.234.804.743 (FDRSGR).
</t>
  </si>
  <si>
    <t xml:space="preserve">Elaborar 1 plan de fortalecimiento del Consejo seccional de Desarrollo Agropecuario, pesquero, forestal, comercial y de desarrollo rural CONSEA </t>
  </si>
  <si>
    <t xml:space="preserve">Número de planes de fortalecimiento del Consejo seccional de Desarrollo Agropecuario, pesquero, forestal, comercial y de desarrollo rural CONSEA elaborados </t>
  </si>
  <si>
    <t>Analizar 6.000 muestras de suelos en el departamento</t>
  </si>
  <si>
    <t xml:space="preserve">Número de muestras de suelos en el departamento analizadas </t>
  </si>
  <si>
    <t>Fortalecimiento del laboratorio de suelos de la secretaria de agricultura y desarrollo rural</t>
  </si>
  <si>
    <t>Los 43 municipios del departamento del Cauca</t>
  </si>
  <si>
    <t>Muetras analisadas</t>
  </si>
  <si>
    <t>Realizar 40 eventos de capacitación en análisis de suelos</t>
  </si>
  <si>
    <t>Número de eventos de capacitación en análisis de suelos realizados</t>
  </si>
  <si>
    <t>Mejora de la asistencia tecnica a pequeños productores</t>
  </si>
  <si>
    <t xml:space="preserve">Continuar la implementación de 6 instrumentos de planificación </t>
  </si>
  <si>
    <t>Número de instrumentos de planificación que continúan su implementación</t>
  </si>
  <si>
    <t>Elaborar 1 diagnóstico nutricional a niños menores de 5 años de 4000 familias vulnerables</t>
  </si>
  <si>
    <t>Número de diagnósticos nutricionales a niños menores de 5 años de 4000 familias vulnerables</t>
  </si>
  <si>
    <t>Elaborar 7 perfiles alimentarios zonales</t>
  </si>
  <si>
    <t>Número de perfiles alimentarios por zona realizados</t>
  </si>
  <si>
    <t>2 Subregiones con perfil alimentario levantado</t>
  </si>
  <si>
    <t>Cauca, cuidador de agua</t>
  </si>
  <si>
    <t>Conservación y desarrollo ambiental</t>
  </si>
  <si>
    <t xml:space="preserve">Apoyar 8 Planes Municipales de SAN en su proceso de construcción </t>
  </si>
  <si>
    <t xml:space="preserve">Número de Planes Municipales de SAN en su proceso de construcción apoyados </t>
  </si>
  <si>
    <t>2 Planes Municipales de SAN</t>
  </si>
  <si>
    <t xml:space="preserve">Dinamizar 6 planes Municipales de SAN </t>
  </si>
  <si>
    <t>Número de planes  Municipales de SAN dinamizados</t>
  </si>
  <si>
    <t>Realizar 12 sesiones del CISANC</t>
  </si>
  <si>
    <t>Número de sesiones de CISANC realizadas</t>
  </si>
  <si>
    <t>3 Sesiones de CISANC, realizadas</t>
  </si>
  <si>
    <t>Reducir al 1% la tasa de deforestación de bosques y coberturas naturales en ecosistemas estratégicos</t>
  </si>
  <si>
    <t>Tasa de deforestación de bosques y coberturas naturales en ecosistemas estratégicos reducida</t>
  </si>
  <si>
    <t>1.3%</t>
  </si>
  <si>
    <t>Gestión integral de la biodiversidad, de los servicios ecosistémicos y áreas protegidas</t>
  </si>
  <si>
    <t xml:space="preserve">Incrementar 25 % las Hectáreas con iniciativas de conservación de ecosistemas estratégicos </t>
  </si>
  <si>
    <t xml:space="preserve">Porcentaje de Hectáreas con iniciativas de conservación de ecosistemas estratégicos incrementadas </t>
  </si>
  <si>
    <t>Plan adaptacion Cauca</t>
  </si>
  <si>
    <t>Departamento del Cauca</t>
  </si>
  <si>
    <t xml:space="preserve">Incrementar Hectáreas con iniciativas de conservación de ecosistemas estratégicos </t>
  </si>
  <si>
    <t>CRC</t>
  </si>
  <si>
    <t>Apoyo de profesionales de proyecto de fortalecimiento SADR</t>
  </si>
  <si>
    <t xml:space="preserve">Construir 1 modelo de Gestión Integral del Recurso Suelo con alto componente de conocimientos y tecnologías pertinentes que soporten el desarrollo agrícola productivo y sostenible del Departamento </t>
  </si>
  <si>
    <t>Número de modelos de Gestión Integral del Recurso Suelo con alto componente de conocimientos y tecnologías pertinentes que soporten el desarrollo agrícola productivo y sostenible del departamento construidos</t>
  </si>
  <si>
    <t>Fortalecimiento de los mecanismos de gestión integral del recurso suelo para la producción agrícola sostenible en el departamento del cauca</t>
  </si>
  <si>
    <t xml:space="preserve">7_Almaguer, Bolivar, Santander de Quilichao, Mercaderes, Cajibio, Purace y Popayán.
</t>
  </si>
  <si>
    <t xml:space="preserve">Lograr una Gestión Integral del recurso suelo para la producción agrícola sostenible en el departamento del Cauca, a través de actividades de investigación y desarrollo, priorizando aspectos de seguridad alimentaria
</t>
  </si>
  <si>
    <t xml:space="preserve">Diseñar 1 corredor biológico para incrementar la conectividad socioecosistemica y la conservación de la biodiversidad que vincule los municipios de El Tambo, Cajibio, Totoró, Popayán y Puracé </t>
  </si>
  <si>
    <t>Número de corredores biológicos para incrementar la conectividad socioecosistemica y la conservación de la biodiversidad que vincule los municipios de El Tambo, Cajibio, Totoró, Popayán y Puracé diseñados</t>
  </si>
  <si>
    <t>Ordenar 4 corrientes hidricas</t>
  </si>
  <si>
    <t>Planificación y ordenamiento ambiental regional</t>
  </si>
  <si>
    <t xml:space="preserve">Ordenar 4 nuevas corrientes hídricas </t>
  </si>
  <si>
    <t>Número de nuevas corrientes hídricas ordenadas</t>
  </si>
  <si>
    <t>Ubicar el 60 % de los municipios dentro de la categoría baja del índice de vulnerabilidad respecto a regulación y oferta hídrica</t>
  </si>
  <si>
    <t>Porcentaje de  municipios ubicados dentro de la categoría baja del índice de vulnerabilidad respecto a regulación y oferta hídrica</t>
  </si>
  <si>
    <t>Gestión del recurso hídrico</t>
  </si>
  <si>
    <t>Adquirir 700 hectáreas para conservación de fuentes hídricas</t>
  </si>
  <si>
    <t>Número de has  para conservación de fuentes hídricas adquiridas</t>
  </si>
  <si>
    <t>Implementar estrategias para la adquisicion, restauracion y preservacion de las areas de importancia estrategica para recursos hidrico de las fuentes que abastecen los principales acueductos en 39 municipios del departamento del Cauca</t>
  </si>
  <si>
    <t>Todo el departamento menos costa pacifica</t>
  </si>
  <si>
    <t>6 subregiones</t>
  </si>
  <si>
    <t>Poblacion de 39 municipios</t>
  </si>
  <si>
    <t xml:space="preserve">Adquisicion de bienes inmuebles </t>
  </si>
  <si>
    <t>Coordinador proyecto</t>
  </si>
  <si>
    <t xml:space="preserve">Promover la formulación de 1 política pública para la protección del agua en el macizo colombiano </t>
  </si>
  <si>
    <t>Número de Políticas públicas que se promueve su formulación para la protección del agua en el macizo colombiano</t>
  </si>
  <si>
    <t>Meta Cumplida 2018</t>
  </si>
  <si>
    <t xml:space="preserve">Desarrollar 1 herramienta para el análisis de vulnerabilidad e implementación de alertas tempranas para sistemas de abastecimiento de agua </t>
  </si>
  <si>
    <t xml:space="preserve">Número de herramientas para el análisis de vulnerabilidad e implementación de alertas tempranas para sistemas de abastecimiento de agua desarrolladas
</t>
  </si>
  <si>
    <t>Análisis de vulnerabilidad e Implementación de alertas tempranas para sistemas de abastecimiento de agua en el
Departamento del Cauca</t>
  </si>
  <si>
    <t xml:space="preserve">9_La sierra, Mercaderes, Santander de Quilichao, Patía, Bolívar, Suarez, Cajibío, Timbío y Popayán.
</t>
  </si>
  <si>
    <t xml:space="preserve">1.268.937
</t>
  </si>
  <si>
    <t>herramienta para el análisis de vulnerabilidad e implementación de alertas tempranas para sistemas de abastecimiento de agua desarrolladas</t>
  </si>
  <si>
    <t xml:space="preserve">El 100% de los municipios mejoran el conocimiento en adaptación al cambio climático y en adopción de medidas de mitigación </t>
  </si>
  <si>
    <t>Porcentaje de municipios que mejoran el conocimiento en adaptación al cambio climático y en adopción de medidas de mitigación</t>
  </si>
  <si>
    <t>Por construir</t>
  </si>
  <si>
    <t>Gestión del riesgo de desastres y adaptación y mitigación al cambio climático</t>
  </si>
  <si>
    <t>Implementar  1 sistema de información para la gestión del Riesgo Ambiental articulado al SIG</t>
  </si>
  <si>
    <t>Número de sistemas de información implementados para la gestión del Riesgo Ambiental articulado al SIG</t>
  </si>
  <si>
    <t>Actualizar el 70% de los planes municipales para la prevención, mitigación y contingencia de desastres naturales.</t>
  </si>
  <si>
    <t>Porcentaje de planes municipales para la prevención, mitigación y contingencia de desastres naturales actualizados.</t>
  </si>
  <si>
    <r>
      <t>Piendamo, Popayán,  El Tambo, Silvia, Bolívar, Timbio,  Timbiqui, Cajibio,  Puerto tejada, Villa rica, Santander de Quilichao, Suarez, La Sierra, Corinto, Guachene</t>
    </r>
    <r>
      <rPr>
        <sz val="10"/>
        <color rgb="FF000000"/>
        <rFont val="Calibri"/>
        <family val="2"/>
        <scheme val="minor"/>
      </rPr>
      <t>.</t>
    </r>
  </si>
  <si>
    <r>
      <rPr>
        <sz val="10"/>
        <rFont val="Calibri"/>
        <family val="2"/>
        <scheme val="minor"/>
      </rPr>
      <t xml:space="preserve"> Timbiqui, Suarez,  Sierrra,  Piamonte</t>
    </r>
    <r>
      <rPr>
        <sz val="10"/>
        <color theme="1"/>
        <rFont val="Calibri"/>
        <family val="2"/>
        <scheme val="minor"/>
      </rPr>
      <t xml:space="preserve"> , </t>
    </r>
  </si>
  <si>
    <t>Construcción, mejoramiento y rehabilitación de vivienda</t>
  </si>
  <si>
    <t>Reducir el déficit cuantitativo y cualitativo de vivienda, mejorando las condiciones de habitabilidad de la comunidad caucana.</t>
  </si>
  <si>
    <t>Ampliación de cobertura del servicio de energía</t>
  </si>
  <si>
    <t>Ampliar la cobertura del servicio de energía en las zonas urbanas y rurales</t>
  </si>
  <si>
    <t>Gestión de proyectos de generación eléctrica</t>
  </si>
  <si>
    <t>Ampliar las potencialidades para la generación de energía y facilitar el autoabastecimiento del servicio en comunidades rurales</t>
  </si>
  <si>
    <t>Uso racional de la energía convencional o alternativa para iluminación y energización de establecimientos o espacios públicos</t>
  </si>
  <si>
    <t>Disminuir los costos del servicio de energía de establecimientos o espacios públicos</t>
  </si>
  <si>
    <t>Conservación RUTINARIA de la  Red Vial  Departamental, con participación comunitaria</t>
  </si>
  <si>
    <t>Mantener las condiciones de transitabilidad de la red vial, disminuir costos de mantenimiento periódico y rehabilitación, contribuyendo con la generación de empleo rural y promoviendo la participación comunitaria.</t>
  </si>
  <si>
    <t>Mantenimiento periódico, mejoramiento, rehabilitación y atención de emergencias de la Red Vial Departamental</t>
  </si>
  <si>
    <t>Mejorar el estado de la red vial secundaria y terciaria</t>
  </si>
  <si>
    <t>Pavimentación y mejoramiento de la Red Vial Departamental</t>
  </si>
  <si>
    <t>Mejorar las condiciones de operación de la red vial</t>
  </si>
  <si>
    <t>Intervención de puentes, pontones, cables y otros métodos de transporte vehiculares y peatonales</t>
  </si>
  <si>
    <t xml:space="preserve">Integrar veredas y corregimientos al desarrollo económico y social del departamento. </t>
  </si>
  <si>
    <t>Construcción o ampliación de vías</t>
  </si>
  <si>
    <t>Mejorar la integración económica y social de regiones o comunidades, que se encuentran en condiciones de aislamiento</t>
  </si>
  <si>
    <t>Diseño e implementación de herramientas para la planificación de la infraestructura vial y de servicios</t>
  </si>
  <si>
    <t>Generar herramientas para la gestión y planificación de infraestructura vial y de servicios</t>
  </si>
  <si>
    <t>Estudios y diseños de Proyectos de infraestructura del transporte y complementarios</t>
  </si>
  <si>
    <t>Garantizar el soporte técnico en la gestión del recurso de inversión y en el desarrollo técnico de los proyectos</t>
  </si>
  <si>
    <t>Infraestructura marítima, fluvial y aeroportuaria</t>
  </si>
  <si>
    <t>Contribuir al mejoramiento de las condiciones de movilidad en la red marítima, fluvial y aeroportuaria del departamento.</t>
  </si>
  <si>
    <t>Proyectos estratégicos de infraestructura</t>
  </si>
  <si>
    <t xml:space="preserve">Contribuir al fortalecimiento de la competitividad del departamento a través del desarrollo de proyectos estratégicos </t>
  </si>
  <si>
    <t>Movilidad y transporte</t>
  </si>
  <si>
    <t>Asumir las competencias que en lo temas de tránsito, transporte y seguridad vial le corresponden al Departamento del Cauca.</t>
  </si>
  <si>
    <t>Infraestructura social y productiva</t>
  </si>
  <si>
    <t xml:space="preserve">Apoyar a los diferentes sectores, de la producción, de servicios sociales e institucionales, en la ejecución de los proyectos en beneficio de las comunidades </t>
  </si>
  <si>
    <t>Garantizar de manera progresiva y creciente la seguridad alimentaria y nutricional de la población caucana mas vulnerable a partir del reconocimiento de la diversidad étnica, cultural y ambiental del departamento.</t>
  </si>
  <si>
    <t xml:space="preserve">Promover la participación activa y efectiva de la mujer rural en procesos productivos y de agro transformación integrándolas a las agrocadenas </t>
  </si>
  <si>
    <t>Impulsar la productividad del sector agropecuario con un esquema de crecimiento sostenible buscando desarrollar y fortalecer las agrocadenas productivas con un enfoque de desarrollo territorial y diferencial.</t>
  </si>
  <si>
    <t>Desarrollar apuestas productivas sostenibles y competitivas a través de alianzas estratégicas con un enfoque de desarrollo territorial y diferencial.</t>
  </si>
  <si>
    <t>Desarrollo y fortalecimiento de las capacidades socio-empresariales y comerciales de las agrocadenas productivas.</t>
  </si>
  <si>
    <t xml:space="preserve"> Impulsar la aplicación de nuevas tecnologías en la producción y transformación agropecuaria</t>
  </si>
  <si>
    <t xml:space="preserve">Promover el desarrollo productivo del departamento,  mediante la implementación de estrategias dirigidas a mitigar los puntos críticos de la producción (abastecimiento de agua para la producción, acceso a los recursos de crédito, acceso a la tierra y la baja formalización de la propiedad rural). </t>
  </si>
  <si>
    <t xml:space="preserve">Desarrollar herramientas  y propiciar espacios de coordinación sectorial e interinstitucional para la planificación del sector agropecuario </t>
  </si>
  <si>
    <t>Ejecutar los procedimientos de administración, propios del cumplimiento de la misión institucional para la recuperación, conservación y protección de  los suelos, los ecosistemas y la flora y fauna asociada.</t>
  </si>
  <si>
    <t>Promover  el ordenamiento ambiental, la planificación del uso y manejo de las cuencas hidrográficas, de los ecosistemas, los recursos naturales para una gestión ambiental en el departamento.</t>
  </si>
  <si>
    <t>Contribuir al mejoramiento y la recuperación de la cantidad y calidad del recurso hídrico en el departamento del Cauca.</t>
  </si>
  <si>
    <t>Ejecutar las estrategias de asesoría y asistencia, asociadas a la incorporación de los componentes de  gestión  del  riesgo, adaptación y  cambio climático en  los planes de ordenamiento territorial de los municipios (POT) y de prevención, mitigación y contingencia de desastres naturales.</t>
  </si>
  <si>
    <t>DEPENDENCIA RESPONSABLE: SECRETARÍA DE DESARROLLO ECONÓMICO Y COMPETITIVIDAD</t>
  </si>
  <si>
    <t>Crecimiento y competitividad económica</t>
  </si>
  <si>
    <t>Aumentar en 5000 el número de personas ocupadas en el departamento  (Nota: La meta tomara como línea de base los resultados del año 2015 una vez se actualice y se publique por el DANE)</t>
  </si>
  <si>
    <t xml:space="preserve">Número de personas ocupadas en el departamento aumentadas  </t>
  </si>
  <si>
    <t>566.000 personas ocupadas en el año 2014</t>
  </si>
  <si>
    <t>Cauca territorio de emprendimiento empresarial  para el desarrollo regional</t>
  </si>
  <si>
    <t>Generar estrategias para el fortalecimiento e impulso del sector empresarial Caucano</t>
  </si>
  <si>
    <t xml:space="preserve">Implementar 1 centro de estudios económicos y de desarrollo </t>
  </si>
  <si>
    <t>Número de centros de estudios económicos y de desarrollo implementados</t>
  </si>
  <si>
    <t>Generación de condiciones para el desarrollo empresarial y económico en el departamento del Cauca</t>
  </si>
  <si>
    <t>Todo el departamento del Cauca</t>
  </si>
  <si>
    <t>Todas las subregiones</t>
  </si>
  <si>
    <t xml:space="preserve">1.000 personas </t>
  </si>
  <si>
    <r>
      <rPr>
        <sz val="10.5"/>
        <color theme="0" tint="-0.14999847407452621"/>
        <rFont val="Calibri"/>
        <family val="2"/>
        <scheme val="minor"/>
      </rPr>
      <t>.</t>
    </r>
    <r>
      <rPr>
        <sz val="10.5"/>
        <color theme="1"/>
        <rFont val="Calibri"/>
        <family val="2"/>
        <scheme val="minor"/>
      </rPr>
      <t>- Articulación con instituciones de educación superior.
- Puesta en marcha del Centro de Estudios Económicos del Cauca.</t>
    </r>
  </si>
  <si>
    <t>Magda Patricia Sotelo Pino. Coordinadora de Competitividad y CTeI</t>
  </si>
  <si>
    <r>
      <t>El proyecto  "Generación de condiciones para el desarrollo empresarial y económico en el departamento del Cauca" se encuentra en formulación y tiene un valor estimado de $190.000.000, el cual contribuye al cumplimiento de metas del programa</t>
    </r>
    <r>
      <rPr>
        <i/>
        <sz val="10.5"/>
        <color theme="1"/>
        <rFont val="Calibri"/>
        <family val="2"/>
        <scheme val="minor"/>
      </rPr>
      <t xml:space="preserve"> Cauca territorio de Emprendimiento empresarial </t>
    </r>
    <r>
      <rPr>
        <sz val="10.5"/>
        <color theme="1"/>
        <rFont val="Calibri"/>
        <family val="2"/>
        <scheme val="minor"/>
      </rPr>
      <t>e</t>
    </r>
    <r>
      <rPr>
        <i/>
        <sz val="10.5"/>
        <color theme="1"/>
        <rFont val="Calibri"/>
        <family val="2"/>
        <scheme val="minor"/>
      </rPr>
      <t xml:space="preserve"> Inversión y competitividad para la paz,</t>
    </r>
    <r>
      <rPr>
        <sz val="10.5"/>
        <color theme="1"/>
        <rFont val="Calibri"/>
        <family val="2"/>
        <scheme val="minor"/>
      </rPr>
      <t xml:space="preserve"> conforme se detalla en el presente plan.</t>
    </r>
  </si>
  <si>
    <t>Ejecutar en un 30% el plan  regional de competitividad del Departamento del Cauca, alineado al Sistema Nacional de Competitividad - CTeI</t>
  </si>
  <si>
    <t xml:space="preserve">Porcentaje del plan regional de competitividad del Departamento del Cauca, alineado al Sistema Nacional de Competitividad – CteI ejecutado </t>
  </si>
  <si>
    <t>Plan  Regional de Competitividad  (Con horizonte al 2032)</t>
  </si>
  <si>
    <t>Implementación de negocios inclusivos en la región norte del Cauca, como estrategia para la inclusión productiva y social de microempresarios con la gran industria</t>
  </si>
  <si>
    <t>Buenos Aires, Corinto, Coloto, Caldono, Guachené, Jambalo, Miranda, Padilla, Puerto Tejada, Santander de Quilichao, Suárez, Toribío, Villa Rica.</t>
  </si>
  <si>
    <t>Subregión norte</t>
  </si>
  <si>
    <t>158 microempresas</t>
  </si>
  <si>
    <r>
      <rPr>
        <sz val="10.5"/>
        <color theme="0" tint="-0.14999847407452621"/>
        <rFont val="Calibri"/>
        <family val="2"/>
        <scheme val="minor"/>
      </rPr>
      <t>.</t>
    </r>
    <r>
      <rPr>
        <sz val="10.5"/>
        <color theme="1"/>
        <rFont val="Calibri"/>
        <family val="2"/>
        <scheme val="minor"/>
      </rPr>
      <t>- Generar  grupos asociativos (negocios inclusivos).
- Firma de acuerdos comerciales.
Intervención y apoyo a microempresas.
- Intervenir sectores empresariales.
- Realizar talleres de asociatividad.</t>
    </r>
  </si>
  <si>
    <t>El proyecto denominado "Implementación de negocios inclusivos en la región norte del Cauca, como estrategia para la inclusión productiva y social de microempresarios con la gran industria", tiene un valor total de $2.600.000.000, de los cuales en 2018 se ejecutarán $700.000.000.</t>
  </si>
  <si>
    <t>Ejecutar 1 plan de acción para el fortalecimiento concertado con la Red Regional de Emprendimiento Departamento</t>
  </si>
  <si>
    <t>Número de planes de acción para el fortalecimiento concertado con la Red Regional de Emprendimiento Departamento ejecutados</t>
  </si>
  <si>
    <t>1 Red Regional de Emprendimiento establecida</t>
  </si>
  <si>
    <t xml:space="preserve">2.000 personas </t>
  </si>
  <si>
    <r>
      <rPr>
        <sz val="10.5"/>
        <color theme="0" tint="-0.14999847407452621"/>
        <rFont val="Calibri"/>
        <family val="2"/>
        <scheme val="minor"/>
      </rPr>
      <t>.</t>
    </r>
    <r>
      <rPr>
        <sz val="10.5"/>
        <color theme="1"/>
        <rFont val="Calibri"/>
        <family val="2"/>
        <scheme val="minor"/>
      </rPr>
      <t>- Apoyo al Centro de Desarrollo Empresarial del Norte del Cauca, mediante la asesoria a mipymes del norte del dpto en  temáticas de administración, emprendimiento, contabilidad,  finanzas y formulación y gestión de proyectos empresariales.
- Capacitación a unidades productivas (mipymes, asociaciones, etc), en temáticas de emprendimiento y gestión de organizaciones, fundamentos de contabilidad y formulación y gestión de proyectos empresariales.
- Coadyuvar en la ejecución del Plan de acción de la red regional de emprendimiento del Cauca.</t>
    </r>
  </si>
  <si>
    <t>Consolidar 15 emprendimientos de impacto en el Departamento</t>
  </si>
  <si>
    <t>Número de emprendimientos de impacto en el Departamento consolidados</t>
  </si>
  <si>
    <t xml:space="preserve">500 personas </t>
  </si>
  <si>
    <r>
      <rPr>
        <sz val="10.5"/>
        <color theme="0" tint="-0.14999847407452621"/>
        <rFont val="Calibri"/>
        <family val="2"/>
        <scheme val="minor"/>
      </rPr>
      <t>.</t>
    </r>
    <r>
      <rPr>
        <sz val="10.5"/>
        <color theme="1"/>
        <rFont val="Calibri"/>
        <family val="2"/>
        <scheme val="minor"/>
      </rPr>
      <t>- Generación de escenarios para el fomento, promoción y fortalecimiento de los emprendimientos en el departamento del Cauca.</t>
    </r>
  </si>
  <si>
    <t>Cauca en alianza por un trabajo incluyente</t>
  </si>
  <si>
    <t>Propiciar condiciones laborales equitativas, sostenibles e inclusivas</t>
  </si>
  <si>
    <t xml:space="preserve">Implementar 1 estrategia de fortalecimiento para 3 centros de empleo en el Cauca, en alianza con el Ministerio de Trabajo </t>
  </si>
  <si>
    <t>Número de estrategia de fortalecimiento para 3 centros de empleo en el Cauca, en alianza con el Ministerio de Trabajo implementadas</t>
  </si>
  <si>
    <t>3 centros de empleo en el Cauca</t>
  </si>
  <si>
    <t>Fomento del empleo digno e incluyente en el departamento del Cauca</t>
  </si>
  <si>
    <t>Toda la población del departamento</t>
  </si>
  <si>
    <t>2 publicaciones sobre sectores definidos en temas de empleo.
2 escenarios para la promoción del empleo.
2 talleres de sensibilización a oferentes y demandantes</t>
  </si>
  <si>
    <t>Laura Cristina Burbano. Tecnico 06</t>
  </si>
  <si>
    <t>El proyecto Fomento del empleo digno e incluyente en el departamento del Cauca, se encuentra en estructuración por un valor estimado de $26.000.000, el cual apunta al cumplimiento de las metas del presente programa</t>
  </si>
  <si>
    <t xml:space="preserve">Generar 8 publicaciones con información del mercado laboral </t>
  </si>
  <si>
    <t xml:space="preserve">Número de publicaciones con información del mercado laboral generadas </t>
  </si>
  <si>
    <t>3 publicaciones sobre sectores definidos en temas de empleo.
2 escenarios para la promoción del empleo.
2 talleres de sensibilización a oferentes y demandantes</t>
  </si>
  <si>
    <t>Laura Cristina Burbano. Tecnico 07</t>
  </si>
  <si>
    <t xml:space="preserve">Implementar 1 estrategia que impulse el empleo digno e incluyente </t>
  </si>
  <si>
    <t>Número de estrategias que impulsen el empleo digno e incluyente implementadas</t>
  </si>
  <si>
    <t>.- 4 publicaciones sobre sectores definidos en temas de empleo.
2 escenarios para la promoción del empleo.
2 talleres de sensibilización a oferentes y demandantes</t>
  </si>
  <si>
    <t>Laura Cristina Burbano. Tecnico 08</t>
  </si>
  <si>
    <t>Inversión y competitividad para la Paz</t>
  </si>
  <si>
    <t xml:space="preserve">Promover la inversión para el desarrollo económico del Departamento del Cauca </t>
  </si>
  <si>
    <t>Operativizar la herramienta Invest in Cauca - Cauca para inversionistas</t>
  </si>
  <si>
    <t>Herramienta Invest in Cauca operativizada</t>
  </si>
  <si>
    <t xml:space="preserve">800 personas </t>
  </si>
  <si>
    <r>
      <rPr>
        <sz val="10.5"/>
        <color theme="0" tint="-0.14999847407452621"/>
        <rFont val="Calibri"/>
        <family val="2"/>
        <scheme val="minor"/>
      </rPr>
      <t>.</t>
    </r>
    <r>
      <rPr>
        <sz val="10.5"/>
        <color theme="1"/>
        <rFont val="Calibri"/>
        <family val="2"/>
        <scheme val="minor"/>
      </rPr>
      <t>-  Cargue y difusión de contenidos e información sectorial para promocionar al departamento del Cauca.
- Articulación con actores institucionales para la operativización de la plataforma Invest in Cauca - Cauca para inversionistas.</t>
    </r>
  </si>
  <si>
    <t>Implementar 1 plan para promocionar la inversión en el Departamento del Cauca</t>
  </si>
  <si>
    <t>Número de planes para promocionar la inversión en el Departamento del Cauca implementados</t>
  </si>
  <si>
    <t>1 plataforma de promoción a la inversión (Invest in Cauca - Cauca para inversionistas).</t>
  </si>
  <si>
    <r>
      <rPr>
        <sz val="10.5"/>
        <color theme="0" tint="-0.14999847407452621"/>
        <rFont val="Calibri"/>
        <family val="2"/>
        <scheme val="minor"/>
      </rPr>
      <t>.</t>
    </r>
    <r>
      <rPr>
        <sz val="10.5"/>
        <color theme="1"/>
        <rFont val="Calibri"/>
        <family val="2"/>
        <scheme val="minor"/>
      </rPr>
      <t>-  Articulación institucional para la implementación de un plan para promocionar la inversión en el departamento del Cauca.
- Construir un esquema de la política pública para la inversión en el Cauca.
- Implementar la estrategia Invest in Cauca a través del apoyo a la Agencia de promoción a la Inversión del Cauca.</t>
    </r>
  </si>
  <si>
    <t>Implementar 12 escenarios de promoción sectoriales especializados para el Departamento</t>
  </si>
  <si>
    <t xml:space="preserve">Número de escenarios de promoción sectoriales especializados para el Departamento implementados </t>
  </si>
  <si>
    <t>4 escenarios de promoción turística a nivel departamental</t>
  </si>
  <si>
    <t xml:space="preserve">700 personas </t>
  </si>
  <si>
    <r>
      <rPr>
        <sz val="10.5"/>
        <color theme="0" tint="-0.14999847407452621"/>
        <rFont val="Calibri"/>
        <family val="2"/>
        <scheme val="minor"/>
      </rPr>
      <t>.</t>
    </r>
    <r>
      <rPr>
        <sz val="10.5"/>
        <color theme="1"/>
        <rFont val="Calibri"/>
        <family val="2"/>
        <scheme val="minor"/>
      </rPr>
      <t>- Coadyuvar la implementación de estrategias de promoción de la inversión en el departamento.
- Generar escenarios para la promoción y fomento sectorial y temático de la inversión en el departamento.</t>
    </r>
  </si>
  <si>
    <t>Cambio climático para la competitividad</t>
  </si>
  <si>
    <t>Promover acciones de cooperación entre los diferentes actores para afrontar la problemática del cambio climático y el desarrollo sostenible en el Departamento</t>
  </si>
  <si>
    <t xml:space="preserve">Implementar 1 plan de acción de fortalecimiento de la mesa de cambio climático para el análisis económico </t>
  </si>
  <si>
    <t>Número de planes de acción de fortalecimiento de la mesa de cambio climático para el análisis económico  implementados</t>
  </si>
  <si>
    <t>CREACIÓN DE COOPERATIVA DE SERVICIOS FORESTALES DEL MACIZO COLOMBIANO</t>
  </si>
  <si>
    <t>Sotará, Rosas, La Sierra</t>
  </si>
  <si>
    <t xml:space="preserve">Creación de la cooperativa </t>
  </si>
  <si>
    <t>Elizabeth Yangana
en Carrera Administrativa Técnico Grado 6</t>
  </si>
  <si>
    <t>Población Beneficiada: 500,000
Población indígena 118,532
Población afro: 150,234</t>
  </si>
  <si>
    <t xml:space="preserve"> Integración regional para el desarrollo</t>
  </si>
  <si>
    <t>Fortalecer la interconectividad regional, para el desarrollo supraregional del Departamento</t>
  </si>
  <si>
    <t xml:space="preserve">Construir 1 estrategia para  el fortalecimiento de  las alianzas supraregionales </t>
  </si>
  <si>
    <t>Número de estrategias para  el fortalecimiento de las alianzas supraregionales construidas</t>
  </si>
  <si>
    <t>Promoción para el desarrollo regional  del departamento del Cauca</t>
  </si>
  <si>
    <t>.- Consolidación de la estrategia para el desarrollo del Cauca.
- Mesas subregionales.
- Foro nacional del desarrollo.
- Constitución de alianzas regionales para la competitividad del departamento.</t>
  </si>
  <si>
    <t xml:space="preserve">Aumentar el 10% la capacidad hotelera del departamento  </t>
  </si>
  <si>
    <t xml:space="preserve">Porcentaje de la capacidad hotelera del departamento aumentada </t>
  </si>
  <si>
    <t xml:space="preserve">50% de la capacidad hotelera en el departamento </t>
  </si>
  <si>
    <t>Desarrollo turístico para la Paz</t>
  </si>
  <si>
    <t xml:space="preserve">Impulsar procesos de planeación  y potenciar todas las manifestaciones turísticas que existan, entre ellas eco-turismo para promover nuevos destinos  turísticos en el departamento. </t>
  </si>
  <si>
    <t>Asistir técnicamente a 2 subregiones en procesos de planificación turística</t>
  </si>
  <si>
    <t xml:space="preserve">Número de subregiones en procesos de planificación turística asistidas técnicamente </t>
  </si>
  <si>
    <t>Desarrollo del sector turismo en los Municipios de: Guapi, Timbiquí, Piamonte, Argelia, Patía, Mercaderes, Balboa, Sucre, Bolívar, San Sebastián, Sotará, Timbío, El Tambo, Totoró, Cajibío, Silvia, Piendamó, Morales y Suárez  - Departamento del Cauca.</t>
  </si>
  <si>
    <t>BPIN 2017003190290</t>
  </si>
  <si>
    <t xml:space="preserve">Guapi, Timbiquí, Piamonte, Argelia, Patía, Mercaderes, Balboa, Sucre, Bolívar, San Sebastián, Sotará, Timbío, El Tambo, Totoró, Cajibío, Silvia, Piendamó, Morales y Suárez </t>
  </si>
  <si>
    <t xml:space="preserve">Costa pacífica, Sur, centro y Macizo, </t>
  </si>
  <si>
    <t>515914
Personas</t>
  </si>
  <si>
    <t>Inventarios turísticos, anteproyectos de política pública, procesos de formación y rutas y circuitos turísticos.</t>
  </si>
  <si>
    <t>Jaime Augusto Burbano Castillo
Coordinador Turismo del Departamento.</t>
  </si>
  <si>
    <t>El presente proyecto ejecutará en el año 2019, recursos por valor de $ 269.052.750, tanto en el programa de Desarrollo turístico para la paz como en asistencia técnica y seguridad turstica.
Ahora bien, para el programa de Desarrollo turístico para la paz solo se invertirán recursos por valor de : $ 153.150.500</t>
  </si>
  <si>
    <t>Estructurar 10 nuevas políticas públicas turísticas en alianza con las administraciones municipales</t>
  </si>
  <si>
    <t>Número de nuevas políticas públicas turísticas en alianza con las administraciones municipales estructuradas</t>
  </si>
  <si>
    <t>Anteproyectos de política pública …</t>
  </si>
  <si>
    <t>El presente proyecto ejecutará en el año  2019 recursos por valor de $ 269,052,750, tanto en el programa de Desarrollo turístico para la paz como en asistencia técnica y seguridad turstica.
Ahora bien, para el programa de Desarrollo turístico para la paz solo se invertirán recursos por valor de : $ 153.150.500</t>
  </si>
  <si>
    <t xml:space="preserve">Estructurar 10 nuevos inventarios turísticos en alianza con las administraciones municipales </t>
  </si>
  <si>
    <t>Número de nuevos inventarios turísticos en alianza con las administraciones municipales estructurados</t>
  </si>
  <si>
    <t xml:space="preserve">Inventarios turísticos… </t>
  </si>
  <si>
    <t>Infraestructura turística</t>
  </si>
  <si>
    <t>Adelantar gestiones políticas, administrativas y financieras que promuevan nueva infraestructura turística, o mejore la existente.</t>
  </si>
  <si>
    <t xml:space="preserve">Intervenir 3 atractivos turísticos en infraestructura </t>
  </si>
  <si>
    <t>Número de atractivos turísticos en infraestructura intervenidos</t>
  </si>
  <si>
    <t xml:space="preserve">Desarrollo de un entorno tecnológico termacolores en el RIP para la investigación e innovación en el uso de las aguas termales, aguas minerales y aprovechamiento del azufre natural orientados a potenciar el turismo y bienestar en el departamento del Cauca. </t>
  </si>
  <si>
    <t>BPIN
2014000100061</t>
  </si>
  <si>
    <t>Puracé</t>
  </si>
  <si>
    <t>5000
personas.</t>
  </si>
  <si>
    <t>Adecuación de piscinas, acondicionamientio del área de restaurante, adecuación de tres cabañas y adecuación del hostal.</t>
  </si>
  <si>
    <t>Proyecto que terminará su ejecución en el año 2019.</t>
  </si>
  <si>
    <t>Asistir técnicamente a 8 municipios en la identificación y estructuración de proyectos de infraestructura turística</t>
  </si>
  <si>
    <t xml:space="preserve">Número de municipios con identificación y estructuración de proyectos de infraestructura turística asistidos técnicamente </t>
  </si>
  <si>
    <t xml:space="preserve">Estudios y diseños  de proyectos de Infraestructura turística. </t>
  </si>
  <si>
    <t>Municipios por definir.</t>
  </si>
  <si>
    <t>Por definir.</t>
  </si>
  <si>
    <t>Aún no se ha definido cuales son los Municpios a apoyar en proyectos de infraestructura turística ya sea en su etapa de preinversión o inversión. Existe la posibilidad de apoyar estudios y/o diseños en Municpios como: Sotará, Bolívar, Piendamó y Puracé. Los proyectos están en la etapa de estructuración.</t>
  </si>
  <si>
    <t>Asistencia técnica y seguridad turística.</t>
  </si>
  <si>
    <t>Brindar asesoría, asistencia técnica y cofinanciación a los municipios y la comunidad turística en general en temas relacionados con el sector</t>
  </si>
  <si>
    <t>Implementar 4 estrategias de seguridad turística</t>
  </si>
  <si>
    <t>Número de estrategias  de seguridad turística implementadas</t>
  </si>
  <si>
    <t>Estrategias de seguridad turística…</t>
  </si>
  <si>
    <t>El presente proyecto ejecutará en el año  2019 recursos por valor de $ 269,052,750, tanto en el programa de Desarrollo turístico para la paz como en asistencia técnica y seguridad turística.
Ahora bien, para el programa de Asistencia técnica y seguridad turística solo se invertirán recursos por valor de : $ 115.902.250</t>
  </si>
  <si>
    <t>Cofinanciar 7 proyectos que promuevan el desarrollo turístico en los municipios con vocación turística</t>
  </si>
  <si>
    <t xml:space="preserve">Número de proyectos que promuevan el desarrollo turístico en los municipios con vocación turística cofinanciados </t>
  </si>
  <si>
    <t>Inventarios turísticos, anteproyectos de política pública, procesos d formación y rutas y circuitos turísticos.</t>
  </si>
  <si>
    <t>Promoción turística</t>
  </si>
  <si>
    <t>Fortalecer la oferta cultural y natural de todas las manifestaciones turísticas que existan, entre ellas eco-turismo que promueve el Departamento del Cauca en el marco de los reconocimientos Unesco.</t>
  </si>
  <si>
    <t>Promocionar en 4 eventos de talla internacional al Cauca como destino turístico</t>
  </si>
  <si>
    <t xml:space="preserve">Número de eventos de talla internacional que promocionan al Cauca como destino turístico </t>
  </si>
  <si>
    <t>Implementación de estrategias de promoción del potencial turístico del Departamento del Cauca, que permitan posicionar al Departamento como destino competitivo en el mercado nacional e internacional.</t>
  </si>
  <si>
    <t>BPIN 20180003190087</t>
  </si>
  <si>
    <t>Todo el Departamento del Cauca.</t>
  </si>
  <si>
    <t xml:space="preserve">Costa pacífica, Sur, Oriente, Norte, Centro y Macizo, </t>
  </si>
  <si>
    <t>1405933
Personas.</t>
  </si>
  <si>
    <t>Muestra empresarial turística y cultural en la Vitrina turística Anato 2019.</t>
  </si>
  <si>
    <t>El proyecto beneficia directamente a los Municpios declarados con vocaciòn turìstica (Popayán, Guapi, Balboa, Patía, San Sebastián, Sotará, Timbío,  Cajibío, Piendamó, Morales, Suárez, Santander de Quilichao, Caloto, Silvia, Inzá y Puracé) no obstante en la vitirina se promociona a todo el departamento del Cauca, por esa razòn se registra como benefciarios a todos los Municpios del Cauca.
Por ahora se registra un proyecto de promoción turística viabilizado para ejecutarlo en el año 2019 que permite cumplir la totalidad de las metas del cuatrieno (100%), no obstante se gestionarán nuevos proyectos de iversión en promoción turística con el presupuesto asignado de más para el año 2019 por valor de $ 120,000,000</t>
  </si>
  <si>
    <t>Formalización del 10% de las Unidades productivas mineras informales existentes</t>
  </si>
  <si>
    <t>Porcentaje de Unidades productivas mineras informales existentes formalizadas</t>
  </si>
  <si>
    <t>980 Unidades Productivas mineras</t>
  </si>
  <si>
    <t>Fomento para la Formalización de la minería
artesanal y de pequeña escala.</t>
  </si>
  <si>
    <t xml:space="preserve">Promover y apoyar técnica, jurídica, ambiental y empresarialmente la formalización de la minería artesanal y de pequeña escala incluyendo grupos étnicos en sus procesos de declaración de áreas de reservas especial minera </t>
  </si>
  <si>
    <t>Asistir técnicamente a 100 nuevas unidades de producción minera (UPM)  en su proceso de formalización teniendo en cuenta las áreas de reserva especial.</t>
  </si>
  <si>
    <t xml:space="preserve">Número de nuevas unidades de producción minera (UPM)  en su proceso de formalización asistidas técnicamente </t>
  </si>
  <si>
    <t>100 Unidades de producción minera asistidas. .</t>
  </si>
  <si>
    <t>Fortalecimiento a la minería artesanal y de pequeña escala en el departamento del Cauca</t>
  </si>
  <si>
    <t>7 subregiones del departamento</t>
  </si>
  <si>
    <t>La población a beneficiar está conformada por diferentes comunidades ancestrales, campesinas y afros descendientes.
 No. de Beneficiaros 55.000</t>
  </si>
  <si>
    <t>10 UPM apoyadas en su proceso de formalización</t>
  </si>
  <si>
    <t>Juan Carlos Maya Feijoo
Secretario de Desarrollo Economico y Competitividad
Victor Manuel Meza 
Lider Componente Minero</t>
  </si>
  <si>
    <t xml:space="preserve">El proyecto integral denominado: Fortalecimiento a minería artesanal y de pequeña escala le apunta a las siguientes metas: 
&lt;Asistir (UPM) en su proceso de formalización teniendo en cuenta las áreas de reserva especial.
&lt;Asistir (UPM) en la actualización de la normatividad minera.
&lt;Actualizar el Sistema de información Geográfico en el módulo minero.
&lt;Elaborar 1 inventario minero incluyendo las áreas de reserva especial minera, si existen.
&lt;Asistir técnicamente (UPM) en procesos de protección ambiental.
Implementar una estrategia de orientación tecnológica y ambiental.
</t>
  </si>
  <si>
    <t xml:space="preserve">Asistir 100 nuevas unidades de producción minera (UPM)  en la actualización de la normatividad minera </t>
  </si>
  <si>
    <t>Número de nuevas unidades de producción minera (UPM)  en la actualización de la normatividad minera asistidas</t>
  </si>
  <si>
    <t xml:space="preserve">100 Unidades de producción minera asistidas. </t>
  </si>
  <si>
    <t>Fortalecimiento a la minería artesanal y de pequeña escala (Nombre tentativo)</t>
  </si>
  <si>
    <t>La población a beneficiar está conformada por diferentes comunidades ancestrales campesinas y afros descendientes.
 No. de Beneficiaros 55.000</t>
  </si>
  <si>
    <t>10 UPM apoyadas en su proceso de Normatividad</t>
  </si>
  <si>
    <t>Juan Carlos Maya Feijoo
Secretario Desarrollo Economico y Competitividad
Victor Manuel Meza 
Lider Componente Minero</t>
  </si>
  <si>
    <t xml:space="preserve">El proyecto integral denominado: Fortalecimiento a minería artesanal y de pequeña escala le apunta a las siguientes metas: 
&lt;Asistir (UPM) en su proceso de formalización teniendo en cuenta las áreas de reserva especial.
&lt;Asistir (UPM) en la actualización de la normatividad minera.
&lt;Actualizar el Sistema de información Geográfico en el módulo minero.
&lt;Elaborar 1 inventario minero incluyendo las áreas de reserva especial minera, si existen.
&lt;Asistir técnicamente (UPM) en procesos de protección ambiental.
&lt;Implementar una estrategia de orientación tecnológica y ambiental.
</t>
  </si>
  <si>
    <t>Desarrollo productivo y sustentable de la minería  artesanal y de pequeña escala.</t>
  </si>
  <si>
    <t>Promover el desarrollo productivo y sustentable de la minería artesanal y de pequeña escala (tanto en minería metálica y la no metálica como el caso de Popayán en el cual se desarrolla explotaciones de arcilla para elaboración de ladrillo y canteras para afirmado  )</t>
  </si>
  <si>
    <t>Implementar 1 estrategia que permita fortalecer 4 distritos mineros en desarrollo productivo y sostenible</t>
  </si>
  <si>
    <t>Número de estrategias que permita fortalecer 4 distritos mineros en desarrollo productivo y sostenible implementadas</t>
  </si>
  <si>
    <t>2 distritos mineros fortalecidos</t>
  </si>
  <si>
    <t xml:space="preserve">"Mejoramiento ambiental del proceso de extracción y trasformación de arcilla a través de la trasformación de hornos tipo tiro invertido en minería de subsistencia en los municipios de Mercaderes, Popayán, Tambo, Puerto Tejada y Villa Rica". </t>
  </si>
  <si>
    <t>0.000</t>
  </si>
  <si>
    <t>Mercaderes, Tambo, Popayán, Villa Rica, Puerto Tejada</t>
  </si>
  <si>
    <t>Centro, Sur y Norte</t>
  </si>
  <si>
    <t>La población a beneficiar está conformada por diferentes comunidades ancestrales campesinas y afros descendientes.
No. de beneficiarios 25.000</t>
  </si>
  <si>
    <t xml:space="preserve">&lt;Realizar convocatoria abierta para seleccionar beneficiaros.
&lt;Realizar visitas a los predios seleccionados y georreferenciar las áreas de explotación de arcilla e infraestructura. (Realizar estudios de suelos y topográficos)
&lt;Apoyar trámites ante la autoridad ambiental. </t>
  </si>
  <si>
    <t>Juan Carlos Maya Feijoo
Secretario de Desarrollo Economico y Competitividad
Monica Regina Ordoñez
Ingeniera Contratista</t>
  </si>
  <si>
    <t>Este Proyecto se encuentra en estructuración para ser revisado en las mesas técnicas del OCAD pacífico</t>
  </si>
  <si>
    <t xml:space="preserve">
Proyecto Implementación planta de producción alfarera para el fortalecimiento y mejoramiento de los procesos de producción de ladrillo para la asociación de alfareros del Higuerón Municipio del Tambo.
</t>
  </si>
  <si>
    <t>Tambo</t>
  </si>
  <si>
    <t>La población a beneficiar está conformada por diferentes comunidades ancestrales campesinas y afros descendientes.
No. de beneficiarios 36.000</t>
  </si>
  <si>
    <t xml:space="preserve">
&lt;Construcción de horno y centro de acopio.</t>
  </si>
  <si>
    <t>Juan Carlos Maya Feijoo
Secretario de Desarrollo Economico y Competitividad
Samir Fabara
Ingeniera Contratista</t>
  </si>
  <si>
    <t>El proyecto Implementación planta de producción alfarera para el fortalecimiento y mejoramiento de los procesos de producción de ladrillo para la asociación de alfareros del Higuerón Municipio del Tambo tiene una vigencia 2018-2019 con ejecución de $ 51.000.000 y $75.988.000 respectivamente.</t>
  </si>
  <si>
    <t>Actualizar el Sistema de información Geográfico en el módulo minero</t>
  </si>
  <si>
    <t>Sistema de información Geográfico en el módulo minero actualizado</t>
  </si>
  <si>
    <t>Sistema de información Geográfico implementado.</t>
  </si>
  <si>
    <t xml:space="preserve"> Implementación de un sistema geográfico para la planificación de recursos agrícolas, mineros, hídricos y forestal del departamento del Cauca SIG.</t>
  </si>
  <si>
    <t>La población a beneficiar está conformada por diferentes comunidades ancestrales campesinas y afros .
No. de beneficiados. 55.000</t>
  </si>
  <si>
    <t>UPM identificadas y caracterizadas con información técnicas sobre atributos más importantes de cada una de ellas.</t>
  </si>
  <si>
    <t>Se apoya en la ejecución del proyecto mediante la recopilación de diferentes UPM de los diferentes municipios que se han visitado con tomas de puntos de georreferenciación identificando diferentes características o actividades para tener en cuenta los estados de formalización y legalización de cada una de ellas.</t>
  </si>
  <si>
    <t xml:space="preserve">Elaborar 1 inventario minero en articulación con entidades oficiales con los 42 municipios del departamento incluyendo las áreas de reserva especial minera, si existen </t>
  </si>
  <si>
    <t>Número de inventarios mineros en articulación con entidades oficiales elaborados</t>
  </si>
  <si>
    <t>1 caracterización minera (39 municipios).</t>
  </si>
  <si>
    <t>Elaboración del inventario minero para el departamento del Cauca.</t>
  </si>
  <si>
    <t>Un inventario minero estructurado como instrumento de planificación minera del departamento del Cauca</t>
  </si>
  <si>
    <t xml:space="preserve">Juan Carlos Maya Feijoo
Secretario de Desarrollo Economico y Competitividad
Samir Fabara 
Ingeniero contratista </t>
  </si>
  <si>
    <t>Para este año 2019 se ejecutara el 20%.</t>
  </si>
  <si>
    <t>Seguridad minera en el Departamento del Cauca para la minería  artesanal y de pequeña escala.</t>
  </si>
  <si>
    <t>Disminuir la accidentalidad minera desde la parte técnica y operativa en las explotaciones mineras</t>
  </si>
  <si>
    <t>Asistir técnicamente a 100 unidades de producción minera (UPM)  sobre seguridad minera</t>
  </si>
  <si>
    <t xml:space="preserve">Número de unidades de producción minera (UPM) asistidas técnicamente en seguridad minera </t>
  </si>
  <si>
    <t>Meta cumplida con la ejecución de la vigencia 2018.</t>
  </si>
  <si>
    <t xml:space="preserve">Capacitar y dotar a 10  Unidades de Producción Minera -(UPM )en salvamento minero </t>
  </si>
  <si>
    <t xml:space="preserve">Número de Unidades de Producción Minera -upm capacitadas y dotadas en salvamento minero </t>
  </si>
  <si>
    <t>Mejoramiento de la prevención y atención de emergencias en las labores mineras subterráneas en el Departamento del cauca</t>
  </si>
  <si>
    <t>39 municipios</t>
  </si>
  <si>
    <t>Norte, sur, oriente, macizo, centro, pie de monte amazonico</t>
  </si>
  <si>
    <t>La población a beneficiar está conformada por diferentes comunidades ancestrales campesinas y afro descendientes.
No. de beneficiados. 5.360</t>
  </si>
  <si>
    <t xml:space="preserve">&lt;Talleres de socialización en seguridad minera
&lt;Jornadas de capacitación teórico - practicas sobre seguridad en labores mineras.
&lt;Dotación de herramientas y equipos para la prevención y atención de emergencias y accidentes en labores mineras.
</t>
  </si>
  <si>
    <t xml:space="preserve">Juan Carlos Maya Feijoo
Secretario de Desarrollo Economico y Competitividad
Carlos Acosta  
Ingeniero contratista </t>
  </si>
  <si>
    <t>Se había proyectado que esta actividad se realizara hasta el año 2018, pero esta sujeta a un proyecto de regalías que por sus trámites no se ha podido iniciar su implementación, es por esto que se ha dejado para el 2019 dicha implementación.</t>
  </si>
  <si>
    <t xml:space="preserve">Gestión ambiental en la explotación minera y comercial de productos mineros y sus derivados. </t>
  </si>
  <si>
    <t xml:space="preserve">Promover la organización y capacitación de mineros para generar un cambio de actitud sobre sus obligaciones de protección ambiental y el mejoramiento de su capacidad productiva </t>
  </si>
  <si>
    <t>Asistir técnicamente 100 unidades de producción minera en procesos de protección ambiental</t>
  </si>
  <si>
    <t>Número de unidades de producción minera en procesos de protección ambiental asistidas técnicamente</t>
  </si>
  <si>
    <t xml:space="preserve">&lt;20 unidades de producción minera asistidas en protección ambiental.
&lt;Asistencia técnica a las siete subregiones del departamento del cauca en protección ambiental.
</t>
  </si>
  <si>
    <t>El proyecto integral denominado: Fortalecimiento a minería artesanal y de pequeña escala le apunta a las siguientes metas: 
&lt;Asistir (UPM) en su proceso de formalización teniendo en cuenta las áreas de reserva especial.
&lt;Asistir (UPM) en la actualización de la normatividad minera.
&lt;Actualizar el Sistema de información Geográfico en el módulo minero.
&lt;Elaborar 1 inventario minero incluyendo las áreas de reserva especial minera, si existen.
&lt;Asistir técnicamente (UPM) en procesos de protección ambiental.
&lt;Implementar una estrategia de orientación tecnológica y ambiental.</t>
  </si>
  <si>
    <t xml:space="preserve">Implementar una estrategia de orientación tecnológica y ambiental </t>
  </si>
  <si>
    <t xml:space="preserve">Número de estrategia de orientación tecnológica y ambiental implementadas </t>
  </si>
  <si>
    <t xml:space="preserve">Implementación de modelos de gestión y de procesos ambientalmente sostenibles en la ejecucion de actividades mineras auriferas en el departamento del Cauca. </t>
  </si>
  <si>
    <t>Suarez, Buenos Aires, Santander de quilichao, morales, cajibio, y demas Municipios involucrados en la pequeña minería</t>
  </si>
  <si>
    <t xml:space="preserve">Población dedicada a la pequeña mineroa y mineria artesanal en la region y municipios interesados del Cauca.
No. de Beneficiados
  </t>
  </si>
  <si>
    <t xml:space="preserve">&lt;Modelo organizacional y administrativo de las UPM.
&lt;Estándares y herramientas para la planeación, infraestructura y gestión de tecnología para la ejecución de actividades mineras aurífera en la región.
&lt;Evaluación de criterios y protocolos técnicos sustentables ambientalmente para la labor extractiva y de beneficio de las UPM.
&lt;Implementación de estrategias para la transferencia de conocimiento en las diferentes etapas del ciclo minero.
&lt;generación de planes dirigidos a la reparación y restauración ambiental en zonas de actividad minera
</t>
  </si>
  <si>
    <t>El proyecto ya esta estructurado, sin embargo, de acuerdo a la nueva ley de CTeI , 923 de julio de 2018, los proyectos susceptibles de financiación a través del FCTeI - SGR deberan concursar mediante convocatorias competitivas a nivel nacional. En este sentido, se está a la espera de que COLCIENCIAS realiza la convocatoria para el departamento.</t>
  </si>
  <si>
    <t>Aumentar el 0.5% de la participación de la inversión nacional en actividades Ctel (Nota: La meta tomara como línea de base los resultados del año 2015 una vez se actualice y se publique por el Observatorio Colombiano de Ciencia y Tecnología)</t>
  </si>
  <si>
    <t xml:space="preserve">Porcentaje de la participación de la inversión nacional en actividades CTel aumentado </t>
  </si>
  <si>
    <t xml:space="preserve">1.044% año 2014 </t>
  </si>
  <si>
    <t>Implementación y Ejecución del Plan y Acuerdo Estratégico en CTeI (PAED)</t>
  </si>
  <si>
    <t xml:space="preserve">Consolidar al Departamento del Cauca como una región de conocimientos, pluriétnica y multicultural, donde el desarrollo de las actividades de ciencia, tecnología e innovación CteI </t>
  </si>
  <si>
    <r>
      <t xml:space="preserve">Realizar 2 sesiones participativas con actores del </t>
    </r>
    <r>
      <rPr>
        <sz val="11"/>
        <color theme="1"/>
        <rFont val="Calibri"/>
        <family val="2"/>
        <scheme val="minor"/>
      </rPr>
      <t>SRCTeI</t>
    </r>
    <r>
      <rPr>
        <sz val="11"/>
        <rFont val="Calibri"/>
        <family val="2"/>
        <scheme val="minor"/>
      </rPr>
      <t xml:space="preserve"> para validar y adoptar el PAED </t>
    </r>
  </si>
  <si>
    <t xml:space="preserve">Número de sesiones participativas con actores del SRCT  para validar y adoptar el PAED realizadas </t>
  </si>
  <si>
    <t>Con la ejecución de  la vigencia 2018 se logra cumplir la meta en un 100%</t>
  </si>
  <si>
    <t xml:space="preserve">Realizar 4 convocatorias para gestionar los proyectos priorizados en las apuestas y líneas consignadas en el PAED Cauca </t>
  </si>
  <si>
    <t>Número de convocatorias para gestionar los proyectos priorizados en las apuestas y líneas consignadas en el PAED Cauca realizadas</t>
  </si>
  <si>
    <t>Desarrollo de procesos para la consolidación del Ecosistema regional de ciencia, tecnología e innovación en el departamento del Cauca</t>
  </si>
  <si>
    <t>500 personas</t>
  </si>
  <si>
    <r>
      <rPr>
        <sz val="10.5"/>
        <color theme="0" tint="-0.14999847407452621"/>
        <rFont val="Calibri"/>
        <family val="2"/>
        <scheme val="minor"/>
      </rPr>
      <t>.</t>
    </r>
    <r>
      <rPr>
        <sz val="10.5"/>
        <color theme="1"/>
        <rFont val="Calibri"/>
        <family val="2"/>
        <scheme val="minor"/>
      </rPr>
      <t>- Impulsar la apropiación social del conocimiento, la transferencia tecnológica, la investigación científica y la innovación social en los sectores productivos desde las diferentes dimensiones socioeconómicas del departamento, a través de la gestión de iniciativas y  proyectos en CTeI</t>
    </r>
  </si>
  <si>
    <t>El proyecto "Desarrollo de procesos para la consolidación del Ecosistema regional de ciencia, tecnología e innovación en el departamento del Cauca" se encuentra en formulación y tiene un valor estimado de $27.000.000, el cual a través de sus actividades y productos contribuye al cumplimiento de las metas de los programas del componente de Innovación, conforme se detalla en el presente plan.</t>
  </si>
  <si>
    <t>Consolidación del ecosistema regional de Ciencia, Tecnología e Innovación.</t>
  </si>
  <si>
    <t>Desarrollar de acciones endógenas que consoliden la red de actores del sistema de ciencia, tecnología e innovación CTeI</t>
  </si>
  <si>
    <t>Estructurar 1 Plan operativo del CODECTI Cauca para la implementación del PAED</t>
  </si>
  <si>
    <t>Número de Planes operativos del CODECTI Cauca para la implementación del PAED estructurados</t>
  </si>
  <si>
    <t>600 personas</t>
  </si>
  <si>
    <r>
      <rPr>
        <sz val="10.5"/>
        <color theme="0" tint="-0.14999847407452621"/>
        <rFont val="Calibri"/>
        <family val="2"/>
        <scheme val="minor"/>
      </rPr>
      <t>.</t>
    </r>
    <r>
      <rPr>
        <sz val="10.5"/>
        <color theme="1"/>
        <rFont val="Calibri"/>
        <family val="2"/>
        <scheme val="minor"/>
      </rPr>
      <t>- Coadyuvar al CODECTI Cauca en la implementación de las actividades y metas establecidas en el Plan estratégico y operativo para la vigencia 2019.</t>
    </r>
  </si>
  <si>
    <t xml:space="preserve">Realizar 7 sesiones del CODECTI Cauca para el acompañamiento en la implementación del PAED y la articulación de la red del SRCTeI </t>
  </si>
  <si>
    <t>Número de sesiones del CODECTI Cauca para el acompañamiento en la implementación del PAED y la articulación de la red del SRCTeI realizadas</t>
  </si>
  <si>
    <t>750 personas</t>
  </si>
  <si>
    <r>
      <rPr>
        <sz val="10.5"/>
        <color theme="0" tint="-0.14999847407452621"/>
        <rFont val="Calibri"/>
        <family val="2"/>
        <scheme val="minor"/>
      </rPr>
      <t>.</t>
    </r>
    <r>
      <rPr>
        <sz val="10.5"/>
        <color theme="1"/>
        <rFont val="Calibri"/>
        <family val="2"/>
        <scheme val="minor"/>
      </rPr>
      <t>- Realizar sesiones del CODECTI Cauca para la articulación institucional con los actores del Ecosistema regional de CTeI del departamento.
- Decentralizar el CODECTI Cauca hacia los actores municipales.</t>
    </r>
  </si>
  <si>
    <t xml:space="preserve">TOTAL </t>
  </si>
  <si>
    <t>Cambiar en el 50% de los y las estudiantes y comunidad educativa de 14 Instituciones Educativas, (2 por subregión) su percepción frente a las violencias contra las mujeres</t>
  </si>
  <si>
    <t>Porcentaje de los y las estudiantes y comunidad educativa de 14 Instituciones Educativas, (2 por subregión) que cambian su percepción frente a las violencias contra las mujeres</t>
  </si>
  <si>
    <t>Cauca, hacia un territorio libre de violencias contra las mujeres.</t>
  </si>
  <si>
    <t>Desarrollar una estrategia  que de cumplimiento a la ley 1257 de 2008 y que conduzca a avanzar en la garantía a una vida libre de violencias para las mujeres que habitan el departamento.</t>
  </si>
  <si>
    <t xml:space="preserve">Generar en 14 instituciones educativas, (2 por subregión), acciones de movilización social para la promoción de una cultura no violenta hacia las mujeres. </t>
  </si>
  <si>
    <t>Número de instituciones educativas, (2 por subregión), con acciones de movilización social para la promoción de una cultura no violenta hacia las mujeres generadas</t>
  </si>
  <si>
    <t>No. de Instituciones educativas por subregion con acciones de movilizacion</t>
  </si>
  <si>
    <t>Implementación de buenas prácticas para la construcción de un territorio libre de violencia contra las mujeres en el
Departamento del Cauca</t>
  </si>
  <si>
    <t>son 42 municipos y se prioriza  14  I.E. (Guachene:Institucion la Cabaña, Pto Teja:I.La milagrosa, Sta Rosa IEVillalobos, Piamonte I:Epiamonte, Sotara I.E.El Crucero, Totoró IE Totoroes, Almaguer I.Enormal Sta Clara, Boliva I.E. Sta Catalina Labovure, Paez I.E.Vallejo de Paez-I:E: Jose Reyes, Lopez de Micay I:E: Paulo VI-I.E.San Jose Shuare, Timbiqui I.E. El Tafo, Florencia I.E. Toribio Paz moncayo, Sucre: I.E. Mariscal Sucre),  21 Municipios  Priorizados  21 :( Norte :Corinto, Guachene, Miranda, Santander de Quilichao, Puerto Tejad; Bota: Piamonte y Sta Rosa, Centro: Totoró, Sotará, Silvia, Popayan, Tambo, y Timbio; Macizo:Bolivar; Oriente :Paez, Pacifico: Lopez de Micay y Timbiqui; Sur :Mercaderes, Florencia, Patia, Sucre y Aregelia</t>
  </si>
  <si>
    <t>INSTITUCIONES EDUCATIVAS, ASOCIACIONES COMUNITARIAS Y RED MUJERES (150 funcionarias publica, 800 mujeres pertenecientes sociedad civil,  14  I.E.Estudiantes, docentes, padres de familia 752)</t>
  </si>
  <si>
    <t xml:space="preserve">1.- Seis jornadas conmemorativas, 2 movilizaciones, una Campaña  para promocionar , visivilizar por medios masivos  de difusion, </t>
  </si>
  <si>
    <t>Elvia Rocio Cuenca Bonilla (Maria de los Angeles Muñoz Lopez -Coordinadora)</t>
  </si>
  <si>
    <t>Se registra este valor de Acuerdo al Presupuesto del 2do año del   proyecto y se va a ejecutar solamente con regalias y Recursos de Cooperacion Internacional</t>
  </si>
  <si>
    <t xml:space="preserve">Elaborar 1 documento con los contenidos para la promoción de una cultura no violenta contra las mujeres, para darles aplicación desde la Secretaría de Educación y Cultura a través de la Cátedra Cauca. </t>
  </si>
  <si>
    <t>Número de documentos con los contenidos para la promoción de una cultura no violenta contra las mujeres, para darles aplicación desde la Secretaría de Educación y Cultura a través de la Cátedra Cauca elaborados</t>
  </si>
  <si>
    <t xml:space="preserve">Promover en 14 Instituciones Educativas (2 por subregión),  acciones de sensibilización con herramientas para actuar con cero tolerancia frente a las violencias contra las mujeres.  </t>
  </si>
  <si>
    <t>Número de Instituciones Educativas (2 por subregión),  con acciones de sensibilización y herramientas para actuar con cero tolerancia frente a las violencias contra las mujeres promovidas.</t>
  </si>
  <si>
    <t>Por establecer</t>
  </si>
  <si>
    <t xml:space="preserve"> son 42 municipos y se prioriza  14  I.E. (Guachene:Institucion la Cabaña, Pto Teja:I.La milagrosa, Sta Rosa IEVillalobos, Piamonte I:Epiamonte, Sotara I.E.El Crucero, Totoró IE Totoroes, Almaguer I.Enormal Sta Clara, Boliva I.E. Sta Catalina Labovure, Paez I.E.Vallejo de Paez-I:E: Jose Reyes, Lopez de Micay I:E: Paulo VI-I.E.San Jose Shuare, Timbiqui I.E. El Tafo, Florencia I.E. Toribio Paz moncayo, Sucre: I.E. Mariscal Sucre),  21 Municipios  Priorizados  21 :( Norte :Corinto, Guachene, Miranda, Santander de Quilichao, Puerto Tejad; Bota: Piamonte y Sta Rosa, Centro: Totoró, Sotará, Silvia, Popayan, Tambo, y Timbio; Macizo:Bolivar; Oriente :Paez, Pacifico: Lopez de Micay y Timbiqui; Sur :Mercaderes, Florencia, Patia, Sucre y Aregelia</t>
  </si>
  <si>
    <t>7subregiones</t>
  </si>
  <si>
    <t>21 Talleres Formacion de Semilleros con  Comunidad Educativa,  8 talleres ciclo de formacion de funcionarios de atender la denuncia violencia contra las mujeres; 2 movilizaciones y 6 eventos para promover en el entorno de las Instituciones Educativas accione basada en genero</t>
  </si>
  <si>
    <t xml:space="preserve">Incrementar en 20% las denuncias de los casos de Violencias Basadas en Género - VBG.
</t>
  </si>
  <si>
    <t xml:space="preserve">Porcentaje de las denuncias de los casos de Violencias Basadas en Género – VBG incrementado </t>
  </si>
  <si>
    <t xml:space="preserve">1125 casos de Violencias Basadas en Género denunciados - año 2013 – Medicina Legal </t>
  </si>
  <si>
    <t xml:space="preserve">Ajustar en 7 nuevos municipios, (1 por subregión), las rutas y protocolos para la atención a las mujeres víctimas de las violencias de acuerdo a la institucionalidad presente.                                  </t>
  </si>
  <si>
    <t>Número de nuevos municipios, (1 por subregión),con  rutas y protocolos para la atención a las mujeres víctimas de las violencias de acuerdo a la institucionalidad presente ajustadas.</t>
  </si>
  <si>
    <t>son 42 municipos y se prioriza los municipios restante</t>
  </si>
  <si>
    <t>1 SUBREGION</t>
  </si>
  <si>
    <t>Operadores de Justicia y organizaciones de la Sociedad civil</t>
  </si>
  <si>
    <t>5 Mil diseños de impresiones material educativo e informativos, 3 audivisuales con duracion de 5 minutos para promover las acciones de lucha contra la violencia de genero, 12 contratistas mano de obra calificada de apoyo local para la implementacion de la estrategias</t>
  </si>
  <si>
    <t xml:space="preserve">Realizar 1 campaña para motivar la denuncia de casos de Violencias Basadas en Género - VBG- en contra de niñas, adolescentes, adultas mayores, lesbianas, mujeres trans y con capacidades diversas. </t>
  </si>
  <si>
    <t>Número de campañas para motivar la denuncia de casos de Violencias Basadas en Género - VBG- en contra de niñas, adolescentes, adultas mayores, lesbianas, mujeres trans y con capacidades diversas realizadas.</t>
  </si>
  <si>
    <t>2 videos audivisuales de 5 minutos,  1000 unidade  de impresión material de difusion,  12 contratista</t>
  </si>
  <si>
    <t xml:space="preserve">Promover 2 movilizaciones contra las violencias hacia las mujeres.                                         </t>
  </si>
  <si>
    <t xml:space="preserve">Número de movilizaciones  contra las violencias hacia las mujeres promovidas.                                       </t>
  </si>
  <si>
    <t xml:space="preserve">Número de movilizaciones  contra las violencias hacia las mujeres promovidas. </t>
  </si>
  <si>
    <t>Aplicativos, y 2 movilizaciones</t>
  </si>
  <si>
    <t>Conmemorar 8 fechas emblemáticas en torno al derecho a una vida libre de violencias.</t>
  </si>
  <si>
    <t>Número de fechas emblemáticas en torno al derecho a una vida libre de violencias conmemoradas.</t>
  </si>
  <si>
    <t>En el Proyecto  se atiende a los  42 municipos y se prioriza los municipios restante para el 2do año (2019)</t>
  </si>
  <si>
    <t>Cuatro (4 )movilizaciones de conmemoracion de fechas emblematicas,  apoyada por 7 ctista de apoyo local</t>
  </si>
  <si>
    <t>Poner en funcionamiento la Casa de la Mujer del Cauca</t>
  </si>
  <si>
    <t xml:space="preserve"> Casa de la Mujer del Cauca puesta en funcionamiento.</t>
  </si>
  <si>
    <t>42 para atencion a las mujeres de los 42 Municipios</t>
  </si>
  <si>
    <t>Un Kit general dotacion  funcionamiento y una (1) profesional para atencion mujeres victimas</t>
  </si>
  <si>
    <t xml:space="preserve">Implementar 7 mesas de trabajo con el sector salud que movilicen la creación de Casas Refugio ( en las 7 subregiones).  </t>
  </si>
  <si>
    <t>Número de mesas de trabajo con el sector salud que movilicen la creación de Casas Refugio ( en las 7 subregiones) implementadas.</t>
  </si>
  <si>
    <t>42 municipos</t>
  </si>
  <si>
    <t xml:space="preserve">Reuniones  de sensibilizacion   con las EPS, IPS, Secretaría de salud, y busquedas de experiencias a nivel Nacional </t>
  </si>
  <si>
    <t xml:space="preserve">Aumentar en el 20% de las Comisarías de familia (una por subregión) las competencias de sus funcionarios para la intervención efectiva en casos de violencias basadas en género </t>
  </si>
  <si>
    <t xml:space="preserve">Porcentaje de las Comisarías de familia (una por subregión) con competencias de sus funcionarios para la intervención efectiva en casos de violencias basadas en género aumentado </t>
  </si>
  <si>
    <t>Capacitar al 100% de las comisarías de familia en herramientas para la atención y protección de las mujeres de acuerdo a lo establecido en la ley 1257/2008</t>
  </si>
  <si>
    <t>Porcentaje de comisarías de familia capacitadas en herramientas para la atención y protección de las mujeres de acuerdo a lo establecido en la ley 1257 /2008</t>
  </si>
  <si>
    <t>8 eventos y conferencias dirigida a funcionarios y comisarias de familia</t>
  </si>
  <si>
    <t>Incrementar en un 5% la participación política de las mujeres en las elecciones 2019 frente a las participantes en el 2015</t>
  </si>
  <si>
    <t xml:space="preserve">Porcentaje de participación política de las mujeres en las elecciones 2019 frente a las participantes en el 2015 incrementado </t>
  </si>
  <si>
    <t xml:space="preserve">1106 mujeres inscritas en el año 2015 – Registraduria Nacional </t>
  </si>
  <si>
    <t>Fortalecimiento a la participación social y política  de las mujeres</t>
  </si>
  <si>
    <t>Aumentar la participación de las mujeres en espacios políticos y político comunitarios para incidir en los temas de su interés.</t>
  </si>
  <si>
    <t xml:space="preserve">Implementar 1 estrategia que permita incrementar la participación política de las mujeres en las elecciones de JAL, Concejos Municipales, Asamblea, Alcaldías y Gobernación </t>
  </si>
  <si>
    <t xml:space="preserve">Número de estrategia que permitan incrementar la participación política de las mujeres en las elecciones de JAL, Concejos Municipales, Asamblea, Alcaldías y Gobernación implementadas </t>
  </si>
  <si>
    <t>Fortalecimiento a la participación social y politica de las Mujeres en el Departamento del cauca</t>
  </si>
  <si>
    <t>oooooo  Notica en formulación</t>
  </si>
  <si>
    <t>Mueres Afro Indigena, Campesinas, jovenes Adultas (tenieno en cuenta el componente etnico y sociocultural</t>
  </si>
  <si>
    <t>Seis (6)Talleres por cada municipios y tres (3) foros subregionales</t>
  </si>
  <si>
    <t>Elvia Rocio Cuenca y(Tatiana Tamayo-Coordinadora</t>
  </si>
  <si>
    <t>Se ejecutara con Recursos de Gestion de la Cooperación Internacional OIM y recursos propios programados en el presupuesto del 2019</t>
  </si>
  <si>
    <t xml:space="preserve">Capacitar 1260 mujeres con herramientas que les permita participar en procesos políticos electorales </t>
  </si>
  <si>
    <t>Número de mujeres capacitadas con herramientas que les permita participar en procesos políticos electorales</t>
  </si>
  <si>
    <t>Incrementar en 5 % la participación política de las mujeres en escenarios sociales y comunitarios</t>
  </si>
  <si>
    <t xml:space="preserve">Porcentaje de la participación política de las mujeres en escenarios sociales y comunitarios incrementado </t>
  </si>
  <si>
    <t xml:space="preserve">Juntas de acción comunal electas en el año 2016 – consejos comunitarios y cabildos existentes </t>
  </si>
  <si>
    <r>
      <rPr>
        <sz val="11"/>
        <rFont val="Calibri"/>
        <family val="2"/>
      </rPr>
      <t xml:space="preserve">Poner en marcha la Escuela Itinerante de Formación en Derechos y Formación Política con enfoque de Paz </t>
    </r>
    <r>
      <rPr>
        <sz val="11"/>
        <rFont val="Calibri"/>
        <family val="2"/>
        <scheme val="minor"/>
      </rPr>
      <t xml:space="preserve">
</t>
    </r>
  </si>
  <si>
    <r>
      <rPr>
        <sz val="11"/>
        <rFont val="Calibri"/>
        <family val="2"/>
      </rPr>
      <t>Escuela Itinerante de Formación en Derechos y Formación Política con enfoque de Paz puesta en marcha</t>
    </r>
    <r>
      <rPr>
        <sz val="11"/>
        <rFont val="Calibri"/>
        <family val="2"/>
        <scheme val="minor"/>
      </rPr>
      <t xml:space="preserve">
</t>
    </r>
  </si>
  <si>
    <t xml:space="preserve">Capacitar a 1260 mujeres, 30 por municipio, cuentan con herramientas para la promoción y defensa de los derechos humanos de las mujeres en los diferentes escenarios de participación y decisión social y política.                                                        
</t>
  </si>
  <si>
    <t xml:space="preserve">Número de mujeres con herramientas para la promoción y defensa de los derechos humanos en los diferentes escenarios de participación y decisión social y política  capacitadas                                                  
</t>
  </si>
  <si>
    <t>Poner en marcha 21 mecanismos de género para la inclusión de los intereses y necesidades de las mujeres en las agendas públicas y para la promoción de la participación política y ciudadana de las mujeres</t>
  </si>
  <si>
    <t xml:space="preserve">Número de mecanismos de género para la inclusión de los intereses y necesidades de las mujeres en las agendas públicas y para la promoción de la participación política y ciudadana de las mujeres puestos en marcha </t>
  </si>
  <si>
    <t>OOOOO</t>
  </si>
  <si>
    <t>Pacificio, Norte, Sur, Oriente, Occidente, Centro, Macico</t>
  </si>
  <si>
    <t>42 Enlaces, (Mueres Afro Indigena, Campesinas, jovenes Adultas (tenieno en cuenta el componente etnico y sociocultural)</t>
  </si>
  <si>
    <t>42 visitas técnicas a las enlaces</t>
  </si>
  <si>
    <t>Dra Elvia Rocio Cuenca (Tatiana Tamayo -Coordinadora)</t>
  </si>
  <si>
    <t>Aumentar a 150 el número de organizaciones de mujeres, (en las diferentes sub-regiones del departamento) con plan de mejoramiento para incrementar su Índice de Capacidad Organizativa</t>
  </si>
  <si>
    <t>Número de organizaciones de mujeres, (en las diferentes sub-regiones del departamento) con plan de mejoramiento para incrementar su Índice de Capacidad Organizativa</t>
  </si>
  <si>
    <t>12 Organizaciones de mujeres con Plan de Mejoramiento</t>
  </si>
  <si>
    <t>Autonomía y empoderamiento económico para las mujeres.</t>
  </si>
  <si>
    <t>Gestionar oportunidades para mujeres frente al acceso de activos y  generación de ingresos constantes encaminados a lograr su autonomía económica.</t>
  </si>
  <si>
    <t>Caracterizar 150 organizaciones de mujeres para el establecimiento del índice de capacidad organizativa en las diferentes sub-regiones del departamento</t>
  </si>
  <si>
    <t>Número de organizaciones de mujeres caracterizadas para el establecimiento del índice de capacidad organizativa en las diferentes sub-regiones del departamento</t>
  </si>
  <si>
    <t xml:space="preserve">Realizar 150 talleres de capacitación a mujeres sobre medición de su Índice de Capacidad Organizativa -ICO y formulación de Planes de Mejoramiento </t>
  </si>
  <si>
    <t xml:space="preserve">Número de talleres de capacitación a mujeres sobre medición de su Índice de Capacidad Organizativa -ICO y formulación de Planes de Mejoramiento realizados </t>
  </si>
  <si>
    <t>Formular 150 planes de mejoramiento con base en los resultados de la caracterización</t>
  </si>
  <si>
    <t xml:space="preserve">Número de planes de mejoramiento con base en los resultados de la caracterización formulados  </t>
  </si>
  <si>
    <t>Mejorar en las 7 sub-regiones del departamento las condiciones de las organizaciones de las mujeres que cuentan con herramientas de gestión para mejorar su nivel de ingresos a través  de emprendimientos productivos de impacto sub-regional</t>
  </si>
  <si>
    <t xml:space="preserve">Número de sub-regiones del departamento con las condiciones de las organizaciones de las mujeres que cuentan con herramientas de gestión para mejorar su nivel de ingresos a través  de emprendimientos productivos de impacto sub-regional mejoradas </t>
  </si>
  <si>
    <t xml:space="preserve">Capacitar a 1260 mujeres con vocación de producción en fortalecimiento socio-empresarial                                                                                                            </t>
  </si>
  <si>
    <t>Número de mujeres con vocación de producción en fortalecimiento socio-empresarial capacitadas</t>
  </si>
  <si>
    <t xml:space="preserve">Realizar 4 ferias de intercambios de experiencias ejemplificantes en procesos de producción y comercialización, con mujeres con vocación de producción                                                                                                                                       </t>
  </si>
  <si>
    <t>Número de ferias de intercambios de experiencias ejemplificantes en procesos de producción y comercialización, con mujeres con vocación de producción realizadas</t>
  </si>
  <si>
    <t>Nota: se encuentra en formulacion</t>
  </si>
  <si>
    <t>oooooo</t>
  </si>
  <si>
    <t>Mujer campesina, indigena y afro</t>
  </si>
  <si>
    <t xml:space="preserve">Organizaciones apoyadas para abrir espacios comerciales y posicionamiento del producto </t>
  </si>
  <si>
    <t>Dra Elvia Rocio Cuenca (Ana Maria Pinillos -Coordinadora</t>
  </si>
  <si>
    <t xml:space="preserve">Este valor  es el presupuesto por Regalias  proyecto y recursos propios </t>
  </si>
  <si>
    <t xml:space="preserve">Impulsar 10 emprendimientos de organizaciones de mujeres </t>
  </si>
  <si>
    <t xml:space="preserve">Número de emprendimientos de organizaciones de mujeres impulsados </t>
  </si>
  <si>
    <t>18 Mpios: Argelia ,Balboa,  Caloto, Corinto, Guachene,Guapi, Inza,Miranda , Piamonte, Popaya,Piendamo , San Sebastian, Sotará, Suares,Totoró, Tambo, Timbiqui, Timbio,</t>
  </si>
  <si>
    <t>Mujer campesina, indigena y afro ( 28 organizaciones y en total 655)</t>
  </si>
  <si>
    <t xml:space="preserve"> No.Organizaciones fortalecidas, Espacios Comerciales y mujeres formadas  en comercializacion </t>
  </si>
  <si>
    <t>Este valor  es alto de acuerdo  el presupuesto del proyecto presupuestado con recursos de  Regalias</t>
  </si>
  <si>
    <t>Formular 7 perfiles de proyectos productivos en conjunto con las organizaciones de mujeres</t>
  </si>
  <si>
    <t xml:space="preserve">Número de perfiles de proyectos productivos en conjunto con las organizaciones de mujeres formulados </t>
  </si>
  <si>
    <t xml:space="preserve">Aumentar en un 50% el conocimiento de las mujeres sobre el proceso de paz y los acuerdos de la mesa de negociación de la Habana </t>
  </si>
  <si>
    <t>Porcentaje del conocimiento de las mujeres sobre el proceso de paz y los acuerdos de la mesa de negociación de la Habana</t>
  </si>
  <si>
    <t xml:space="preserve">Mujeres A-portantes de paz y reconciliación </t>
  </si>
  <si>
    <t>Favorecer espacios de dialogo y memoria que aporten a la construcción de paz desde las miradas y sentires de las mujeres.</t>
  </si>
  <si>
    <r>
      <t>Implementar 4</t>
    </r>
    <r>
      <rPr>
        <sz val="11"/>
        <rFont val="Calibri"/>
        <family val="2"/>
      </rPr>
      <t xml:space="preserve"> </t>
    </r>
    <r>
      <rPr>
        <sz val="11"/>
        <rFont val="Calibri"/>
        <family val="2"/>
        <scheme val="minor"/>
      </rPr>
      <t xml:space="preserve">estrategias de re significación del territorio y construcción de memoria histórica contada por las Mujeres como acciones para la no repetición
</t>
    </r>
  </si>
  <si>
    <t xml:space="preserve">Número de estrategias de re significación del territorio y construcción de memoria histórica contada por las Mujeres como acciones para la no repetición implementadas 
</t>
  </si>
  <si>
    <t>Número de estrategias de re significación del territorio y construcción de memoria histórica contada por las Mujeres como acciones para la no repetición implementadas</t>
  </si>
  <si>
    <t>Apoyar 4 iniciativas desarrolladas por organizaciones de mujeres víctimas del conflicto en torno a la paz y reconstrucción del tejido social</t>
  </si>
  <si>
    <t xml:space="preserve">Número de iniciativas desarrolladas por organizaciones de mujeres víctimas del conflicto en torno a la paz y reconstrucción del tejido social apoyadas </t>
  </si>
  <si>
    <t>Promover 2 procesos (uno con mujeres afro y otro con mujeres indígenas) para la reconstrucción del tejido social, desde sus procesos socioculturales, saberes ancestrales, y prácticas culturales</t>
  </si>
  <si>
    <t>Número de procesos (con mujeres indígenas y afros) para la reconstrucción del tejido social, desde sus procesos socioculturales, saberes ancestrales, y prácticas culturales promovidos</t>
  </si>
  <si>
    <t>Capacitar 4000 mujeres en los contenidos de los acuerdos de paz y la normatividad vigente que tenga relación con las mujeres víctimas del conflicto armado</t>
  </si>
  <si>
    <t xml:space="preserve">Número de mujeres en los contenidos de los acuerdos de paz y la normatividad vigente que tenga relación con las mujeres víctimas del conflicto armado capacitadas </t>
  </si>
  <si>
    <t>Mujeres Aportantes de Paz y Reconciliación ( Nota proyecto en Formulacion)</t>
  </si>
  <si>
    <t>TORIBIO, SUAREZ , QUILICHAO, PIENDAMO, PATIA, MORALES, MIRANDA, MERCADERES, JAMBALO, EL TAMBO, CORINTO, CALOTO, CALDONO, CAJIBIO, BUENOS AIRES, BALBOA, ARGELIA, TIMBIQUI Y POPAYAN</t>
  </si>
  <si>
    <t>CENTRO, NORTE, SUR Y COSTA</t>
  </si>
  <si>
    <t>1500 (Afro, indigenas y mestizas)</t>
  </si>
  <si>
    <t>4 Jornadas de Asistencia Tëcnica por municipio, sobre el enfoque de genero en el acuerdo final y rutas de incidencia para la Implementacion. Una asistencia técnica en el Consejo Comunitario Renacer  Negro de Timbiqui</t>
  </si>
  <si>
    <t>Dra Elvia Rocio Cuenca (Viviana Ramirez Coordinadora)</t>
  </si>
  <si>
    <t>Fortalecer la administración Departamental para la transversalización del enfoque de género.</t>
  </si>
  <si>
    <t>Poner en marcha el Observatorio de asuntos de género y derechos humanos de las mujeres mediante un proceso de articulación institucional</t>
  </si>
  <si>
    <t xml:space="preserve">Observatorio de asuntos de género y derechos humanos de las mujeres mediante un proceso de articulación institucional puesto en marcha </t>
  </si>
  <si>
    <t xml:space="preserve">Realizar 2 monitoreos sobre la situación de los derechos humanos de las Mujeres, establecidos en la Política Pública de Mujeres del Cauca, desde el enfoque subregional y diferencial                                                                           </t>
  </si>
  <si>
    <t xml:space="preserve">Número de monitoreos sobre la situación de los derechos humanos de las Mujeres, establecidos en la Política Pública de Mujeres del Cauca, desde el enfoque subregional y diferencial                                     </t>
  </si>
  <si>
    <t>Nota  se encuentra en Formulacion</t>
  </si>
  <si>
    <t>OOOOOO</t>
  </si>
  <si>
    <t>Patia, Balboa, Argelia, Bolivar, Mercaderes, Florencia, Sucre</t>
  </si>
  <si>
    <t>Mujeres,  Afro, Indigena, Campesina, Mestiza</t>
  </si>
  <si>
    <t xml:space="preserve">Tres ( 3) seguimientos, 4 publicaciones al año, y 2 reuniones de socializacion </t>
  </si>
  <si>
    <t>Dra Elvia Rocio Cuenca Bonilla         (Libardo Solarte Gomez)</t>
  </si>
  <si>
    <t>Se registra este valor de Acuerdo al Presupuesto del   proyecto y se va a ejecutar solamente con regalias y Recursos de  gestion</t>
  </si>
  <si>
    <t>Incluir en el 80 % de los proyectos viabilizados por el Banco de Programas y Proyectos del Departamento formulados por las Secretarías el enfoque de género</t>
  </si>
  <si>
    <t xml:space="preserve">Porcentaje de los proyectos viabilizados por el Banco de Programas y Proyectos del Departamento formulados por las Secretarías el enfoque de género incluido </t>
  </si>
  <si>
    <t>Transversalización del enfoque de género y fortalecimiento institucional</t>
  </si>
  <si>
    <t xml:space="preserve">Conformar un equipo con delegados de cada una de las Secretarías y Oficinas Asesoras para poner en marcha acciones de transversalización y el fortalecimiento del enfoque de género en cada una de las dependencias de la Gobernación del Cauca.                       </t>
  </si>
  <si>
    <t xml:space="preserve">Equipo con delegados de cada una de las Secretarías y Oficinas Asesoras para poner en marcha acciones de transversalización y el fortalecimiento del enfoque de género en cada una de las dependencias de la Gobernación del Cauca conformado   </t>
  </si>
  <si>
    <t>Implementación De Mecanismos Y Estrategias Para Fortalecer La Transversalizacion de Género De Mujer En El
Departamento Del Cauca</t>
  </si>
  <si>
    <t>CENTRO, NORTE, SUR, PACIFICO MACIZO,ORIENTE, OCCIDENTE</t>
  </si>
  <si>
    <t>Funacionarios, Funacionarias de  empresas publicas y privadas,</t>
  </si>
  <si>
    <t>Un diplomado Presupuesto sensibles al Genero y 60 eventos de formación para hombre y mujeres de entidades publicas y privadas</t>
  </si>
  <si>
    <t>Dra Elvia Rocio Cuenca Bonilla (Coordinadora Sandra Ochoa)</t>
  </si>
  <si>
    <t xml:space="preserve"> Implementar un plan de capacitación sobre enfoque de género dirigido a funcionarias y funcionarios de las Secretarías y Oficinas Asesoras </t>
  </si>
  <si>
    <t xml:space="preserve">Número de planes de capacitación sobre enfoque de género dirigido a funcionarias y funcionarios de las Secretarías y Oficinas Asesoras implementado </t>
  </si>
  <si>
    <t>Funacionarios, Funacionarias de  empresas publicas y privadas y Universidades</t>
  </si>
  <si>
    <t>94 talleres , eventos de capacitacion 42 estudiantes  secundarias, 42 docentes y 10 con estudiantes y docentes universitarios, 35 seminarios dirigido liderezas de organizaciones sociales de base (para el liderazgo)</t>
  </si>
  <si>
    <t xml:space="preserve">Implementar 4 planes para la transversalización del enfoque de género que incluyan acciones en cada Secretaría y Oficina Asesora de la Administración Departamental. </t>
  </si>
  <si>
    <t xml:space="preserve">Número de planes para la transversalización del enfoque de género que incluyan acciones en cada Secretaría y Oficina Asesora de la Administración Departamental implementados </t>
  </si>
  <si>
    <t>Dirigido Un plan  de transversalizacion a Industria Licorera</t>
  </si>
  <si>
    <t>Institucionalizar el Sello de buenas prácticas de equidad de género</t>
  </si>
  <si>
    <t xml:space="preserve">Sello de buenas prácticas de equidad de género institucionalizado </t>
  </si>
  <si>
    <t>Proceso de capacitacion, sensibilización y selección de empresas publicas y privadas para implementacion del sellos de buenas prácticas</t>
  </si>
  <si>
    <t>Aumentar en 50% el conocimiento sobre derechos sexuales y reproductivos en el 80% de los y las participantes de campañas que impulse la Secretaría de la Mujer</t>
  </si>
  <si>
    <t xml:space="preserve">Porcentaje del conocimiento sobre derechos sexuales y reproductivos en el 80% de los y las participantes de campañas que impulse la Secretaría de la Mujer </t>
  </si>
  <si>
    <t>Mujer, salud, derechos sexuales y reproductivos</t>
  </si>
  <si>
    <t>Desarrollar estrategias de prevención para la promoción de los derechos sexuales y reproductivos.</t>
  </si>
  <si>
    <t xml:space="preserve">Realizar 4 campañas para prevención de cáncer de cuello uterino                                                     </t>
  </si>
  <si>
    <t xml:space="preserve">Número de campañas para prevención de cáncer de cuello uterino realizadas                                                     </t>
  </si>
  <si>
    <t>Apoyo al mejoramiento de la salud sexual y reproductiva de las mujeres caucanas”</t>
  </si>
  <si>
    <t>0oooo</t>
  </si>
  <si>
    <t>ARGELIA, BALBOA, BOLIVAR, CALDONO, FLORENCIA, LA SIERRA, MERCADERES, PATIA, PUERTO TEJADA, ROSAS, SOTARA</t>
  </si>
  <si>
    <t>CENTRO, NORTE, SUR, MACIZO.</t>
  </si>
  <si>
    <t>Servicio de promoción de los derechos sexuales y reproductivos y la equidad de género a través de 11 campañas, Una por cada municipios seleccionado para la ejecución del proyecto</t>
  </si>
  <si>
    <t>Dra Elvia Rocio Cuenca Bonilla (Coordinadora Jisel Pinto)</t>
  </si>
  <si>
    <t xml:space="preserve">Realizar 4 campañas para prevención de cáncer de seno                                          </t>
  </si>
  <si>
    <t xml:space="preserve">Número de campañas para prevención de cáncer de seno realizadas                                                                                       </t>
  </si>
  <si>
    <t xml:space="preserve">Realizar 4 campañas para prevenir el contagio de enfermedades e infecciones de transmisión sexual en mujeres                                         </t>
  </si>
  <si>
    <t xml:space="preserve">Número de campañas para prevenir el contagio de enfermedades e infecciones de transmisión sexual en mujeres realizadas                                                                               </t>
  </si>
  <si>
    <t>Realizar 4 campañas para la prevención del embarazo adolescente y embarazo subsiguiente</t>
  </si>
  <si>
    <t xml:space="preserve">Número de campañas para la prevención del embarazo adolescente y embarazo subsiguiente realizadas                                                     </t>
  </si>
  <si>
    <t xml:space="preserve">Realizar 7 Conversatorios con grupos, organizaciones y/o redes de mujeres sobre sexualidad y derechos sexuales y reproductivos </t>
  </si>
  <si>
    <t xml:space="preserve">Número de conversatorios con grupos, organizaciones y/o redes de mujeres sobre sexualidad y derechos sexuales y reproductivos realizadas                                                      </t>
  </si>
  <si>
    <t>BOLIVAR</t>
  </si>
  <si>
    <t xml:space="preserve">Mujer, salud, derechos sexuales y reproductivos </t>
  </si>
  <si>
    <t xml:space="preserve"> Realizar 3 jornadas de capacitación dirigidas a las ESE´s del Departamento del Cauca y a operadores de justicia en la Sentencia 355 del 2008 (Interrupción Voluntaria del Embarazo – IVE)</t>
  </si>
  <si>
    <t xml:space="preserve">Número de jornadas de capacitación dirigidas a las ESE´s del Departamento del Cauca y a operadores de justicia en la Sentencia 355 del 2008 (Interrupción Voluntaria del Embarazo – IVE) realizadas                                                      </t>
  </si>
  <si>
    <t>DEPENDENCIA RESPONSABLE: SECRETARÍA DE LA MUJER</t>
  </si>
  <si>
    <r>
      <rPr>
        <b/>
        <sz val="10"/>
        <rFont val="Arial"/>
        <family val="2"/>
      </rPr>
      <t>DEPENDENCIA RESPONSABLE</t>
    </r>
    <r>
      <rPr>
        <sz val="10"/>
        <rFont val="Arial"/>
        <family val="2"/>
      </rPr>
      <t xml:space="preserve">: </t>
    </r>
    <r>
      <rPr>
        <u/>
        <sz val="10"/>
        <rFont val="Arial"/>
        <family val="2"/>
      </rPr>
      <t>OFICINA ASESORA PARA LA GESTION DEL RIESGO DE DESASTRE</t>
    </r>
    <r>
      <rPr>
        <sz val="10"/>
        <rFont val="Arial"/>
        <family val="2"/>
      </rPr>
      <t>S</t>
    </r>
  </si>
  <si>
    <t>Gestión del riesgo</t>
  </si>
  <si>
    <t>Incrementar en el 131% la Inversión promedio per cápita Departamental para la prevención de desastres</t>
  </si>
  <si>
    <t xml:space="preserve">Porcentaje de la inversión promedio per cápita Departamental para la prevención de desastres incrementada </t>
  </si>
  <si>
    <t xml:space="preserve">724   (998.000/1379169 -Inversión sectorial reportada/ Población total del Dpto.) </t>
  </si>
  <si>
    <t>Conocimiento del riesgo</t>
  </si>
  <si>
    <t>Conocer el riesgo (Identificar, analizar, monitorear y comunicar el riesgo)</t>
  </si>
  <si>
    <t>Ajustar el Plan Departamental de Gestión del Riesgo  acorde a la ley 1523/2012 y al Plan Nacional de gestión del riesgo</t>
  </si>
  <si>
    <t>Número de Planes Departamentales de Gestión del Riesgo de Desastres ajustados</t>
  </si>
  <si>
    <t xml:space="preserve">1 Plan Departamental de Gestión del Riesgo formulado </t>
  </si>
  <si>
    <t xml:space="preserve"> “FORTALECIMIENTO DEL PROCESO DE CONOCIMIENTO DEL RIESGO DE DESASTRES A TRAVÉS DE LA IMPLEMENTACION DEL COMPONENTE TECNICO PARA LA  IDENTIFICACIÓN DE ESCENARIOS DE RIESGO, SU ANÁLISIS, SU EVALUACIÓN, MONITOREO, SEGUIMIENTO  Y  COMUNICACIÓN  DEL RIESGO Y SUS COMPONENTES PARA  ALIMENTAR LOS PROCESOS DE REDUCCIÓN DEL RIESGO Y DE MANEJO DE DESASTRES EN EL DEPARTAMENTO DEL CAUCA”</t>
  </si>
  <si>
    <r>
      <rPr>
        <b/>
        <sz val="11"/>
        <color theme="1"/>
        <rFont val="Calibri"/>
        <family val="2"/>
        <scheme val="minor"/>
      </rPr>
      <t>1.</t>
    </r>
    <r>
      <rPr>
        <sz val="11"/>
        <color theme="1"/>
        <rFont val="Calibri"/>
        <family val="2"/>
        <scheme val="minor"/>
      </rPr>
      <t xml:space="preserve"> Un documento que profundice la  identificación y caracterización de escenarios de riesgo que se encuentra en el documento departamental de GR.  
2.Un documento donde se identifique la Evaluación y priorización de las amenazas que requieren implementar el proceso de  monitoreo, seguimiento.
</t>
    </r>
    <r>
      <rPr>
        <b/>
        <sz val="11"/>
        <color theme="1"/>
        <rFont val="Calibri"/>
        <family val="2"/>
        <scheme val="minor"/>
      </rPr>
      <t>3</t>
    </r>
    <r>
      <rPr>
        <sz val="11"/>
        <color theme="1"/>
        <rFont val="Calibri"/>
        <family val="2"/>
        <scheme val="minor"/>
      </rPr>
      <t xml:space="preserve">. Un documento evaluado y armonizado con el PDGRD que contenga los protocolos y procedimientos de respuesta de la Estrategia Departamental de Respuesta a Emergencias – EDRE, según el análisis de los escenarios de riesgo.
</t>
    </r>
    <r>
      <rPr>
        <b/>
        <sz val="11"/>
        <color theme="1"/>
        <rFont val="Calibri"/>
        <family val="2"/>
        <scheme val="minor"/>
      </rPr>
      <t>4.</t>
    </r>
    <r>
      <rPr>
        <sz val="11"/>
        <color theme="1"/>
        <rFont val="Calibri"/>
        <family val="2"/>
        <scheme val="minor"/>
      </rPr>
      <t xml:space="preserve">- Un Sistema de Información para la Gestión de Riesgo de Desastres en el marco de las políticas, estándares y tecnologías de la Infraestructura Colombiana de Datos Espaciales implementado.
</t>
    </r>
    <r>
      <rPr>
        <b/>
        <sz val="11"/>
        <color theme="1"/>
        <rFont val="Calibri"/>
        <family val="2"/>
        <scheme val="minor"/>
      </rPr>
      <t>5.</t>
    </r>
    <r>
      <rPr>
        <sz val="11"/>
        <color theme="1"/>
        <rFont val="Calibri"/>
        <family val="2"/>
        <scheme val="minor"/>
      </rPr>
      <t xml:space="preserve"> Una Estrategia de Comunicaciones  de las condiciones de riesgo existentes en departamento del Cauca implementada.</t>
    </r>
  </si>
  <si>
    <t>Edith Janeth Paz Lennis - Planta</t>
  </si>
  <si>
    <r>
      <t xml:space="preserve">La planeación en la OAGRD  está sujeta a la ley 1523 la cual permite modificar la planificación y la distribución presupuestal dependiendo de las necesidades .- El presupuesto subio en cada meta debido a que las cuentas de gestion del riesgo son acumulables y se re distribuyo por </t>
    </r>
    <r>
      <rPr>
        <b/>
        <sz val="11"/>
        <color theme="1"/>
        <rFont val="Calibri"/>
        <family val="2"/>
        <scheme val="minor"/>
      </rPr>
      <t>Gastos de Gestion</t>
    </r>
    <r>
      <rPr>
        <sz val="11"/>
        <color theme="1"/>
        <rFont val="Calibri"/>
        <family val="2"/>
        <scheme val="minor"/>
      </rPr>
      <t>.- La población objetivo en general son las personas en condición de amaneza y vulnerabilidad por fenómenos de origen natural.</t>
    </r>
  </si>
  <si>
    <t>Elaborar 1 Estrategia departamental  de Respuesta a Emergencias EDRE</t>
  </si>
  <si>
    <t xml:space="preserve"> Número de estrategias departamental de Respuesta a Emergencias EDRE elaborada</t>
  </si>
  <si>
    <t>“FORTALECIMIENTO DEL PROCESO DE CONOCIMIENTO DEL RIESGO DE DESASTRES A TRAVÉS DE LA IMPLEMENTACION DEL COMPONENTE TECNICO PARA LA  IDENTIFICACIÓN DE ESCENARIOS DE RIESGO, SU ANÁLISIS, SU EVALUACIÓN, MONITOREO, SEGUIMIENTO  Y  COMUNICACIÓN  DEL RIESGO Y SUS COMPONENTES PARA  ALIMENTAR LOS PROCESOS DE REDUCCIÓN DEL RIESGO Y DE MANEJO DE DESASTRES EN EL DEPARTAMENTO DEL CAUCA”</t>
  </si>
  <si>
    <t>Elaborar 1 mapa de escenarios de riesgo con estudios de amenaza y vulnerabilidad según demanda (regiones y/o municipios)</t>
  </si>
  <si>
    <t xml:space="preserve">Número de mapas de escenarios de riesgo con estudios de amenaza y vulnerabilidad según demanda (regiones y/o municipios) elaborados </t>
  </si>
  <si>
    <t>Edith Janeth Paz Lennis- planta</t>
  </si>
  <si>
    <t xml:space="preserve">Elaborar 1 Plan de Comunicación de las Condiciones de riesgo existentes en el departamento </t>
  </si>
  <si>
    <t xml:space="preserve">Número de planes de Comunicación de las Condiciones de Riesgo existentes en el Departamento elaborados </t>
  </si>
  <si>
    <t>Edith Janeth Paz Lennis - Planata</t>
  </si>
  <si>
    <t>Reducción del riesgo</t>
  </si>
  <si>
    <t>Intervenir prospectiva y correctivamente el riesgo</t>
  </si>
  <si>
    <t>Elaborar 1  ruta de intervención para ejecución obras de reducción</t>
  </si>
  <si>
    <t>Número de rutas   de Intervención para ejecución de obras de reducción elaborada</t>
  </si>
  <si>
    <t>FORTALECIMIENTO DE LOS PROCESOS DEL AÑO 2019 PARA LA REDUCCION DEL RIESGO EN EL DEPARTAMENTO DEL CAUCA</t>
  </si>
  <si>
    <t>MANTENER  LA CAPACIDAD EN  LA ELABORACION DE MMEDIDAS ESTRUCTURALES Y NO ESTRUCTURALES DE REDUCCION DEL RIESGO</t>
  </si>
  <si>
    <t>Sulma Nury Molano O- Planta p.</t>
  </si>
  <si>
    <t>Elaborar 1 ruta de asistencia técnica para la implementación integral de la Gestión del Riesgo</t>
  </si>
  <si>
    <t>Número de rutas de Asistencia Técnica en Gestión del Riesgo elaboradas</t>
  </si>
  <si>
    <t>ASISTENCIA TECNIA POR DEMANDA A LOS CMGRD Y AL CDGRD</t>
  </si>
  <si>
    <t>Manejo del desastre</t>
  </si>
  <si>
    <t xml:space="preserve">Preparar  la respuesta y su  ejecución  para la recuperación y su ejecución </t>
  </si>
  <si>
    <t>Implementar 1 procedimiento de preparación para la respuesta y la recuperación</t>
  </si>
  <si>
    <t>Número de procedimientos para la preparación para la respuesta y la recuperación  elaborado</t>
  </si>
  <si>
    <t xml:space="preserve">FORTALECIMIENTO DE LOS PROCESOS DEL AÑO 2019 PARA EL 
MANEJO DE DESASTRES EN EL DEPARTAMENTO DEL CAUCA
</t>
  </si>
  <si>
    <t xml:space="preserve"> - Asistir las situaciones de emergencia que se presenten en Departamento del Cauca, donde se supere la capacidad instalada por los Municipios, de acuerdo con los requerimientos de la entidad, llevando los registros e instrumentos definidos por la misma para la atención de emergencias.
- Acompañar las actividades relacionadas en la implementación de los procedimientos de formulación e implementación del proceso de Manejo de Desastres del riesgo en el departamento del cauca en la Oficina Asesora de Gestión del Riesgo de Desastres OAGRD – Cauca.
</t>
  </si>
  <si>
    <t>Dicknar Yesid Urbano Ocampo _ Planta</t>
  </si>
  <si>
    <t>Implementar 1 Procedimiento  de ejecución de respuesta a emergencias</t>
  </si>
  <si>
    <t>Número de procedimientos de respuesta a emergencias elaborados</t>
  </si>
  <si>
    <t xml:space="preserve"> - Acompañar a la oficina y Departamento en la formulación e/o implementación de las propuestas, políticas, estrategias, instrumentos (o los que se consideren pertinentes), para la gestión de emergencias en el Departamento del Cauca.
 - Asistir y participar en las reuniones, puestos de mando unificado, capacitaciones, foros, jornadas de sensibilización y demás actividades a las cuales sea designado por la entidad y sean inherentes al cumplimiento del componente de Manejo de Desastres.</t>
  </si>
  <si>
    <t xml:space="preserve">Implementar 1 Sala de Crisis para la gestión del riesgo </t>
  </si>
  <si>
    <t>Número de salas de Crisis para la gestión del riesgo implementadas</t>
  </si>
  <si>
    <t xml:space="preserve">  - Dar soporte a las diferentes alcaldías del Departamento del Cauca, en los temas inherentes a la respuesta a la atención, mitigación, actuación y administración de emergencias, con base en las políticas de la y los lineamientos de la entidad y liderar las diferentes jornadas de capacitación a la ciudadanía y entidades en los temas propios de la Oficina Asesora de Gestión del Riesgo de Desastres OAGRD – Cauca.
 - Suministrar información a comunidades, instituciones y localidades según los lineamientos y políticas de la entidad y mantener actualizadas las bases de datos de la información generada en el área de respuesta en el ámbito de sus competencias.
 - Apoyar a los municipios que requieran información sobre el manejo de los datos estadisticos e información requerida para el componente de manejo de desastres.
 - Interactuar con las entidades  del Sistema Nacional y Departamental suministrando información requerida sobre datos de afectación, estadísticos, consolidados por temporadas y emergencias diarias y la actualización de la base de datos de afectación y emergencia </t>
  </si>
  <si>
    <r>
      <rPr>
        <b/>
        <sz val="10"/>
        <rFont val="Arial"/>
        <family val="2"/>
      </rPr>
      <t>DEPENDENCIAS DE APOYO</t>
    </r>
    <r>
      <rPr>
        <sz val="10"/>
        <rFont val="Arial"/>
        <family val="2"/>
      </rPr>
      <t xml:space="preserve">: </t>
    </r>
    <r>
      <rPr>
        <u/>
        <sz val="10"/>
        <rFont val="Arial"/>
        <family val="2"/>
      </rPr>
      <t>S</t>
    </r>
    <r>
      <rPr>
        <sz val="10"/>
        <rFont val="Arial"/>
        <family val="2"/>
      </rPr>
      <t xml:space="preserve">UBPROCESO DE CONOCIMIENTO DEL RIESGO DE DESASTRES                                  </t>
    </r>
  </si>
  <si>
    <t xml:space="preserve">VALOR ACTUAL (2018)
</t>
  </si>
  <si>
    <t xml:space="preserve">Mejorar en 13 municipios la capacidad de ejecución de recursos de transferencia y empoderamiento en el sector deporte   </t>
  </si>
  <si>
    <t>Municipios con la capacidad de ejecución de recursos de transferencia y empoderamiento en el sector deporte mejorados</t>
  </si>
  <si>
    <t>Organización y Fortalecimiento del Sector Deporte</t>
  </si>
  <si>
    <t>Mejorar la capacidad  de gestión y ejecución en los recursos de transferencia de iva y tabaco y empoderamiento del sector deporte</t>
  </si>
  <si>
    <t>Brindar asistencia técnica a 42 municipios  para mejorar  la capacidad de gestión y ejecución  de recursos de transferencia.</t>
  </si>
  <si>
    <t>Número de municipios con asistencia técnica  para mejorar e la capacidad de gestión y ejecución  de recursos de transferencia brindada</t>
  </si>
  <si>
    <t xml:space="preserve">22 municipios </t>
  </si>
  <si>
    <t>sin nombre</t>
  </si>
  <si>
    <t>sin código</t>
  </si>
  <si>
    <t xml:space="preserve">Los 42 municipios </t>
  </si>
  <si>
    <t>las siete subregiones</t>
  </si>
  <si>
    <t>859.780 personas de todo el Dpto del Cauca</t>
  </si>
  <si>
    <t>los 42 municipios del Departamento del Cauca, con actividades  físicas,  ludicas deportivas  y deporte convencional y adaptado fortalecido - Municipios dotados de implementación deportiva -  Municipios con la realización de eventos deportivos</t>
  </si>
  <si>
    <t>Ana Lídis Bolaños Y Alejandra Martinez</t>
  </si>
  <si>
    <t xml:space="preserve">Brindar asistencia técnica a 42 municipios para el empoderamiento de las políticas públicas del deporte </t>
  </si>
  <si>
    <t xml:space="preserve">Número de municipios con asistencia técnica para el empoderamiento de las políticas públicas del deporte brindada </t>
  </si>
  <si>
    <t xml:space="preserve">42 municipios </t>
  </si>
  <si>
    <t>mantenimiento</t>
  </si>
  <si>
    <t>100 personas pobación simple</t>
  </si>
  <si>
    <t>Municipios capacitados en políticas públicas</t>
  </si>
  <si>
    <t>Mauricio Martinez, Leon Ramiro Ordoñez</t>
  </si>
  <si>
    <t xml:space="preserve">Beneficiar a 33.125 nuevas personas  (niños, niñas, infantes, adolescentes, jóvenes, adultos, adultos mayores)  con actividades de formación integral,  convivencia y paz. </t>
  </si>
  <si>
    <t xml:space="preserve">Nuevas personas  (niños, niñas, infantes, adolescentes, jóvenes, adultos, adultos mayores)  con actividades de formación integral,  convivencia y paz beneficiados </t>
  </si>
  <si>
    <t>414.074 personas participantes</t>
  </si>
  <si>
    <t>Cauca Territorio de Convivencia y Paz</t>
  </si>
  <si>
    <t>Contribuir al proceso de formación integral y convivencia de los niños, niñas, infantes, adolescentes, jóvenes, adultos, adultos mayores  a través de la práctica deportiva, recreativa y actividad física con un enfoque  social y participativo  en organizaciones sociales, institucionales, comunitarias y con enfoque diferencial que permita crear espacios de convivencia y paz</t>
  </si>
  <si>
    <t>Beneficiar a 1.587  nuevos niños, niñas, infantes, adolescentes y jóvenes  con el  programas de formación integral, de paz y convivencia.</t>
  </si>
  <si>
    <t xml:space="preserve">Número de nuevos niños, niñas, infantes, adolescentes y jóvenes  con el  programas de formación integral, de paz y convivencia beneficiados </t>
  </si>
  <si>
    <t>19,835 niños y niñas atendidos</t>
  </si>
  <si>
    <t>Popayán, Piendamó, Puerto Tejada y Villa Rica.</t>
  </si>
  <si>
    <t>Centro y Norte</t>
  </si>
  <si>
    <t>5.450 personas (1,445 afros; 295 indígenas; 550 campesinos; 3.160 población simple)</t>
  </si>
  <si>
    <t xml:space="preserve">Niños en actividades recreativas regulares; Festival Recreativo ; Campamento Departamental; Campamento Nacional y Actividades recreativas masivas primera infancia adolescencia y juventud </t>
  </si>
  <si>
    <t>Adriana Ordoñez y Deisy Llantén</t>
  </si>
  <si>
    <t>La cofinanciacion corresponde a recursos de Coldeportes</t>
  </si>
  <si>
    <t>Beneficiar a 25.596 nuevos participantes con programas de hábitos y estilos de vida saludable.</t>
  </si>
  <si>
    <t>Número de nuevos participantes con programas de hábitos y estilos de vida saludable Beneficiados</t>
  </si>
  <si>
    <t>319,947 participantes</t>
  </si>
  <si>
    <t>Puerto tejada, Miranda,  Santander de Quilichao, Piendamo, Silvia, Popayán, Timbio, Rosas, Patia, Bolivar</t>
  </si>
  <si>
    <t>Norte, Centro, Oriente, Sur y Macizo Colombiano</t>
  </si>
  <si>
    <t>83.591 personas entre 18 y 60 años. (9.422 afros; 6.842 indígenas; 9.282 indígenas; 61.199 población simple)</t>
  </si>
  <si>
    <t>70 grupos regulares; 14 grupos no regulares; 1 celebración dia mundial de la actividad física; 254 eventos masivos y de promoción; 36 asesorías a instituciones u organizaciones; 36 consejería a hogares.</t>
  </si>
  <si>
    <t>CHARLIE HERNANDEZ ORDOÑEZ GESTOR DEPARTAMENTAL</t>
  </si>
  <si>
    <t>Beneficiar a 976 nuevos adultos mayores  con programas de  integración social.</t>
  </si>
  <si>
    <t>Número de nuevos adultos mayores  con programas de  integración social beneficiados</t>
  </si>
  <si>
    <t xml:space="preserve">12,200 adultos participantes </t>
  </si>
  <si>
    <t>Popayán, Mercaderes, Patía y 
Santander de Quilichao en actividades regulares y 42 mpios en encuentro Departamental</t>
  </si>
  <si>
    <t>Centro, Norte y sur</t>
  </si>
  <si>
    <t>3.496 personas ( 754 afros; 302 indígenas; 444 campesinos; 1,996 población simple)</t>
  </si>
  <si>
    <t>Actividades Recreativas  regulares; Encuentro Departamental del Adulto Mayor; Encuentro Nacional del Adulto Mayor.</t>
  </si>
  <si>
    <t>Beneficiar a 3.608 nuevos  participantes en  eventos deportivos y recreativos.</t>
  </si>
  <si>
    <t>Número de nuevos  participantes en  eventos deportivos y recreativo beneficiados</t>
  </si>
  <si>
    <t>45,100 personas participantes</t>
  </si>
  <si>
    <t>7 zonas del Departamento</t>
  </si>
  <si>
    <t>12.700 personas (Población simple)</t>
  </si>
  <si>
    <t>Eventos masivos apoyados, media maraton Gobernación del Cauca, Juegos Deportivos Departamentales</t>
  </si>
  <si>
    <t>Mauricio Martinez, Leon Ramiro Ordoñez y Victor Muñoz</t>
  </si>
  <si>
    <t>Beneficiar a 1.216 nuevas personas de comunidades étnicas con programas de deporte recreación y actividad física (afros, indígenas, room)</t>
  </si>
  <si>
    <t>Número de nuevas personas de comunidades étnicas con programas de deporte recreación y actividad física (afros, indígenas, room) beneficiados</t>
  </si>
  <si>
    <t xml:space="preserve">15.208 personas de las comunidades étnicas beneficiadas </t>
  </si>
  <si>
    <t>3.976 personas de comunidades étnicas</t>
  </si>
  <si>
    <t xml:space="preserve">Eventos deportivos y recreativos; eventos de formación deportiva </t>
  </si>
  <si>
    <t>Beneficiar a 72 nuevas personas de comunidades Campesinas,  comunales, institucionales y organizaciones con enfoque diferencial con programas de deporte recreación y actividad física.</t>
  </si>
  <si>
    <t>Número de nuevas personas de comunidades Campesinas,  comunales, institucionales y organizaciones con enfoque diferencial con programas de deporte recreación y actividad física beneficiados</t>
  </si>
  <si>
    <t>900 personas de comunidades campesinas, comunales, institucionales y organizaciones con enfoque diferencial beneficiadas</t>
  </si>
  <si>
    <t>242 Personas de comunidades indígenas</t>
  </si>
  <si>
    <t xml:space="preserve">Eventos deportivos y recreativos. </t>
  </si>
  <si>
    <t xml:space="preserve">Beneficiar a 70 nuevas personas de capacidades diversas con programas de deporte recreación y actividad física </t>
  </si>
  <si>
    <t>Número de nuevas personas de capacidades diversas con programas de deporte recreación y actividad física beneficiados</t>
  </si>
  <si>
    <t>884 personas con capacidades diversas beneficiadas</t>
  </si>
  <si>
    <t>275 personas en situación de discapacidad</t>
  </si>
  <si>
    <t>un Festival recreativo</t>
  </si>
  <si>
    <t xml:space="preserve">Beneficiar a 5.185 nuevos deportistas con formación, iniciación, preparación y participación en competencias regionales,  nacionales e internacionales </t>
  </si>
  <si>
    <t xml:space="preserve">Nuevos deportistas con formación, iniciación, preparación y participación en competencias regionales,  nacionales e internacionales beneficiados </t>
  </si>
  <si>
    <t>Cauca Territorio de Campeones</t>
  </si>
  <si>
    <t>Fortalecer el trabajo  en el deporte formativo en las instituciones educativas y el deporte competitivo con las ligas de deporte   convencional y  adaptado, mediante el acompañamiento técnico y  financiero que permita seguir avanzando en el desarrollo y posición del Deporte en el ámbito nacional e internacional.</t>
  </si>
  <si>
    <t xml:space="preserve">Beneficiar a 400 nuevos deportistas con preparación y participación en competencias nacionales e internacionales </t>
  </si>
  <si>
    <t>Número de nuevos deportistas con preparación y participación en competencias nacionales e internacionales beneficiados</t>
  </si>
  <si>
    <t>3600 deportistas convencionales beneficiados</t>
  </si>
  <si>
    <t>Popayán, Puerto Tejada, Santander, Piendamo, Timbio y Tambo</t>
  </si>
  <si>
    <t>Norte y centro</t>
  </si>
  <si>
    <t>1020 personas deportistas</t>
  </si>
  <si>
    <t>21 ligas deporte convencional, con reppresentacion nacional en pre-juegos y juegos nacionales  en diferentes categorías</t>
  </si>
  <si>
    <t>Mauricio Martinez</t>
  </si>
  <si>
    <t xml:space="preserve">Beneficiar a 100 nuevos deportistas con capacidades diversas, en la preparación y participación en competencias nacionales e internacionales </t>
  </si>
  <si>
    <t xml:space="preserve">Número de nuevos deportistas con capacidades diversas, en la preparación y participación en competencias nacionales e internacionales beneficiados </t>
  </si>
  <si>
    <t>500 deportistas con capacidades diversas beneficiados</t>
  </si>
  <si>
    <t>Popayán, caloto, Santander de Quilichao, Piendamó, Timbio, Puerto Tejada, Bordo y Morales</t>
  </si>
  <si>
    <t>Norte, Centro y sur</t>
  </si>
  <si>
    <t>150 Personas (infantil: 1;5    adolecentes: 25; mayores:90;   adulto mayor:10</t>
  </si>
  <si>
    <t>Deportistas apoyados con asistencia técnica</t>
  </si>
  <si>
    <t>Diana Fábara</t>
  </si>
  <si>
    <t xml:space="preserve">Implementar 1 estrategia para articular el sector deporte con entidades del sector privado, sector académico y organismos del sector público </t>
  </si>
  <si>
    <t>Número de estrategia para articular el sector deporte con entidades del sector privado, sector académico y organismos del sector público implementadas</t>
  </si>
  <si>
    <t>1.170 personas de ligas convencionales y de deporte adaptado</t>
  </si>
  <si>
    <t>Convenios con Universidad autónoma, Antonio Nariño y Fundación Universitaria</t>
  </si>
  <si>
    <t xml:space="preserve">Beneficiar a 1.000  nuevos adolescentes y jóvenes en procesos de formación e iniciación con el programa fórmate </t>
  </si>
  <si>
    <t>Número de nuevos adolescentes y jóvenes en procesos de formación e iniciación con el programa fórmate beneficiados</t>
  </si>
  <si>
    <t>9.000 jóvenes y adolescentes beneficiados</t>
  </si>
  <si>
    <t>Implementacion de Centros Deportivos de Desarrollo Integral - CEDIN psra la consolidación de la convivencia y paz en los 42 municipios Todo el Departamento, Cauca, Occidente</t>
  </si>
  <si>
    <t>2016000030026</t>
  </si>
  <si>
    <t>10000 personas entre niños(as) y adolescentes</t>
  </si>
  <si>
    <t>50 Centros de Desarrollo Integral conformados en el departamento del Cauca;  17 Disciplinas deportivas en ejecución;  Capacitación a 133 Monitores.</t>
  </si>
  <si>
    <t>León Ramiro Ordoñez</t>
  </si>
  <si>
    <t>Recursos del SGR.</t>
  </si>
  <si>
    <t>Beneficiar a 4.185 nuevos  participantes con los programas de deporte estudiantil</t>
  </si>
  <si>
    <t>Número de nuevos  participantes con los programas de deporte estudiantil beneficiados</t>
  </si>
  <si>
    <t>83.700 jóvenes beneficiados</t>
  </si>
  <si>
    <t>30.000 personas entre niños(as) y adolescentes</t>
  </si>
  <si>
    <t>Deportistas Caucanos participando en Juegos Supérate Intercolegiados.</t>
  </si>
  <si>
    <t>Yeny Fernandez</t>
  </si>
  <si>
    <t>DEPENDENCIA RESPONSABLE: INDEPORTES</t>
  </si>
  <si>
    <t>DEPENDENCIA RESPONSABLE: SECRETARÍA GENERAL</t>
  </si>
  <si>
    <t>Cultura ciudadana de gestión y de servicio</t>
  </si>
  <si>
    <t>Alcanzar el 60% del índice de gobierno en línea</t>
  </si>
  <si>
    <t>Porcentaje del índice de gobierno en línea alcanzado</t>
  </si>
  <si>
    <t>39.25 %</t>
  </si>
  <si>
    <t>Implementación estratégica de tecnologías de la información ti</t>
  </si>
  <si>
    <t>Impulsar el buen gobierno en la gobernación del cauca mediante las tecnologías de la información ti.</t>
  </si>
  <si>
    <t>Alcanzar el 80% de los objetivos ti para servicios de la estrategia gobierno en línea.</t>
  </si>
  <si>
    <t>Porcentaje de los objetivos ti para servicios de la estrategia gobierno en línea alcanzado</t>
  </si>
  <si>
    <t>Fortalecimiento Tecnológico de la Gobernación del Cauca</t>
  </si>
  <si>
    <t>2016-019000-0149</t>
  </si>
  <si>
    <t>Occidente</t>
  </si>
  <si>
    <t>-Capacitación Realizada.
-Transferencias de Tecnologías realizadas para el fortalecimiento de las actividades productivas.</t>
  </si>
  <si>
    <t>Lider Oficina Gestión Tecnologica
Secretario General</t>
  </si>
  <si>
    <t>No se encuentra garantizado los recursos.</t>
  </si>
  <si>
    <t xml:space="preserve">Implementar en el 70% de las dependencias de la gobernación del cauca nueva red de telecomunicaciones </t>
  </si>
  <si>
    <t xml:space="preserve">Porcentaje de las dependencias de la gobernación del cauca nueva red de telecomunicaciones implementada </t>
  </si>
  <si>
    <t>-Obras de Adecuación A Centros de
                                                                                                                                                                                                                                                                -Cómputo Realizadas.
-Redes de Datos En Funcionamiento.
Mantenimiento Y Conservacion De
Equipos De Computacion</t>
  </si>
  <si>
    <t>No estan garantizado los recursos por parte del área financiera.</t>
  </si>
  <si>
    <t>Implementar el 30%  del marco de referencia de arquitectura empresarial para la gestión de las tecnologías de la información en la gobernación</t>
  </si>
  <si>
    <t xml:space="preserve">Porcentaje del marco de referencia de arquitectura empresarial para la gestión de las tecnologías de la información en la gobernación implementado </t>
  </si>
  <si>
    <t>Porcentaje de renovación de los equipos informáticos de la Entidad.
Porcentaje de disponibilidad canal de comunicaciónes.
Sistemas de información implementados.</t>
  </si>
  <si>
    <t>Lider Oficina Gestión Tecnologica
Secretario General.
Secretario de Educación.
Secretario de Salud.</t>
  </si>
  <si>
    <t>No estan garantizado los recursos por parte del área financiera.
Se requiere articulación efectiva con Secretaria de Educación y Secretaria de Salud, para el avance de la meta.</t>
  </si>
  <si>
    <t>Realizar 2 ferias de atención al ciudadano.</t>
  </si>
  <si>
    <t>Número de ferias de atención al ciudadano realizadas</t>
  </si>
  <si>
    <t>Meta cumplida.</t>
  </si>
  <si>
    <t>Ejecutar el 80 % del proyecto cauca vive digital.</t>
  </si>
  <si>
    <t>Porcentaje del proyecto vive digital ejecutado</t>
  </si>
  <si>
    <t>Lider Oficina Gestión Tecnologica.
Secretario General.</t>
  </si>
  <si>
    <t>Proyecto en proceso de formulación. Se están adelantando los trámites ante DNP OCAD Pacífico para revisión y verificación.</t>
  </si>
  <si>
    <t>Fortalecer el 100% de las dependencias de la administración departamental</t>
  </si>
  <si>
    <t>Porcentaje  de las dependencias  de la administración departamental fortalecidas</t>
  </si>
  <si>
    <t xml:space="preserve"> Modernización y fortalecimiento institucional</t>
  </si>
  <si>
    <t>Fortalecer  la gestión de la administración departamental para lograr mayor efectividad en la prestación de los servicios que permitan el posicionamiento del departamento</t>
  </si>
  <si>
    <t>Adecuar 4 edificaciones de propiedad de la Gobernación</t>
  </si>
  <si>
    <t>Número de edificaciones de propiedad de la Gobernación adecuadas</t>
  </si>
  <si>
    <t>RESTAURACIÓN, ADECUACIÓN Y DOTACIÓN DE LA PLANTA FÍSICA DE LA EDIFICACION UBICADA EN LA CALLE 5 NO 9-10 POPAYÁN.</t>
  </si>
  <si>
    <t>Edificaciones adecuadas</t>
  </si>
  <si>
    <t>Lider Oficina de Bienes y Servicios.
Secretario General.
Secretario Infraestructura.</t>
  </si>
  <si>
    <t>Se Solicito el CDP para ejecutar los recursos para adecuar la edificacion la antigua contraloria vigencia 2018 y no aprobado por el Despacho del Gobernador. se ajusto el proyecto para la vigencia 2019
Se solicito CDP  para adecuar los ascensores del nivel central y fue devuelto por el Despacho del Gobernador</t>
  </si>
  <si>
    <t xml:space="preserve">Construir 1 planta física del archivo general del departamento </t>
  </si>
  <si>
    <t>Número de planta físicas de archivo general del departamento construidas</t>
  </si>
  <si>
    <t xml:space="preserve">Lider Oficina de Bienes y Servicios.
Secretario General.
</t>
  </si>
  <si>
    <t xml:space="preserve">No se tiene proyecto.
</t>
  </si>
  <si>
    <t>Reponer 10 vehículos para diez dependencias</t>
  </si>
  <si>
    <t>Número de vehículos para diez dependencias repuestos</t>
  </si>
  <si>
    <t>Meta cumplida en la vigencia del 2016</t>
  </si>
  <si>
    <t>Modernizar 132 puestos de trabajo de los servidores públicos de la gobernación</t>
  </si>
  <si>
    <t>Número de puestos de trabajo de los servidores públicos de la gobernación modernizados</t>
  </si>
  <si>
    <t xml:space="preserve">Implementar 1 estrategia anual de visibilización y comunicación del   departamento en el ámbito Regional, Nacional e internacional </t>
  </si>
  <si>
    <t xml:space="preserve">Número de estrategias anuales de visibilización y comunicación del departamento en el ámbito Regional, Nacional e internacional implementadas </t>
  </si>
  <si>
    <t>Lider Oficina de Prensa</t>
  </si>
  <si>
    <t>Proyecto de Visibilización culmina a 31 de Diciembre del 2018</t>
  </si>
  <si>
    <t xml:space="preserve">Capacitar al 50% de los servidores públicos de la Gobernación en temas propios de las funciones  del cargo y del clima organizacional </t>
  </si>
  <si>
    <t xml:space="preserve">Porcentaje de los servidores públicos de la Gobernación capacitados  en temas propios de las funciones  del cargo y del clima organizacional </t>
  </si>
  <si>
    <t>DESARROLLO DEL PLAN INSTITUCIONAL DE CAPACITACIÓN PARA SERVIDORES PÚBLICOS DE LA GOBERNACIÓN DEL CAUCA PIC</t>
  </si>
  <si>
    <t xml:space="preserve">1436 Servidores Pùblicos de Gobernaciòn del Cauca.
</t>
  </si>
  <si>
    <t>Lider Oficina de Bienestar
Secretario General.</t>
  </si>
  <si>
    <t>Proyecto viabilizado desde el año 2017, a la fecha no se realizado ejecución.</t>
  </si>
  <si>
    <t xml:space="preserve">Implementar 1 estrategia para el fortalecimiento de las dependencias de la administración departamental   </t>
  </si>
  <si>
    <t xml:space="preserve">Número de estrategias para el fortalecimiento de las dependencias de la administración departamental implementadas   </t>
  </si>
  <si>
    <t>Fortalecimiento Institucional</t>
  </si>
  <si>
    <t>LIDER AREA GRUPO TALENTO HUMANO</t>
  </si>
  <si>
    <t>Se realiza la inversiòn de acuerdo a l as necesidades de las Secretarias y Oficinas Asesoras, en la contratciòn del Profesionales y Tecnicos.</t>
  </si>
  <si>
    <t>Sanear el 70% bienes inmuebles de propiedad del Departamento.</t>
  </si>
  <si>
    <t>Porcentaje de bienes inmuebles de propiedad del Departamento saneados</t>
  </si>
  <si>
    <t>Saneamiento de bienes  inmuebles del Departamento</t>
  </si>
  <si>
    <t>Legalizar y/o titular los bienes  inmuebles de propiedad del departamento.</t>
  </si>
  <si>
    <t>Legalizar y/o titular 150 bienes inmuebles de propiedad del departamento del cauca</t>
  </si>
  <si>
    <t>Número de bienes inmuebles de propiedad del departamento del cauca legalizados y/o titulados</t>
  </si>
  <si>
    <t>FORTALECIMIENTO EN LA GESTIÓN INSTITUCIONAL DE LA SECRETARIA GENERAL  DE LA GOBERNACIÓN DEL DEPARTAMENTO DEL CAUCA</t>
  </si>
  <si>
    <t>2018003190073</t>
  </si>
  <si>
    <t>175 bienes inmuebles de propiedad del departamento del cauca legalizados y/o titulados</t>
  </si>
  <si>
    <t xml:space="preserve">SECRETARIO GENERAL -Dr. Gustavo Adolfo Cifuetes- Profesioal Universitario- Oficina Asesora Juridica </t>
  </si>
  <si>
    <t>Actualizar el inventario de 150 bienes inmuebles del departamento</t>
  </si>
  <si>
    <t>Número de bienes inmuebles del departamento con inventario  actualizado</t>
  </si>
  <si>
    <t>Meta cumplida - Vigencia 2017</t>
  </si>
  <si>
    <t>Alcanzar el 100% de la clasificación,  ordenación y descripción del fondo acumulado de la Gobernación</t>
  </si>
  <si>
    <t>Porcentaje de la clasificación,  ordenación y descripción del fondo acumulado de la Gobernación alcanzada</t>
  </si>
  <si>
    <t>Gestión documental</t>
  </si>
  <si>
    <t xml:space="preserve">Aplicar la normatividad vigente del archivo general de nación para lograr que   el archivo central opere  técnicamente  </t>
  </si>
  <si>
    <t>Ordenar el 33% del fondo documental acumulado de la Gobernación</t>
  </si>
  <si>
    <t>Porcentaje del fondo documental ordenado</t>
  </si>
  <si>
    <t>SECRETARIO GENERAL 
LIDER GRUPO OFICINA GESTIÒN DOCUMENTAL.</t>
  </si>
  <si>
    <t>Meta cumplida</t>
  </si>
  <si>
    <t>Describir el 33 % del fondo documental acumulado en la Gobernación</t>
  </si>
  <si>
    <t>Porcentaje del fondo documental descrito</t>
  </si>
  <si>
    <t>FORTALECIMIENTO DE LOS PROCESOS DE TRASNPARENCIA Y ACCESO A LA INFORMACION EN LA GOBERNACION DEL CAUCA MEDIANTE LA INTERVENCION DE LOS FONDOS DOCUMENTALES ACUMULADOS EN EL ARCHIVO GENERAL DEL DEPARTAMENTO</t>
  </si>
  <si>
    <t>SSEPI No 2016-019000-0061</t>
  </si>
  <si>
    <t>42 Municipios del Departamento</t>
  </si>
  <si>
    <t xml:space="preserve">Proyecto en  la cual no se ha ejecutado en su totalidad, quedando un porcentaje,  se requiere la liquidaciòn por parte de los supervisores e innovar. </t>
  </si>
  <si>
    <t>Implementar en un 30% el sistema de gestión de la seguridad y salud en el trabajo para la Gobernación del Departamento</t>
  </si>
  <si>
    <t>Porcentaje de implementación del sistema gestión de la seguridad y salud en el trabajo para la Gobernación del Departamento implementado</t>
  </si>
  <si>
    <t>Sistema de Gestión de la Seguridad y Salud en el Trabajo.</t>
  </si>
  <si>
    <t>Mejorar las condiciones de salud y el medio ambiente de trabajo, que conlleva a la promoción y el mantenimiento del bienestar físico, mental y social de los trabajadores de la gobernación del departamento del cauca.</t>
  </si>
  <si>
    <t>Implementar 1 sistema de seguridad y salud en el trabajo para la gobernación del cauca</t>
  </si>
  <si>
    <t xml:space="preserve">Número de sistema de seguridad y salud en el trabajo para la gobernación del cauca implementados </t>
  </si>
  <si>
    <t>FORTALECIMIENTO DE LOS PROCESOS  DE GESTIÒN ORGANIZACIONAL Y DE SEGURIDAD Y SALUD EN EL TRABAJO EN LA GOBERNACIÒN DEL CAUCA.</t>
  </si>
  <si>
    <t>199,280,</t>
  </si>
  <si>
    <t>Un sistema de SST implementado</t>
  </si>
  <si>
    <t>SECRETARIO GENERAL 
LIDER GRUPO OFICINA BIENESTAR, SEGURIDAD Y SALUD EN EL TRABAJO.</t>
  </si>
  <si>
    <t>Se requiere del apoyo de un equipo interdisciplinario especializado, por tanto el proyecto involucra un Mèdico Especialista en Salud Ocupacional, una Psicòloga Especialista en Salud Ocupacional, un Fisioterapeuta Especialista en Salud Ocupacional y un Ingeniero Especialista en Higiene y Seguridad Industrial</t>
  </si>
  <si>
    <t>Incrementar en un 10% el resultado de evaluación del informe ejecutivo anual de control interno realizado por el  DAFP</t>
  </si>
  <si>
    <t>Porcentaje del resultado de evaluación del informe ejecutivo anual de control interno incrementado</t>
  </si>
  <si>
    <t>Actualización del sistema integrado de gestión  NTCGP1000-MECI 2014</t>
  </si>
  <si>
    <t>Implementar la ntcgp1000, en la Gobernación del cauca fortaleciendo la armonización de  MECI 2014.</t>
  </si>
  <si>
    <t>Alcanzar 77,6 puntos en la evaluación MECI realizada por el departamento administrativo de la función pública (DAFP)</t>
  </si>
  <si>
    <t xml:space="preserve">Puntaje de la evaluación MECI realizada por el departamento administrativo de la función pública (DAFP) alcanzada </t>
  </si>
  <si>
    <t xml:space="preserve"> 67,6 PUNTOS </t>
  </si>
  <si>
    <t>Sistema de Gestión actualizado.</t>
  </si>
  <si>
    <t>SECRETARIO GENERAL 
LIDER GRUPO OFICINA GESTIÒN ORGANIZACIONAL.</t>
  </si>
  <si>
    <t>Se requiere de personal que tenga la idoneidad en el conocmiento relacionado.
La Oficina de Gestiòn Organziacional está en la transiciòn al Modelo Integrado de Planeaciòn y Gestiòn - MIPG Actualizado.</t>
  </si>
  <si>
    <t>Alcanzar 77  puntos en la evaluación gestión de la calidad realizada por el departamento administrativo de la función pública (DAFP)</t>
  </si>
  <si>
    <t xml:space="preserve">Puntaje  de la evaluación gestión de la calidad realizada por el departamento administrativo de la función pública (DAFP) alcanzada. </t>
  </si>
  <si>
    <t xml:space="preserve"> 67  PUNTOS </t>
  </si>
  <si>
    <t>Se requier e personal que tenga la idonehida en el conocmiento relacionado.
La Oficina de Gestiòn Organziacional esta en la transiciòn al Modelo Integrado de Planeaciòn y Gestiòn - MIPG Actualizado.</t>
  </si>
  <si>
    <t>Alcanzar 90 puntos en  la evaluación eficacia realizada por el departamento administrativo de la función pública (DAFP)</t>
  </si>
  <si>
    <t xml:space="preserve">Puntaje de la evaluación eficacia por el departamento administrativo de la función pública (DAFP) alcanzada. </t>
  </si>
  <si>
    <t xml:space="preserve"> 85 PUNTOS </t>
  </si>
  <si>
    <t>Alcanzar  66 puntos en  la evaluación efectividad por el departamento administrativo de la función pública (DAFP)</t>
  </si>
  <si>
    <t xml:space="preserve">Puntaje de la evaluación efectividad por el departamento administrativo de la función pública (DAFP) alcanzada. </t>
  </si>
  <si>
    <t>59 PUNTOS</t>
  </si>
  <si>
    <r>
      <t>F D R</t>
    </r>
    <r>
      <rPr>
        <sz val="9"/>
        <color rgb="FFFF0000"/>
        <rFont val="Calibri"/>
        <family val="2"/>
        <scheme val="minor"/>
      </rPr>
      <t xml:space="preserve"> </t>
    </r>
  </si>
  <si>
    <r>
      <t>CTI</t>
    </r>
    <r>
      <rPr>
        <sz val="9"/>
        <color rgb="FFFF0000"/>
        <rFont val="Calibri"/>
        <family val="2"/>
        <scheme val="minor"/>
      </rPr>
      <t xml:space="preserve"> </t>
    </r>
  </si>
  <si>
    <t xml:space="preserve">Aumentar en un 50% la participación de la población con discapacidad en los programas sociales de la Oficina de Gestión Social </t>
  </si>
  <si>
    <t>Participación de la población con discapacidad en los programas sociales de la Oficina de Gestión Social aumentada</t>
  </si>
  <si>
    <t>3500 Personas con discapacidad a 2015</t>
  </si>
  <si>
    <t>Somos paz, Somos más</t>
  </si>
  <si>
    <t xml:space="preserve">Incrementar el número de acciones en la implementación y dinamización de la política pública departamental de discapacidad </t>
  </si>
  <si>
    <t>Implementar 4 planes de acción sectoriales para dinamizar y operativizar la política pública departamental de discapacidad</t>
  </si>
  <si>
    <t xml:space="preserve">    Número de Planes de acción sectoriales para dinamizar y operativizar la política pública departamental de discapacidad implementados</t>
  </si>
  <si>
    <t>Número de Planes de acción sectoriales para dinamizar y operativizar la política pública departamental de discapacidad implementados</t>
  </si>
  <si>
    <t xml:space="preserve">ACCIONES DE INCLUSION SOCIAL PARA LAS PERSONAS CON DISCAPACIDAD EN EL DEPARTAMENTO DEL CAUCA </t>
  </si>
  <si>
    <t>En proceso</t>
  </si>
  <si>
    <t>POPAYAN, ARGELIA, BALBOA, CAJIBIO, GUACHENE, LA SIERRA, MORALES, PIAMONTE, SAN SEBASTIAN, SUCRE, TOTORO, VILLA RICA, BOLÍVAR, BUENOS AIRES, INZÁ, JAMBALÓ, PADILLA, ROSAS, SANTANDER DE QUILICHAO, SANTA ROSA, SUAREZ, PAEZ</t>
  </si>
  <si>
    <t xml:space="preserve">560 Personas con Discapacidad </t>
  </si>
  <si>
    <t xml:space="preserve">1. 1 plan de acción sobre política pública intersectorial formulado. 
2. 2 sesiones del CDD para la evaluación y seguimiento del plan de acción intersectorial.
3. 1 taller Departamental realizado a las secretarias técnicas de los CMD.
4. Doce (12) municipios capacitados en el funcionamiento de los comités de discapacidad 
5. Un documento consolidado según resolución 3317 de 2012 donde se registre Caracterización del CMD, Conformación de la organización de la sociedad civil, Informe del Comité Municipal de Discapacidad. 
6. Diez (10) Comités Municipales de Discapacidad conformados con sus representantes de la sociedad civil.
7. 2 sesiones extraordinarias del CDD para para la socialización del proyecto de ordenanza de la Política Publica Departamental de Discapacidad ajustada
8. 1 servicio de interpretación de lengua de señas colombiana para la inclusión de población sorda, contratado.
9. 60 horas de capacitación en lenguaje incluyente a los funcionarios públicos y demás entidades descentralizadas modelo lingüístico.
</t>
  </si>
  <si>
    <t>JOJANA IBARGUEN VALVERDE - Liliana Amparo Velasco López - Contratista</t>
  </si>
  <si>
    <t xml:space="preserve">El proyecto se encuentra en proceso de formulación </t>
  </si>
  <si>
    <t>Establecer 1 ruta de atención integral (con 12 protocolos sectoriales) para la atención de la población con discapacidad</t>
  </si>
  <si>
    <t xml:space="preserve">
Número de rutas de atención integral (con 12 protocolos sectoriales) para la atención de la población con discapacidad establecidas 
</t>
  </si>
  <si>
    <t>150 Personas con Discapacidad</t>
  </si>
  <si>
    <t xml:space="preserve">1. Dos (2) protocolos sectoriales para la atención con la población con discapacidad elaborados.
2. Material publicitario con los 12 protocolos sectoriales elaborados y validados por el Comité Departamental de Discapacidad difundidos
3. Un informe de seguimiento de los protocolos creados.
4. Señalización en atención a la accesibilidad de las personas con discapacidad visual y ajuste en la accesibilidad física en el edificio de la gobernación del Cauca realizada.
</t>
  </si>
  <si>
    <t xml:space="preserve">Actualizar el 60% de los registros inactivos o incompletos del Registro de Localización y Caracterización para Personas con Discapacidad -RLCPD </t>
  </si>
  <si>
    <t>Porcentaje de registros inactivos o incompletos del  Registro de Localización y Caracterización para Personas con Discapacidad -RLCPD  actualizado</t>
  </si>
  <si>
    <t>Total  registros: 29.690   48.4% (N=14.370) registros activos
37.2% (N=11,045) registros inactivos.                                                     14,4% (N=4,275) de registros incompletos.</t>
  </si>
  <si>
    <t>POPAYAN, ARGELIA, BALBOA, CAJIBIO, GUACHENE, LA SIERRA, MORALES, PIAMONTE, SAN SEBASTIAN, SUCRE, TOTORO, VILLA RICA</t>
  </si>
  <si>
    <t>400 Personas con Discapacidad</t>
  </si>
  <si>
    <t xml:space="preserve">1. Tres reportes trimestrales de monitoreo del Registro de Localización y Caracterización para Personas con Discapacidad.
2. Jornadas de Registro de discapacidad o ferias de servicio según la iniciativa de los municipios realizadas.
3. 1 evento de Conmemoración del Día Internacional de la Discapacidad realizado.
</t>
  </si>
  <si>
    <t>Implementar 1 sistema de información de discapacidad incorporado al sistema de información socioeconómica del Cauca - Tángara</t>
  </si>
  <si>
    <t>Número de Sistemas de información de discapacidad implementado e incorporado al sistema de información socioeconómica del Cauca - Tángara</t>
  </si>
  <si>
    <t>0.3</t>
  </si>
  <si>
    <t>Subregión Centro</t>
  </si>
  <si>
    <t>Total: 29,656.     Adulto mayor: 13,820; Adultos:  4,270; Adolescentes: 3,262; Niños: 356, Primera Infancia: 415.   Étnico Afro: 1,557, Índigena: 1,246; otras etnias: 26,987. Área de residencia urbano: 9,193  ; rural: 20,463.</t>
  </si>
  <si>
    <t xml:space="preserve">1.  Dos (2) actualizaciones semestrales de las variables de discapacidad incorporadas al sistema de información - Tángara. 
2. Pagina web de la Gobernación del Cauca accesible.                       
</t>
  </si>
  <si>
    <t>Cuenta con mis capacidades</t>
  </si>
  <si>
    <t>Incrementar la participación social de las personas con discapacidad en los diferentes escenarios sociales (Salud, Educación, generación de ingresos, Cultura y Deporte)</t>
  </si>
  <si>
    <t>Realizar 42 talleres municipales para la adopción e implementación de la Política Pública Departamental de Discapacidad</t>
  </si>
  <si>
    <t>Número de talleres municipales para la adopción e implementación de la Política Pública Departamental de Discapacidad realizados</t>
  </si>
  <si>
    <t>POPAYÁN, BOLÍVAR, LA VEGA, EL BORDO, SANTA ROSA, MORALES, CALDONO, CORINTO, LÓPEZ DE MICAY, PIAMONTE.</t>
  </si>
  <si>
    <t>Subregión Centro, Sur, Macizo</t>
  </si>
  <si>
    <t>Personas con Discapacidad</t>
  </si>
  <si>
    <r>
      <t xml:space="preserve">12talleres municipales </t>
    </r>
    <r>
      <rPr>
        <sz val="12"/>
        <color rgb="FF000000"/>
        <rFont val="Arial Narrow"/>
        <family val="2"/>
      </rPr>
      <t xml:space="preserve"> para la adopción e implementación de la Política Pública Departamental de Discapacidad realizados.</t>
    </r>
  </si>
  <si>
    <t>JOJANA IBARGUEN VALVERDE-Liliana Zambrano contratista</t>
  </si>
  <si>
    <t>Capacitar al 10% de los agentes educativos de los Hogares Comunitarios sobre atención integral de niños y niñas con discapacidad</t>
  </si>
  <si>
    <t>Porcentaje de agentes educativos de los Hogares Comunitarios sobre atención integral de niños y niñas con discapacidad capacitados</t>
  </si>
  <si>
    <t>López de Micay, Miranda, Mercaderes, Silvia y demás municipios a demanda (según ingreso de niños en primera infancia con discapacidad</t>
  </si>
  <si>
    <t>Subregión Sur, Costa Pacifica, Centro</t>
  </si>
  <si>
    <r>
      <t xml:space="preserve">3,7% (410) agentes educativos de los Hogares Comunitarios capacitados sobre atención integral de niños y niñas con discapacidad, </t>
    </r>
    <r>
      <rPr>
        <sz val="11"/>
        <color theme="1"/>
        <rFont val="Arial Narrow"/>
        <family val="2"/>
      </rPr>
      <t>(según ingreso de niños en primera infancia con discapacidad).</t>
    </r>
  </si>
  <si>
    <t>Dotar directamente el 10% de los hogares comunitarios con material pedagógico de niños y niñas con necesidades educativas especiales</t>
  </si>
  <si>
    <t xml:space="preserve"> Porcentaje de hogares comunitarios con material pedagógico de niños y niñas con necesidades educativas especiales dotados</t>
  </si>
  <si>
    <t>Timbío, Tambo, Piendamó, Totoró, Puracé, Silvia, Puerto Tejada, Santander de Q., Miranda, Patía, Rosas, Guapi.</t>
  </si>
  <si>
    <t>Sub región Centro, Norte, Sur, Pacifico</t>
  </si>
  <si>
    <t xml:space="preserve">5 % de los hogares comunitarios con material pedagógico de niños y niñas con necesidades educativas especiales. </t>
  </si>
  <si>
    <t>Ingresar 200 nuevas personas con discapacidad en edad extraescolar al sistema de educación para adultos.</t>
  </si>
  <si>
    <t xml:space="preserve">Número de nuevas personas con discapacidad en edad extraescolar ingresados al sistema de educación para adultos  </t>
  </si>
  <si>
    <t xml:space="preserve">Base de datos secretaría de educación Dptal </t>
  </si>
  <si>
    <t>Timbío, Tambo, Piendamó, Totoró, Puracé, Silvia, Puerto Tejada, Santander de Q., Padilla, Miranda, Patía, Rosas, Argelia, Balboa, Guapi</t>
  </si>
  <si>
    <t xml:space="preserve">92 nuevas personas con discapacidad en edad extraescolar matriculados en el sistema de educación para adultos. </t>
  </si>
  <si>
    <t xml:space="preserve">Conformar en 39 Municipios una organización de personas con discapacidad </t>
  </si>
  <si>
    <t>número de municipios con organización de personas con discapacidad conformada</t>
  </si>
  <si>
    <t>3 municipios con organizaciones constituidas y fortalecidas (Popayán, Caloto, Santander de Quilichao).</t>
  </si>
  <si>
    <t>Suárez, Buenos Aires, Inzá, Padilla, Mercaderes, Miranda, Toribío, Florencia, Totoró, Villarrica, Corinto, Silvia, Cajibío, Guachené.</t>
  </si>
  <si>
    <t>Sub Región Norte, Sur, Oriente, Centro</t>
  </si>
  <si>
    <r>
      <t>17 Municipios</t>
    </r>
    <r>
      <rPr>
        <sz val="12"/>
        <color rgb="FF000000"/>
        <rFont val="Arial Narrow"/>
        <family val="2"/>
      </rPr>
      <t xml:space="preserve"> con una organización de personas con discapacidad  conformadas</t>
    </r>
    <r>
      <rPr>
        <b/>
        <sz val="12"/>
        <color rgb="FF000000"/>
        <rFont val="Arial Narrow"/>
        <family val="2"/>
      </rPr>
      <t xml:space="preserve">. </t>
    </r>
  </si>
  <si>
    <t xml:space="preserve">Implementar en los 42 municipios un modelo de escuela de liderazgo para personas con discapacidad y sus cuidadores,  con énfasis en formación para el trabajo. </t>
  </si>
  <si>
    <t>Número de municipios con un modelo de escuela de liderazgo  para personas con discapacidad y sus cuidadores, con énfasis en formación para el trabajo implementado</t>
  </si>
  <si>
    <t>Popayán, EL Tambo, Guapi, Timbío, Timbiquí, Suárez, Piendamó, Patía, Sotará, Morales, Miranda, Rosas, Caldono, Balboa, Argelia, Corinto, López de Micay, Piamonte</t>
  </si>
  <si>
    <t>Municipios con un modelo de escuela de liderazgo para personas con discapacidad y sus cuidadores,  con énfasis en formación para el trabajo implementada.</t>
  </si>
  <si>
    <t>Implementar en 8 Municipios la Rehabilitación Basada en Comunidad -RBC</t>
  </si>
  <si>
    <t>Número de municipios con Rehabilitación Basada en Comunidad RBC implementada</t>
  </si>
  <si>
    <t>Santa Rosa, Piamonte</t>
  </si>
  <si>
    <t>Subregión Piedemonte, Macizo</t>
  </si>
  <si>
    <t>Municipios  priorizados, con Rehabilitación Basada en Comunidad -RBC implementada.</t>
  </si>
  <si>
    <t xml:space="preserve">Incrementar en un 45 % la participación de jóvenes activos en los programas sociales de la gobernación    </t>
  </si>
  <si>
    <t xml:space="preserve">Porcentaje de la participación de jóvenes activos en los programas sociales de la gobernación incrementado </t>
  </si>
  <si>
    <t>Cauca + Joven</t>
  </si>
  <si>
    <t xml:space="preserve"> Promover espacios y mecanismos de participación para los y las jóvenes del Departamento</t>
  </si>
  <si>
    <t xml:space="preserve">Crear 1 Consejo Departamental de Juventud </t>
  </si>
  <si>
    <t>Número de Consejos Departamentales de juventud creados</t>
  </si>
  <si>
    <t>“FORTALECIMIENTO DE LAS ACCIONES PARA LA PROMOCIÓN DE ESPACIOS Y MECANISMOS DE PARTICIPACIÓN EN LOS JÓVENES DEL DEPARTAMENTO DEL CAUCA.”</t>
  </si>
  <si>
    <t>Todas las Subregiones</t>
  </si>
  <si>
    <t>Jovenes de 14 - 28 años</t>
  </si>
  <si>
    <t>1 Consejo Departamental de Juventud creado</t>
  </si>
  <si>
    <t>JOJANA IBARGUEN VALVERDE - William Ibarra - Contratista</t>
  </si>
  <si>
    <t xml:space="preserve">Conformar 126 organizaciones juveniles y el sistema departamental para la juventud </t>
  </si>
  <si>
    <t xml:space="preserve">Número de organizaciones juveniles y el sistema departamental para la juventud conformadas </t>
  </si>
  <si>
    <t xml:space="preserve">59 organizaciones juveniles  conformadas </t>
  </si>
  <si>
    <t xml:space="preserve">Asistir técnicamente al 100% de los Consejos Municipales de Juventudes  </t>
  </si>
  <si>
    <t>Porcentaje de los Consejos Municipales de Juventudes  asistidos técnicamente</t>
  </si>
  <si>
    <t>Consejos Municipales de Juventudes  asistidos técnicamente</t>
  </si>
  <si>
    <t xml:space="preserve">Implementar en los 42 municipios la política pública departamental de juventud </t>
  </si>
  <si>
    <t>Número de municipios con la política pública departamental de juventud implementada</t>
  </si>
  <si>
    <t xml:space="preserve">Jornadas de implementación de la Politica Departamental </t>
  </si>
  <si>
    <t xml:space="preserve"> Apoyar 28 iniciativas juveniles en el marco de la semana de la juventud  </t>
  </si>
  <si>
    <t>Número de  iniciativas juveniles apoyadas en el marco de la semana de la juventud</t>
  </si>
  <si>
    <t>Incrementar en un 50% la participación de los colectivos de la comunidad LGBT en la mesa de diversidad sexual</t>
  </si>
  <si>
    <t xml:space="preserve">Porcentaje de la participación de los colectivos de la comunidad LGBT en la mesa de diversidad sexual incrementado </t>
  </si>
  <si>
    <t xml:space="preserve">6 Colectivos de la comunidad LGTBI (Fundación ERES, FUDIIVERSA, 
Fundación semillas del CAUCA,
 FUNVICAUCA,
 Colectivo LABRIS y FUNQUIDIVERSA) </t>
  </si>
  <si>
    <t>Cauca diverso e incluyente</t>
  </si>
  <si>
    <t xml:space="preserve">Generar acciones
y espacios de promoción y garantía de
los derechos de la población LGBTI
</t>
  </si>
  <si>
    <t>Realizar 1 caracterización de la población LGBTI Visible</t>
  </si>
  <si>
    <t>Número de caracterizaciones de la población LGBTI visible realizadas</t>
  </si>
  <si>
    <t>FORTALECIMIENTO DEL PRGRAMA CUACA DIVERSO E INCLUYENTE DIRIGIDO A LA POBLACIÓN LGBTI DEL DEPARTAMENTO DEL CAUCA</t>
  </si>
  <si>
    <t>PENDIENTE</t>
  </si>
  <si>
    <t xml:space="preserve">JOJANA IBARGUEN VALVERDE
Derlis Muñoz - Contratista
</t>
  </si>
  <si>
    <t>Para el periodo 218realizamos el 50% dee la caracterización de la población LGBTI QUE INCLUYE METODOLOGÍA Y APLICACIÓN DEL Instrumento.</t>
  </si>
  <si>
    <t>Implementar 1 plan de fortalecimiento para la mesa de diversidad sexual como mecanismo de participación</t>
  </si>
  <si>
    <t xml:space="preserve">Número de planes de fortalecimiento para la mesa de diversidad sexual como mecanismo de participación implementados </t>
  </si>
  <si>
    <t xml:space="preserve">Una mesa de diversidad 
existente operando sin reglamentación
 ni soporte jurídico </t>
  </si>
  <si>
    <t>Teniendo en cuenta que desde el Plan de desrrollo se habla de una Mesa de Deversidad la cual  o está legalizada, durante el periodo 2018 se legalizará y el 219, see realiará plan de fortalecimiento y se ejecutará</t>
  </si>
  <si>
    <t xml:space="preserve">Apoyar 16 iniciativas (académicas y culturales) de la población LGTBI seleccionadas a través de concursos (una por cada sigla) </t>
  </si>
  <si>
    <t xml:space="preserve">Número de iniciativas (académicas y culturales) de la población LGTBI seleccionadas a través de concursos (una por cada sigla) apoyadas </t>
  </si>
  <si>
    <t xml:space="preserve">Realizar 20 conmemoraciones propias de la comunidad LGBTI
</t>
  </si>
  <si>
    <t>Conmemoraciones propias de la comunidad LGBTI realizadas</t>
  </si>
  <si>
    <t xml:space="preserve">Día del orgullo gay, Día de la no Homofobia, Día internacional contra el VIH Sida, Día de la visibilización trans y Día de la no violencia contra las mujeres. </t>
  </si>
  <si>
    <t xml:space="preserve">Realizar 10 conmemoraciones propias de la comunidad LGBTI
</t>
  </si>
  <si>
    <t>JOJANA IBARGUEN VALVERDE
Jesus Enrique Perez - Contratista</t>
  </si>
  <si>
    <t xml:space="preserve">Implementar 1 estrategia de socialización de la política publica de primera infancia, infancia y adolescencia </t>
  </si>
  <si>
    <t>Número de estrategias de socialización de la política publica de primera infancia, infancia y adolescencia Implementadas</t>
  </si>
  <si>
    <t>Caucas todos y todas por la infancia y la adolescencia</t>
  </si>
  <si>
    <t>Socializar e Implementar la política pública Departamental de primera infancia, infancia y adolescencia y fortalecer su articulación interinstitucional en beneficio del sector</t>
  </si>
  <si>
    <t xml:space="preserve"> Crear y fortalecer el Consejo Temático de Primera Infancia, Infancia y Adolescencia </t>
  </si>
  <si>
    <t xml:space="preserve">  Consejo Temático de Primera Infancia, Infancia y Adolescencia creado y fortalecido</t>
  </si>
  <si>
    <t xml:space="preserve">Dos consejos temáticos,
 uno de primera infancia e infancia y
 otro de adolescencia trabajando 
de manera independiente sin seguimiento de la administración
 y con muy pocas entidades comprometidas </t>
  </si>
  <si>
    <t>Consejo tematico de Primera infancia, infancia y adolescencia fortalecido</t>
  </si>
  <si>
    <t>“MEJORAMIENTO DE LAS CONDICIONES PARA EL DESARROLLO DE NIÑAS, NIÑOS Y ADOLESCENTES EN EL DEPARTAMENTO DEL CAUCA”</t>
  </si>
  <si>
    <t>Referentes de primera infnacia, infancia y adolescencia del departamento y 42 municipios</t>
  </si>
  <si>
    <t>Reuniones dirigidas al consejo temático de primera infancia, infancia, adolescencia y familia</t>
  </si>
  <si>
    <t>JOJANA IBARGUEN VALVERDE (Adriana Quina Sandoval)</t>
  </si>
  <si>
    <t xml:space="preserve">Realizar 42 talleres en los municipios para la implementación de la política pública departamental de primera infancia, infancia y adolescencia </t>
  </si>
  <si>
    <t xml:space="preserve">Número de talleres en los municipios para la implementación de la política pública departamental de primera infancia, infancia y adolescencia realizados </t>
  </si>
  <si>
    <t>PIENDAMO, SANTANDER DE QUILICHAO, BALBOA, GUAPI, TOTORO, LA VEGA Y POPAYAN</t>
  </si>
  <si>
    <t>NIÑOS, NIÑAS Y ADOLESCENTES</t>
  </si>
  <si>
    <t>EVENTOS DE EVALUACION DE LOS INDICADORES DE HECHOS Y DERECHOS DE PRIMERA INFANCIA, INFANCIA Y ADOLESCENCIA</t>
  </si>
  <si>
    <t xml:space="preserve">Implementar 1 ruta de atención integral departamental dirigida a niños, niñas y adolescentes. </t>
  </si>
  <si>
    <t>Número de rutas de atención integral departamental dirigida a niños, niñas y adolescentes implementadas</t>
  </si>
  <si>
    <t xml:space="preserve">López de Micay, Villa Rica, Miranda, Inza, Suarez, Buenos Aires, El tambo, La vega, Sucre, Piamonte. </t>
  </si>
  <si>
    <t>PACIFICO, NORTE, ORIENTE, MACIZO, CENTRO Y PIEDEMONTE</t>
  </si>
  <si>
    <t xml:space="preserve">Referentes de primera infnacia, infancia y adolescencia del departamento </t>
  </si>
  <si>
    <t>Talleres para la construccion y socialización de lass rutas de atencion de primera infancia, infancia y adolescencia</t>
  </si>
  <si>
    <t xml:space="preserve">Poner en marcha 1 consejo departamental participativo de Infancia y adolescencia. </t>
  </si>
  <si>
    <t>Consejo participativo departamental de Infancia y adolescencia puesto en marcha</t>
  </si>
  <si>
    <t>Mesa de participacion  departamental de Infancia y adolescencia puesto en marcha</t>
  </si>
  <si>
    <t>López de Micay, Miranda, Argelia, Buenos Aires, Caldono, Cajibío, Piendamó, Rosas, Sotará, y Almaguer</t>
  </si>
  <si>
    <t>COSTA, NORTE, SUR, CENTRO Y MACIZO</t>
  </si>
  <si>
    <t>10 Mesas municipales de participación de infancia y adolescencia, creadas</t>
  </si>
  <si>
    <t>Implementar 1 estrategia permanente de prevención de todo tipo de violencia contra la población infantil</t>
  </si>
  <si>
    <t xml:space="preserve">Número de estrategias permanentes de prevención de todo tipo de violencia contra la población infantil implementadas </t>
  </si>
  <si>
    <t>Porcentaje de niños, niñas y adolescentes victimas de acto terrorista, atentados, combates y hostigamientos en el 214 fue de 0.79 %.</t>
  </si>
  <si>
    <t>Cauca en paz para nuestros niños y niñas</t>
  </si>
  <si>
    <t xml:space="preserve">Potencializar la cultura de paz, resolución de conflictos y los componentes de formación integral haciendo énfasis en los valores como estrategia para la prevención y promoción de espacios libres de violencia y conflicto.  </t>
  </si>
  <si>
    <t>Realizar 42 talleres en municipios de socialización e implementación de las rutas de prevención temprana, urgente y en protección del reclutamiento de niños, niñas y adolescentes.</t>
  </si>
  <si>
    <t>Número de talleres municipales para la socialización e implementación de las rutas de prevención temprana, urgente y en protección del reclutamiento de niños, niñas y adolescentes realizados</t>
  </si>
  <si>
    <t xml:space="preserve">“DESARROLLO DE INICIATIVAS PSICOSOCIALES PARA MITIGAR EL TRABAJO INFANTIL Y LA VIOLENCIA CONTRA NIÑAS, NIÑOS Y ADOLESCENTES EN EL DEPARTAMENTO DEL CAUCA”, </t>
  </si>
  <si>
    <t>Argelia, Buenos Aires, Caldono, Guapi, Inzá, Jambaló, Mercaderes, Miranda, Padilla, Piendamó, Popayán, Puracé, Rosas, Santander de Quilichao, Timbío, Timbiquí, Toribío</t>
  </si>
  <si>
    <t>NORTE, CENTRO, PACIFICO Y ORIENTE</t>
  </si>
  <si>
    <t xml:space="preserve">500 Funcionarios de los Instituciones municipales referentes de primera infancia, infancia y adolescencia y gestoras sociales de los municipios, lideres, lideresas y demas actores sociales. 
</t>
  </si>
  <si>
    <t>Talleres de socialización de las rutas de prevención temprana urgente y en protección del reclutamiento de niños, niñas y adolescentes, implementados</t>
  </si>
  <si>
    <t>Realizar 42 capacitaciones en los municipios para el fortalecimiento de la comunidad como entorno protector para los niños y las niñas</t>
  </si>
  <si>
    <t xml:space="preserve">Número de capacitaciones en los municipios para el fortalecimiento de la comunidad como entorno protector para los niños y las niñas realizados </t>
  </si>
  <si>
    <t>Corinto, Florencia, López de Micay, Mercaderes, Miranda, Piamonte, Popayán, Puerto Tejada, Santander de Quilichao y Sotará</t>
  </si>
  <si>
    <t>NORTE, PACIFICO, SUR, MACIZO, CENTRO Y PIE DE MONTE</t>
  </si>
  <si>
    <t xml:space="preserve">300 Funcionarios de los Instituciones municipales referentes de primera infancia, infancia y adolescencia y 2000 Niños, niñas y adolescentes. 
</t>
  </si>
  <si>
    <t xml:space="preserve">10 talleres de capacitación para el  fomento de la comunidad como entorno protector para los niños, niñas y adolescentes.
</t>
  </si>
  <si>
    <t>Realizar 1 campaña permanente de prevención de todo tipo de violencia contra la población infantil</t>
  </si>
  <si>
    <t xml:space="preserve"> Campaña permanente de prevención de todo tipo de violencia contra la población infantil realizada      </t>
  </si>
  <si>
    <t>Caloto, El Tambo, Guapi, Inzá, Jámbalo, Morales, Popayán, Puracé, Santa Rosa, Sotará, Timbío y Timbiquí.</t>
  </si>
  <si>
    <t>NORTE, CENTRO, ORIENTE, MACIZO Y PACIFICO</t>
  </si>
  <si>
    <t>2000 NIÑOS, NIÑAS Y ADOLESCENTES</t>
  </si>
  <si>
    <t>12 talleres socializados de la estrategia sobre cultura de paz, realizados</t>
  </si>
  <si>
    <t xml:space="preserve">Implementar 1 Estrategia de Prevención de Embarazos y promoción de los derechos sexuales y reproductivos en adolecentes </t>
  </si>
  <si>
    <t>Número de Estrategia de Prevención de Embarazos y promoción de los derechos sexuales y reproductivos en adolecentes implementadas</t>
  </si>
  <si>
    <t>23,98%. Porcentaje de  embarazo en adolescentes en el Departamento - Año 2013</t>
  </si>
  <si>
    <t>Adolescente: Yo pienso en ti</t>
  </si>
  <si>
    <t xml:space="preserve">Atender la población adolescente, con acciones de prevención de embarazos  a temprana edad,  apoyo en construcción de proyectos de vida,  articulación para la aplicación del sistema nacional de responsabilidad penal y acciones de prevención de consumo de sustancias psicoactivas. </t>
  </si>
  <si>
    <t>Implementar 1 estrategia de dinamización para Comité Coordinador Departamental del Sistema Nacional de Responsabilidad Penal para Adolescentes</t>
  </si>
  <si>
    <t xml:space="preserve">Número estrategia de dinamización para Comité Coordinador Departamental del Sistema Nacional de Responsabilidad Penal para Adolescentes implementadas </t>
  </si>
  <si>
    <t>FORTALECIMIENTO DE UNA ESTRATEGIA PARA LA ATENCION DE LAS DIFICULTADES DE LOS ADOLESCENTES EN EL DEPARTAMENTO DEL CAUCA.</t>
  </si>
  <si>
    <r>
      <t>Popayán, Santander de Quilichao, Caloto, Patía, Bolívar, Guapi, Silvia, Puerto Tejada</t>
    </r>
    <r>
      <rPr>
        <i/>
        <sz val="12"/>
        <color theme="1"/>
        <rFont val="Calibri"/>
        <family val="2"/>
        <scheme val="minor"/>
      </rPr>
      <t xml:space="preserve"> </t>
    </r>
  </si>
  <si>
    <t>CENTRO, NORTE Y PACIFICO</t>
  </si>
  <si>
    <t>100 FUNCIONARIOS REFERENTES DE ADOLESCENCIA</t>
  </si>
  <si>
    <t>6 sesiones de dinamización del comité departamental del sistema nacional de coordinacion de responsabilidad penal para adolescentes</t>
  </si>
  <si>
    <t xml:space="preserve">    Realizar 42 talleres de socialización y adaptación en los municipios de la estrategia nacional de atención integral para la prevención de embarazos en adolescentes</t>
  </si>
  <si>
    <t>Número de talleres de socialización y adaptación en los municipios de la estrategia nacional de atención integral para la prevención de embarazos en adolescentes realizados</t>
  </si>
  <si>
    <t>Buenos Aires, Toribio, Caldono, Rosas, Puracé, Almaguer, Piamonte, Mercaderes, Florencia, Balboa, López de Micay, Timbiquí.</t>
  </si>
  <si>
    <t>NORTE, CENTRO, PIE DEMONTE, MACIZO. SUR Y PACIFICO</t>
  </si>
  <si>
    <t>400 Funcionarios de los Instituciones municipales referentes de primera infancia, infancia y adolescencia y gestoras sociales de los municipios, lideres, lideresas y demas actores sociales.</t>
  </si>
  <si>
    <t>12 talleres de socialización y adaptación de la estrategia nacional de atención integral para la prevención de embarazos  en adolescentes</t>
  </si>
  <si>
    <t xml:space="preserve">Implementar 1 programa de formación en derechos sexuales y reproductivos dirigido a diferentes sectores de los 42 municipios </t>
  </si>
  <si>
    <t xml:space="preserve">Número de programas de formación en derechos sexuales y reproductivos dirigido a diferentes sectores de los 42 municipios implementados </t>
  </si>
  <si>
    <t>Puerto Tejada, Jámbalo, Inza, El Tambo, La Vega, Almaguer, San Sebastián, Patía, López de Micay, Timbiquí y Guapi</t>
  </si>
  <si>
    <t>NORTE, ORIENTE, SUR, CENTRO, MACIZO Y PACIFICO</t>
  </si>
  <si>
    <t>350 adolscente</t>
  </si>
  <si>
    <t>11 talleres de formación en derechos sexuales y reproductivos</t>
  </si>
  <si>
    <t>Realizar 4 Jornadas de movilización acompañadas de campañas comunicativas permanentes sobre sexualidad y prevención de embarazo en adolescentes</t>
  </si>
  <si>
    <t xml:space="preserve">Número de Jornadas de movilización acompañadas de campañas comunicativas permanentes sobre sexualidad y prevención de embarazo en adolescentes realizadas  </t>
  </si>
  <si>
    <t xml:space="preserve"> 1 Jornada de movilización y  campañas comunicativas en el mes de septiembre de 2015</t>
  </si>
  <si>
    <t>500 ADOLESCENTES</t>
  </si>
  <si>
    <t>1 jornada sobre sexualidad y prevención de embarazo en adolescentes</t>
  </si>
  <si>
    <t xml:space="preserve">Implementar 1 plan de apoyo para la realización de proyecto de vida de mujeres y hombres adolecentes beneficiados con el programa ¨Adolecente pienso en ti¨   </t>
  </si>
  <si>
    <t>Número de planes de apoyo para la realización de proyecto de vida de mujeres y hombres adolecentes beneficiados con el programa ¨Adolecente pienso en ti¨ implementados</t>
  </si>
  <si>
    <t>Poner en marcha 1 programa de ocupación del tiempo libre para adolescentes a través de acciones lúdicas, recreativas, artísticas y deportivas</t>
  </si>
  <si>
    <t>Número de programas de ocupación del tiempo libre para adolescentes a través de acciones lúdicas, recreativas, artísticas y deportivas en marcha</t>
  </si>
  <si>
    <t>Florencia, Almaguer, Puerto Tejada, Villa Rica, Miranda, Caldono, Caloto, Cajibío, Padilla, Buenos Aires, Santander de Quilichao, Toribio, Suarez, Páez, Sotará, La Sierra y Piamonte</t>
  </si>
  <si>
    <t>6 menos PACIFICO</t>
  </si>
  <si>
    <t>450 NIÑOS, NIÑAS Y ADOLESCENTES</t>
  </si>
  <si>
    <t>1 campaña para incentivar los juegos tradicionales</t>
  </si>
  <si>
    <t xml:space="preserve">Realizar 4 Campañas de comunicación permanentes de prevención de consumo de sustancias psicoactivas en adolescentes     </t>
  </si>
  <si>
    <t>Número de campañas de comunicación permanentes de prevención de consumo de sustancias psicoactivas en adolescentes realizadas</t>
  </si>
  <si>
    <r>
      <rPr>
        <sz val="7"/>
        <color theme="1"/>
        <rFont val="Times New Roman"/>
        <family val="1"/>
      </rPr>
      <t xml:space="preserve">  </t>
    </r>
    <r>
      <rPr>
        <sz val="12"/>
        <color theme="1"/>
        <rFont val="Calibri"/>
        <family val="2"/>
      </rPr>
      <t>Villa Rica, Guachené, Toribio, Suarez, Jámbalo, Morales, Páez, Inza, Silvia, Cajibío, El Tambo, Totoro, Popayán, Puracé, Timbío.</t>
    </r>
  </si>
  <si>
    <t>NORTE, CENTRO Y ORIENTE</t>
  </si>
  <si>
    <t>1500 NIÑOS, NIÑAS Y ADOLESCENTES</t>
  </si>
  <si>
    <t>Realizar 4 Campañas de prevención de suicidio en adolescentes</t>
  </si>
  <si>
    <t xml:space="preserve">Número de campañas de prevención de suicidio en adolescentes realizadas </t>
  </si>
  <si>
    <t>Guachené, Toribio, Jámbalo, Morales, Páez, Inza, Silvia, Cajibío, El Tambo, Totoro, Puracé, Timbío, Piamonte, Miranda, Patía, Balboa y Piendamo</t>
  </si>
  <si>
    <t>1700 ADOLESCENTES</t>
  </si>
  <si>
    <t>Campaña de comunicación de prevención de consumo de sustancias psicoactivas en adolescentes en 20 municipios</t>
  </si>
  <si>
    <t>Realizar en los 42 municipios talleres de capacitación a los sectores que incidan y apoyen en la construcción de los proyectos de vida y amor  de los adolescentes</t>
  </si>
  <si>
    <t xml:space="preserve">Número de municipios con talleres de capacitación a los sectores que incidan y apoyen en la construcción de los proyectos de vida y  amor de los adolescentes realizados  </t>
  </si>
  <si>
    <t>Corinto, Guachené, Caloto, Toribio, Jámbalo, Caldono, Popayán, Páez, Inza, La Sierra, Mercaderes y Balboa</t>
  </si>
  <si>
    <t>NORTE, ORIENTE, SUR  Y CENTRO</t>
  </si>
  <si>
    <t xml:space="preserve">360 Funcionarios de los Instituciones municipales referentes de primera infancia, infancia y adolescencia y gestoras sociales de los municipios, lideres, lideresas y demas actores sociales. </t>
  </si>
  <si>
    <t>12 capacitaciones para la construcción de los proyectos de vida y amor de los adolescentes</t>
  </si>
  <si>
    <t xml:space="preserve">Disminuir en un 100% la deserción escolar ocasionada por la falta de posibilidad de los padres de comprar los útiles escolares     </t>
  </si>
  <si>
    <t xml:space="preserve">Porcentaje de la deserción escolar ocasionada por la falta de posibilidad de los padres de comprar los útiles escolares disminuido      </t>
  </si>
  <si>
    <t>La mochila de la educación</t>
  </si>
  <si>
    <t xml:space="preserve">Realizar acciones de prevención de la deserción escolar generando respuestas a sus causas como el trabajo infantil, la desnutrición y promoción de  escenarios saludables. </t>
  </si>
  <si>
    <t xml:space="preserve">Implementar 1 plan para dinamizar el comité interinstitucional para la erradicación del trabajo infantil y la protección del menor trabajador- CIET </t>
  </si>
  <si>
    <t xml:space="preserve">Número de planes de dinamización del comité interinstitucional para la erradicación del trabajo infantil y la protección del menor trabajador- CIET implementados </t>
  </si>
  <si>
    <t xml:space="preserve">Existe el comité de erradicación 
del trabajo infantil y protección
 del menor trabajador pero no opera </t>
  </si>
  <si>
    <t xml:space="preserve">López de Micay, Miranda, Argelia, Buenos Aires, Caldono, Cajibío, Piendamó, Rosas, Sotará, y Almaguer. </t>
  </si>
  <si>
    <t>PACIFICO, NORTE, SUR Y CENTRO</t>
  </si>
  <si>
    <t xml:space="preserve">400 Funcionarios de los Instituciones municipales referentes de primera infancia, infancia y adolescencia y gestoras sociales de los municipios, lideres, lideresas y demas actores sociales. </t>
  </si>
  <si>
    <t>Dinamización del comité departamental para la erradicación del trabajo infantil y la protección del joven trabajador</t>
  </si>
  <si>
    <t xml:space="preserve">Realizar 4 campañas para la prevención de trabajo infantil </t>
  </si>
  <si>
    <t xml:space="preserve">  Número de campañas para la prevención de trabajo infantil realizada</t>
  </si>
  <si>
    <t>ARGELIA Y PUERTO TEJADA</t>
  </si>
  <si>
    <t>NORTE Y SUR</t>
  </si>
  <si>
    <t>1000 NIÑOS, NIÑAS Y ADOLESCENTES</t>
  </si>
  <si>
    <t>1 campaña de prevención de trabajo infantil a través de la celebración del día de la erradicación de trabajo infantil</t>
  </si>
  <si>
    <t>Entregar 12.000 Kits escolares a padres de familia de escasos recursos con niños matriculados en las Instituciones Educativas públicas del Departamento</t>
  </si>
  <si>
    <t>Número de kits escolares entregados a padres de familia de escasos recursos con niños matriculados en las Instituciones Educativas públicas del Departamento</t>
  </si>
  <si>
    <t xml:space="preserve">Desarrollo de la campaña todos a estudiar sin archivo detallado </t>
  </si>
  <si>
    <t>Rosas, Villa Rica, Almaguer, Popayán</t>
  </si>
  <si>
    <t>NORTE, MACIZO Y  CENTRO</t>
  </si>
  <si>
    <t>1500 kits escolares entregados a padres de familias de escasos recursos con niños matriculados en las instituciones educativas públicas</t>
  </si>
  <si>
    <t xml:space="preserve">Realizar 1 campaña permanente para promover la alimentación y hábitos de vida saludable en niños y niñas que no estén beneficiados por los programas de nutrición </t>
  </si>
  <si>
    <t>Número de campañas permanentes para promover la alimentación y hábitos de vida saludable en niños y niñas que no estén beneficiados por los programas de nutrición realizadas</t>
  </si>
  <si>
    <t>López de Micay, Piendamó, Páez, Silvia, Popayán.</t>
  </si>
  <si>
    <t>PACIFICO, CENTRO, ORIENTE</t>
  </si>
  <si>
    <t>500 NIÑOS, NIÑAS Y ADOLESCENTES</t>
  </si>
  <si>
    <t>5 municipios beneficiarios de la campaña para prover la alimentacion y habitos de vida saludable</t>
  </si>
  <si>
    <t>Asistir al 5% de las familias Caucanas en acciones que fortalezcan las competencias de cuidado y pautas de crianza en padres de familia adolescentes</t>
  </si>
  <si>
    <t>Porcentaje de las familias Caucanas en acciones que fortalezcan las competencias de cuidado y pautas de crianza en padres de familia adolescentes asistidas</t>
  </si>
  <si>
    <t>Cauca por nuestras familias</t>
  </si>
  <si>
    <t xml:space="preserve">  Implementar acciones que fortalezcan en las familias caucanas las competencias de cuidado y pautas de crianza positiva de los niños, niñas y adolescentes. </t>
  </si>
  <si>
    <t>Realizar 42 Talleres de fortalecimiento a la familia (uno por municipio) como entorno protector de crianza positiva para los niños, niñas y adolescentes</t>
  </si>
  <si>
    <t xml:space="preserve">Número de talleres de fortalecimiento a la  familia (uno por municipio) como entorno protector de crianza positiva para los niños, niñas y adolescentes realizados </t>
  </si>
  <si>
    <t>Corinto, Caloto, Caldono, Popayán, Timbío, López de Micay, Piamonte, Morales, Pi endamo, La Vega, Miranda y El Tambo.</t>
  </si>
  <si>
    <t>NORTE, CENTRO, PACIFICO, PIE DE MONTE Y MACIZO</t>
  </si>
  <si>
    <t>600 FAMILIAS DE PRIMERA INFANCIA</t>
  </si>
  <si>
    <t>12 talleres de fortalecimiento a las familias mediante la estrategia crecer feliz</t>
  </si>
  <si>
    <t>Realizar 4 campañas (una por año) de manifestaciones de afecto y comunicación asertiva entre los integrantes de las familias</t>
  </si>
  <si>
    <t xml:space="preserve">Número de campañas de manifestaciones de afecto y comunicación asertiva entre los integrantes de las familias realizados </t>
  </si>
  <si>
    <t>Santa Rosa, Patía, Balboa, Argelia, Guapi, Timbiquí, López de Micay, Suarez, Cajibío, Santander de Quilichao, Puerto Tejada, Rosas, Puracé, Piendamó, Piamonte, Guachené, Villa Rica</t>
  </si>
  <si>
    <t xml:space="preserve">1700 NIÑOS, NIÑAS DE PRIMERA INFANCIA. </t>
  </si>
  <si>
    <t>17 municipios beneficiarios con ludotecas infantiles</t>
  </si>
  <si>
    <t xml:space="preserve">Beneficiar el 20% de población adulta mayor con los programas sociales de la gobernación </t>
  </si>
  <si>
    <t>Porcentaje de la población adulta mayor con los programas sociales de la gobernación beneficiada</t>
  </si>
  <si>
    <t xml:space="preserve">149.917 Total población adultos mayor beneficiada </t>
  </si>
  <si>
    <t xml:space="preserve">Envejecimiento positivo
</t>
  </si>
  <si>
    <t xml:space="preserve">Promover la participación del adulto mayor mediantes estrategias de utilización del tiempo libre.  </t>
  </si>
  <si>
    <t xml:space="preserve">Formular 1 batería de indicadores para monitorear la política pública departamental para el adulto mayor. </t>
  </si>
  <si>
    <t xml:space="preserve"> Número de baterías de indicadores para monitorear la política pública departamental para el adulto mayor formuladas </t>
  </si>
  <si>
    <t>Realizar 42 talleres municipales para la adopción e implementación de la Política Pública  para el adulto mayor.</t>
  </si>
  <si>
    <t xml:space="preserve">Número de talleres municipales para la adopción e implementación de la Política Pública  para el adulto mayor realizados </t>
  </si>
  <si>
    <t>Realizar 8 talleres municipales para la adopción e implementación de la Política Pública  para el adulto mayor.</t>
  </si>
  <si>
    <t xml:space="preserve">Dotar a 84 grupos de adultos mayores con implementos para actividades de ocupación del tiempo libre </t>
  </si>
  <si>
    <t xml:space="preserve">Número de grupos de adultos mayores con implementos para actividades de ocupación del tiempo libre dotados </t>
  </si>
  <si>
    <t xml:space="preserve">Dotar a 28 grupos de adultos mayores con implementos para actividades de ocupación del tiempo libre </t>
  </si>
  <si>
    <t>Capacitar al 100% de los coordinadores de grupos de adultos mayores conformados en cultura de recreación y actividad física</t>
  </si>
  <si>
    <t xml:space="preserve">Porcentaje de los coordinadores de grupos de adultos mayores conformados en cultura de recreación y actividad física capacitados </t>
  </si>
  <si>
    <t xml:space="preserve">220 coordinadores de grupos de adultos mayores </t>
  </si>
  <si>
    <t>Capacitar al 19% de los coordinadores de grupos de adultos mayores conformados en cultura de recreación y actividad física</t>
  </si>
  <si>
    <t>Semillas de vida</t>
  </si>
  <si>
    <t xml:space="preserve">Promover la seguridad alimentaria en los grupos de adulto mayor.  </t>
  </si>
  <si>
    <t>Entregar a 84 grupos de adultos mayores del departamento (21 por subregión) suplemento nutricional a base de quinua como apoyo nutricional</t>
  </si>
  <si>
    <t xml:space="preserve">Número de grupos de adultos mayores del departamento con kits a base de quinua como apoyo nutricional entregados </t>
  </si>
  <si>
    <t>Entregar a 18 grupos de adultos mayores del departamento (21 por subregión) suplemento nutricional a base de quinua como apoyo nutricional</t>
  </si>
  <si>
    <t>Realizar 28 encuentros intergeneracionales (uno por año en cada subregión)</t>
  </si>
  <si>
    <t>Número de encuentros intergeneracionales (uno por año en cada subregión) realizados</t>
  </si>
  <si>
    <t>Realizar 3 encuentros intergeneracionales (uno por año en cada subregión)</t>
  </si>
  <si>
    <t>Caucanidad de oro</t>
  </si>
  <si>
    <t xml:space="preserve">Promover la inclusión social del adulto mayor.  </t>
  </si>
  <si>
    <t xml:space="preserve">Visibilizar 84 saberes de personas adultas mayores con enfoque subregional </t>
  </si>
  <si>
    <t xml:space="preserve">Número de saberes de personas adultas mayores con enfoque subregional visibilizados     </t>
  </si>
  <si>
    <t xml:space="preserve">Visibilizar 21 saberes de personas adultas mayores con enfoque subregional </t>
  </si>
  <si>
    <t>Conformar 20 nuevos grupos de adulto mayor (con prioridad en las subregiones Piedemonte Amazónico, Oriente y Costa Pacífica)</t>
  </si>
  <si>
    <t>Número de nuevos grupos de adulto mayor (con prioridad en las subregiones: Piedemonte Amazónico, Oriente y Costa Pacífica) conformados</t>
  </si>
  <si>
    <t xml:space="preserve">220 grupos de adultos mayores conformados </t>
  </si>
  <si>
    <t>Capacitar a 300 adultos mayores en herramientas digitales básicas.</t>
  </si>
  <si>
    <t>Número de adultos mayores en herramientas digitales básicas capacitados</t>
  </si>
  <si>
    <t>Capacitar a 50 adultos mayores en herramientas digitales básicas.</t>
  </si>
  <si>
    <t>Garantizar acceso a 2.100 adultos mayores a actividades lúdico recreativas, culturales y artísticas organizadas por el Departamento para la conservación de la memoria histórica y transmisión de saberes.</t>
  </si>
  <si>
    <t>Número de adultos mayores que acceden a actividades lúdico recreativas, culturales y artísticas organizadas por el Departamento para la conservación de la memoria histórica y transmisión de saberes.</t>
  </si>
  <si>
    <t>Beneficiar el 30% de familias que pertenecen a la RED UNIDOS en los programas sociales de la administración departamental</t>
  </si>
  <si>
    <t>Porcentaje de familias que pertenecen a la RED UNIDOS en los programas sociales de la administración departamental beneficiados</t>
  </si>
  <si>
    <t>20570 familias de la Red Unidos acompañadas.</t>
  </si>
  <si>
    <t>Abriendo caminos sin pobreza extrema</t>
  </si>
  <si>
    <t>Articular la oferta institucional para la promoción social de familias en pobreza extrema que pertenecen a la estrategia Red Unidos en las subregiones.</t>
  </si>
  <si>
    <t xml:space="preserve">Implementar 1 estrategia a través del cual se logre mejorar la incidencia de entidades en reducir pobreza extrema en el Departamento </t>
  </si>
  <si>
    <t xml:space="preserve">Número de estrategias a través de las cuales se logre mejorar la incidencia de entidades en reducir pobreza extrema en el Departamento implementadas </t>
  </si>
  <si>
    <t>FORTALECIMIENTO DE CAPACIDADES LOCALES PARA LA SUPERACIÓN DE LA POBREZA EXTREMA EN EL 
DEPARTAMENTO DEL CAUCA</t>
  </si>
  <si>
    <t>Poblacion en Pobreza Extrema</t>
  </si>
  <si>
    <t>*Mesas Municipales de Pobreza Extrema con Acto Administrativo
*Madres y Padres de MAS FAMILIAS EN ACCIÓN Formados en liderazgo, Manejo de TICS, Educación Financiera 
*Cajas de Herramientas para madres y padres lideres de Mas Familias en Acción para formar a la comunidad</t>
  </si>
  <si>
    <t>JOJANA IBARGUEN VALVERDE
(Jose Arbey Abadia - Contratista)</t>
  </si>
  <si>
    <t>DEPENDENCIA RESPONSABLE: OFICINA DE GESTIÓN SOCIAL Y ASUNTOS POBLACIONALES</t>
  </si>
  <si>
    <t>Infraestructura Social y Productiva</t>
  </si>
  <si>
    <t>Incrementar en un 50% los municipios que cumplen con los indicadores de calidad de agua.</t>
  </si>
  <si>
    <t>Porcentaje de municipios que cumplen con los indicadores de calidad del agua en el área urbana incrementados</t>
  </si>
  <si>
    <t>13 municipios</t>
  </si>
  <si>
    <t>Calidad del Agua</t>
  </si>
  <si>
    <t>Mejorar la calidad del agua y la  continuidad de los servicios de acueducto y alcantarillado.</t>
  </si>
  <si>
    <t xml:space="preserve">Optimizar 12 sistemas de acueductos urbanos </t>
  </si>
  <si>
    <t>Número de sistemas de acueductos urbanos optimizados</t>
  </si>
  <si>
    <t>MEJORAMIENTO Y OPTIMIZACIÓN DEL SISTEMA DE ACUEDUCTO DEL MUNICIPIO DE MIRANDA - CAUCA.</t>
  </si>
  <si>
    <t>MIRANDA</t>
  </si>
  <si>
    <t>SUMINISTRO E INSTALACIÓN TUBERÍA PVC-UM, DIÁMETRO 6", 125 PSI (49.00m) 
- SUMINISTRO E INSTALACIÓN TUBERÍA PVC-UM, DIÁMETRO 12", 125 PSI. (62.00m) 
-SUMINISTRO E INSTALACIÓN COMPUERTA EN HF (1,1M X 1,15 M) (5.00Unidad)
-CABEZAL DE DESCARGA EN CONCRETO REFORZADO DE 3.500 PSI (5.00Unidad   3. LÍNEA DE CONDUCCIÓN DESARENADOR-PTAP, MEDIANTE EL SUMINISTRO E INSTALACIÓN DE TUBERÍA DE PVC UM 125PSI, DIÁMETRO 8".
 -SUMINISTRO E INSTALACIÓN TUBERÍA DE PVC-UM, DIÁMETRO 8", 125 PSI, (723.00m)
-SUMINISTRO E INSTALACIÓN VÁLVULA DE COMPUERTA ELÁSTICA, HD, DIAMETRO 8" (2.00Und.) 
4. OBRAS EN RED DE ACUEDUCTO.
 -SUMINISTRO E INSTALACIÓN TUBERÍA EN PVC-UM, DIÁMETRO 2", 125PSI. (51.00ML) 
-SUMINISTRO E INSTALACIÓN TUBERÍA PVC-UM, DIÁMETRO 3", 125PSI. (3020.00ML)
- SUMINISTRO E INSTALACIÓN TUBERÍA PVC-UM, DIÁMETRO 4", 125PSI. (1730.00ML)
- SUMINISTRO E INSTALACIÓN TUBERÍA PVC-UM, DIÁMETRO 6", 125PSI. (1146.00ML) 
-SUMINISTRO E INSTALACIÓN TUBERÍA PVC-UM, DIÁMETRO 8", 125PSI. (315.00ML)
- SUMINISTRO E INSTALACIÓN TUBERÍA PVC-UM, DIÁMETRO 10", 125PSI. (1058.00ML) 
- SUMINISTRO E INSTALACIÓN TUBERÍA PVC-UM, DIÁMETRO 12", 125PSI. (25.00ML)
5. CONSTRUCCIÓN TANQUE DE ALMACENAMIENTO NUEVO CHIQUILINES, CON CAPACIDAD DE 664 M3. 
6. OBRAS DE REHABILITACIÓN Y OPTIMIZACIÓN EN PLANTA DE TRATAMIENTO DE AGUA POTABLE, CAPACIDAD 153 L/S.</t>
  </si>
  <si>
    <t>CONTRATO PLAN DEL NORTE DEL CAUCA- FINDETER</t>
  </si>
  <si>
    <t>IMPLEMENTACION DEL PROCESO DE MACRO Y MICRO MEDICION PARA EL ACUEDUCTO DE LA CABECERA MUNICIPAL DE MERCADERES, DEPARTAMENTO DEL CAUCA</t>
  </si>
  <si>
    <t>MERCADERES</t>
  </si>
  <si>
    <t xml:space="preserve">  </t>
  </si>
  <si>
    <t>ROBERTH HORMIGA 
(Subgerente Técnico-
Libre nombramiento y remoción)
KAROL GIRÓN
(Prof. de Apoyo)
Profesional Universitaria codigo 219 grado 00</t>
  </si>
  <si>
    <t>OPTIMIZACION Y AMPLIACION DE PRIMERA ETAPA ACUEDUCTO REGIONAL RIO MICHICAO - MUNICIPIO DE CAJIBIO.</t>
  </si>
  <si>
    <t>IMPLEMENTACION DEL PROCESO DE MACRO MEDICION PARA EL ACUEDUCTO DE LA CABECERA MUNICIPAL DE LA SIERRA, DEPARTAMENTO DEL CAUCA</t>
  </si>
  <si>
    <t>OPTIMIZACION SISTEMA DE ACUEDUCTO DE EL BORDO CABECERA MUNICIPAL DEL PATIA DEPARTAMENTO DEL CAUCA</t>
  </si>
  <si>
    <t>PATIA</t>
  </si>
  <si>
    <t>IMPLEMENTACION DEL PROCESO DE MACRO Y MICRO MEDICION DE PAEZ (BELALCAZAR), DEPARTAMENTO DEL CAUCA</t>
  </si>
  <si>
    <t>IMPLEMENTACION DEL PROCESO DE MACRO MEDICION DE PURACE, DEPARTAMENTO DEL CAUCA</t>
  </si>
  <si>
    <t>PURACE</t>
  </si>
  <si>
    <t>IMPLEMENTACION DEL PROCESO DE MACRO MEDICION PARA EL ACUEDUCTO DE LA CABECERA MUNICIPAL DE SAN SEBASTIAN, DEPARTAMENTO DEL CAUCA</t>
  </si>
  <si>
    <t>SAN SEBASTIAN</t>
  </si>
  <si>
    <t>IMPLEMENTACION DEL PROCESO DE MACRO MEDICION DE SUAREZ, DEPARTAMENTO DEL CAUCA</t>
  </si>
  <si>
    <t>SUAREZ</t>
  </si>
  <si>
    <t>IMPLEMENTACION DEL PROCESO DE MACRO MEDICION DEL ACUEDUCTO DE INZA, DEPARTAMENTO DEL CAUCA</t>
  </si>
  <si>
    <t>INZA</t>
  </si>
  <si>
    <t>REHABILITACION ESTTRUCTURAS DE CAPTACION Y ADUCCION SISTEMAS DE ACUEDUCTO DE LOS RIOS PIEDRAS Y MOLINO DEL MUNICIPIO DE POPAYAN</t>
  </si>
  <si>
    <t>IMPLEMENTACION DEL PROCESO DE LA MACROY MICRO MEDICION PARA EL ACUEDUCTO DE LA CABECERA MUNICIPAL DE PIENDAMO</t>
  </si>
  <si>
    <t>IMPLEMENTACION DEL PROCESO DE MACRO MEDICION DE ZONA BAJA, JAMBALO DEPARTAMENTO DEL CAUCA</t>
  </si>
  <si>
    <t>JAMBALO</t>
  </si>
  <si>
    <t>IMPLEMENTACION DEL PROCESO DE MACRO MEDICION DEL ACUEDUCTO DE ISABELILLAS MUNICIPIO DE TORIBIO, DEPARTAMENTO DEL CAUCA</t>
  </si>
  <si>
    <t>TORIBIO</t>
  </si>
  <si>
    <t xml:space="preserve">Optimizar 10 sistemas de acueductos rurales </t>
  </si>
  <si>
    <t>Número de sistemas de acueductos rurales optimizado</t>
  </si>
  <si>
    <t>CONSTRUCCION Y OPTIMIZACION SISTEMA DE ACUEDUCTO: VEREDAS LA PLAYA, SOTO, LA LUZ, BUENA VISTA Y LA LAGUNA MUNICIPIO DE TORIBIO - CAUCA.</t>
  </si>
  <si>
    <t xml:space="preserve">CONSTRUCCIÓN DEL SISTEMA DE ACUEDUCTOINTERVEREDAL
CONSTRUCCION LINEA DE ADUCCION
CONSTRUCCION PLANTA FIME 
CONSTRUCCIÓN LINEA DE CONDUCCIÓN 
CONSTR. TANQUE D ALMACENAMIENTO..CONSTRUCCION ACOMETIDAS DOMICILIARIAS </t>
  </si>
  <si>
    <t>CONSTRUCCION SISTEMA DE ACUEDUCTO INTERVEREDAL Y OBRAS DE OPTIMIZACION TANQUES DE ALMACENAMIENTO ZONA BAJA MUNICIPIO DE JAMBALO - CAUCA.</t>
  </si>
  <si>
    <t>CONSTRUCCION 3 ETAPA DEL ACUEDUCTO DE PALO BLANCO Y NUEVE VEREDAS EN BUENOS AIRES III ETAPA</t>
  </si>
  <si>
    <t>BUENOS AIRES</t>
  </si>
  <si>
    <t>PLANTA -CONSTRUCCIÓN 3 TANQUES-REDES NUEVAS - REDES QUE INTERCONECTAN TANQUE-REPOSICION DE TUBERIA -CONSTRUCCIÓN DESARENADOR</t>
  </si>
  <si>
    <t>CONSTRUCCIÓN DEL SISTEMA DE ABASTECIMIENTO DE AGUA POTABLE EN LOS DISTRITOS 4 Y 5, INTERVEREDAL TUNÍA, MUNICIPIO DE PIENDAMÓ - CAUCA</t>
  </si>
  <si>
    <t>CONSTRUCCION OBRAS DE OPTIMIZACION ACUEDUCTO ZONA NORTE</t>
  </si>
  <si>
    <t>SANTANDER DE QUILICHAO</t>
  </si>
  <si>
    <t>OPTIMIZACION SISTEMA DE ABASTECIMIENTO DE AGUA Y SISTEMA DE POTABILIZACION DEL CORREGIMIENTO DE GABRIEL LOPEZ</t>
  </si>
  <si>
    <t>CONSTRUCCION OBRAS SISTEMA DE ACUEDUCTO TAMINANGO SANTANDER DE QUILICHAO</t>
  </si>
  <si>
    <t>OPTIMIZACION ACUEDUCTO INTERVEREDAL DE PEDREGAL MUNICIPIO INZA</t>
  </si>
  <si>
    <t>CONSTRUCCION OBRAS DE OPTIMIZACION ACUEDUCTO INTERVEREDAL  EL PALMAR  MUNICIPIO DE SANTANDER DE QUILICHAO</t>
  </si>
  <si>
    <t xml:space="preserve">Optimizar 2 acueductos regionales </t>
  </si>
  <si>
    <t>Número de acueductos regionales optimizados</t>
  </si>
  <si>
    <t>CONSTRUCCIÓN DE OBRAS DE OPTIMIZACIÓN DEL SISTEMA DE TRATAMIENTO DE AGUA POTABLE, ACUEDUCTO REGIONAL PATIA, DEPARTAMENTO DEL CAUCA</t>
  </si>
  <si>
    <t>PATIA-BALBOA- MERCADERES</t>
  </si>
  <si>
    <t>PLANTA DE TRATAMIENTO-CERRAMIENTO-ADECUACIÓN CASETA-LECHOS DE SECADO-DOTACION LABOR.-IMPERMEABILIZACIÓN Y REPARACIÓN TANQUE DE ALMACENAMIENTO-SUMINISTRO VÁLVULAS,EQUIPOS Y OTROS</t>
  </si>
  <si>
    <t>CONSTRUCCION OBRAS DE OPTIMIZACION Y AMPLIACION SISTEMA DE ACUEDUCTO REGIONAL MUNICIPIOS DE SOTARA Y TIMBIO</t>
  </si>
  <si>
    <t>SOTARA- TIMBIO</t>
  </si>
  <si>
    <t>OTIMIZACION  PTAP CABECERA  Y SISTEMA DE ACUEDUCTO DE PAISPAMBA Y CONDUCCION HASTA LOS TANQUES DE ALMACENAMIENTO
12 VEREDAS BENEFICIADAS DEL MPIO DE SOTARA Y 3 DEL MPIO DE TIMBIO</t>
  </si>
  <si>
    <t xml:space="preserve">Implementar en el 100% el Plan de Aseguramiento de Calidad de Agua -PACA Y El Plan de Aseguramiento para Abastecimiento de Agua-PABA </t>
  </si>
  <si>
    <t>(No de acciones implementadas/No de acciones del PACA)*100</t>
  </si>
  <si>
    <t xml:space="preserve"> Programa de Medición de Caudal.
Programa Instalación de un Sistema de Cloración en Plantas FIME.
Programa de Instalación de un sistema de cloración gaseoso - Plantas Convencionales
Programa de Adecuación sistema de dosificación de Coagulantes, Floculantes y Alcalinizantes -
Plantas Convencionales.
</t>
  </si>
  <si>
    <t>Caloto,Patía, Mercaderes, Suárez, Buenos Aires, Páez, Sotará, Rosas, Totoró, Inzá, Cajibío, Silvia, Tunía</t>
  </si>
  <si>
    <t>instalación de sistemas de medición de caudal por tecnología electromagnética para la tubería de entrada o por tecnología de ultrasonido en el canal de entrada de agua a la Planta, de acuerdo a las condiciones más favorables de instalación, igualmente se contempla la instalación de un sistema de Macromedición electromagnético a la salida de la Planta.</t>
  </si>
  <si>
    <t>(No de acciones implementadas/No de acciones del PACA)*101</t>
  </si>
  <si>
    <t>Programa Implementación de un equipo básico de laboratorio de control de calidad de agua</t>
  </si>
  <si>
    <t>Se está llevando a cabo mediante proceso SA-SI-03 de 2018</t>
  </si>
  <si>
    <t>(No de acciones implementadas/No de acciones del PACA)*102</t>
  </si>
  <si>
    <t xml:space="preserve">Programa de Análisis de laboratorios fisicoquímicos y bacteriológicos para seguimiento y control
de calidad de agua, en laboratorio certificado por INS.
Programa de Optimización y/o Instalación de Dispositivos para toma de Muestras
instalación de los nuevos dispositivos de recolección de muestras de agua, con los respectivos accesorios para su instalación.
</t>
  </si>
  <si>
    <t>Los dispositivos para toma de muestras serán adquiridos con recursos aprobados para el Plan de Aseguramiento, según el Manual de Compras del Gestor</t>
  </si>
  <si>
    <t xml:space="preserve">Actualmente se encuentra en ajustes, pendiente por contratar </t>
  </si>
  <si>
    <t>(No de acciones implementadas/No de acciones del PACA)*103</t>
  </si>
  <si>
    <t xml:space="preserve"> Programa de Implementación de tecnología de punta en los procesos de tratamiento de agua potable.   </t>
  </si>
  <si>
    <t>Medidores Electrónicos de nivel                                                                                                                                                                                                                                                                                                     Analizadores de parámetros en línea Turbiedad, cloro, pH en la entrada y salida de PTAP                                                                                                                                                                                                            Sistema Automático de dosificación de coagulante, polímero y alcalinizante                                                                                                                                                                                                                    Sistema Automático de dosificación de Coagulante y Floculante                                                                                                                                                                                                                                 Sistema Automático de dosificación del Alcalinizante                                                                                                                                                                                                                                                                                                                                      Dosificación automático de cloro gaseoso                                                                                                         Equipo de emergencias para fugas de cloro gaseoso</t>
  </si>
  <si>
    <t xml:space="preserve">El Plan de Aseguramiento para Abastecimiento de Agua-PABA </t>
  </si>
  <si>
    <t>(No de acciones implementadas/No de acciones del PABA)*104</t>
  </si>
  <si>
    <t xml:space="preserve">Implementacion Plan de Aseguramiento para Abastecimiento de Agua-PABA </t>
  </si>
  <si>
    <t>POR DEFINIR</t>
  </si>
  <si>
    <t xml:space="preserve">Optimizar 8 sistemas de alcantarillado urbanos </t>
  </si>
  <si>
    <t>Número de sistemas de alcantarillados urbanos optimizados</t>
  </si>
  <si>
    <t>CONSTRUCCIÓN DE COLECTOR SOBRE MARGEN IZQUIERDA DEL RIO EJIDO EN LA CALLE QUINTA (5) ENTRE CARRERA 29 A 33, CALLE 4a ENTRE CARRERA 33 Y 37, CARRERA 37 ENTRE CALLE 4a CAMARA CM CIS 102 , MUNICIPIO DE POPAYÁN</t>
  </si>
  <si>
    <t>CONSTRUCCION DE INTERCEPTOR CAUCA III COMPRENDIDO ENTRE LAS CAMARAS CM 123 A CM 133, MUNICIPIO DE POPAYAN</t>
  </si>
  <si>
    <t>SUMINISTRO E INSTALACION DE TUBERIA PVC UNIÓN MECANICA PARA ALCANTARILLADO D=24" : 1.041,83 ML</t>
  </si>
  <si>
    <t>OPTIMIZACIÓN ALCANTARILLADO SANITARIO EN EL BARRIO CARLOS ALBERTO GUZMAN. MUNICIPIO DE PUERTO TEJADA</t>
  </si>
  <si>
    <t>PUERTO TEJADA</t>
  </si>
  <si>
    <t>CONSTRUCCION DE LA PRIMERA FASE DEL SISTEMA DE ALCANTARILLADO DE BELALCAZAR, MUNICIPIO DE PAEZ, DEPARTAMENTO DEL CAUCA</t>
  </si>
  <si>
    <t>OPTIMIZACION DEL ALCANTARILLADO SANITARIO PRIMERA ETAPA DE LA CABECERA MUNICIPAL DE SANTA ROSA.</t>
  </si>
  <si>
    <t>OPTIMIZACION REDES DE ALCANTARILLADO I ETAPA Y CONSTRUCCION DE PLANTA DE TRATAMIENTO DE AGUAS RESIDUALES, MUNICIPIO DE PIAMONTE</t>
  </si>
  <si>
    <t>PIAMONTE</t>
  </si>
  <si>
    <t xml:space="preserve">Optimizar 4 sistemas de alcantarillado rurales </t>
  </si>
  <si>
    <t>CONSTRUCCION REDES ALCANTARILLADO VEREDA CAMBALACHE -MUNICIPIO DE SANTANDER  DE QUILICHAO</t>
  </si>
  <si>
    <t>CONSTRUCCION OBRAS DE OPTIMIZACION Y AMPLIACION DEL SISTEMA DEL ALCANTARILLADO SANITARIO Y CONSTRUCCION DEL SISTEMA DE TRATAMIENTO DE  AGUAS RESIDUALES DEL CENTRO POBLADO DEL PLATEADO MUNICIPIO DE ARGELIA, DEPARTAMENTO DEL CAUCA</t>
  </si>
  <si>
    <t>ARGELIA</t>
  </si>
  <si>
    <t xml:space="preserve">AMPLIACION DEL ALCANTARILLADO SANITARIO SECTOR LA FRONTERA MUNICIPIO DE SANTANDER DE QUILICHAO. </t>
  </si>
  <si>
    <t>OPTIMIZACION Y AMPLIACION DE LA PRIMERA FASE DE ALCANTARILLADO DE LA ZON NUCLEADA DEL CORREGIMIENTO DE PARRAGA - MUNICIPIO DE ROSAS</t>
  </si>
  <si>
    <t>ROSAS</t>
  </si>
  <si>
    <t>CONSTRUCCION DE UNIDADES SANITARIAS CON SANEAMIENTO BASICO PARA VIVIENDA RURAL DISPERSA EN LAS VEREDAS DE MIRAFLORES  Y SANTA LUCIA, MUNICIPIO DE SILVIA.</t>
  </si>
  <si>
    <t>SILVIA</t>
  </si>
  <si>
    <t>CONSTRUCCION DE ALCANTARILLADO SANITARIO CON SISTEMA DE TRATAMIENTO DE AGUAS RESIDUALES PARA LAS VEREDAS DE SANTA RITA, CALOTO NUEVO Y LA BETULIA, RESGUARDO DE SAN FRANCISCO MUNICIPIO DE TORIBIO</t>
  </si>
  <si>
    <t>Implementar 1 sistema de información geográfico en agua potable y saneamiento básico</t>
  </si>
  <si>
    <t>Número de sistemas de información geográficos en agua potable y saneamiento básico implementados</t>
  </si>
  <si>
    <t>Prestación de servicios públicos</t>
  </si>
  <si>
    <t>Minimizar  el impacto negativo que causan los  problemas identificados para la adecuada prestación  de servicios públicos de acueducto, alcantarillado y aseo</t>
  </si>
  <si>
    <t xml:space="preserve">Realizar en 10 municipios el diagnóstico integral rural en agua y saneamiento. </t>
  </si>
  <si>
    <t>Número de municipios con diagnóstico integral rural en el SIG Cauca</t>
  </si>
  <si>
    <t>SISTEMA DE INFORMACION DE AGUA POTABLE Y SANEAMIENTO RURAL, SIASAR CAUCA 2019</t>
  </si>
  <si>
    <t xml:space="preserve">6 MUNICIPIOS POR DEFINIR </t>
  </si>
  <si>
    <t>REPORTES E INFORMES QUE REFLEJAN LOS DATOS LEVANTADOS EN CAMPO, SE REALIZA UN PROCESO DE VALIDACION POR PARTE DEL MINISTERIO DE VIVIENDA, CIUDAD Y TERRITORIO PARA SER POSTERIORMENTE MONTADO EN LA PLATAFORMA INTERNACIONAL SIASAR</t>
  </si>
  <si>
    <t xml:space="preserve">Emcaservicios- Empresa Caucana de Servicios Publicos-Oficina Asesora de Planeacion. </t>
  </si>
  <si>
    <t xml:space="preserve">Incluir 15 municipios con información sectorial en el SIG Cauca </t>
  </si>
  <si>
    <t>Número de municipios con información sectorial en el SIG Cauca.</t>
  </si>
  <si>
    <t>PROYECTO SIG CAUCA</t>
  </si>
  <si>
    <t>DEPARTAMENTO</t>
  </si>
  <si>
    <t>MUNICIPIOS DEL DEPARTAMENTO DEL CAUCA CON INFORMACION EN EL SIG EN COORDINACION CON EL SISTEMA SIASAR DE PLANEACION NACIONAL</t>
  </si>
  <si>
    <t>Secretaria de Agricultura-Gobernacion del Cauca.</t>
  </si>
  <si>
    <t>Garantizar en el 100% de los municipios  que reporten emergencias la continuidad en la prestación de los servicios de acueductos, alcantarillado y aseo - AAA.</t>
  </si>
  <si>
    <t>Número de emergencias reportadas en forma adecuada ante la Unidad de Gestión del Riesgo / Número de emergencias atendida *100</t>
  </si>
  <si>
    <t>34 emergencias atendidas hasta el año 2015</t>
  </si>
  <si>
    <t>Atender el 100% de las emergencias reportadas en forma adecuada ante la Unidad de Gestión del Riesgo</t>
  </si>
  <si>
    <t>Número de emergencias reportadas en forma adecuada ante la Unidad de Gestión del Riesgo / Número de emergencias atendidas *100</t>
  </si>
  <si>
    <t>Roberth Hormiga-Subgerente Técnico-Libre nombramiento y remoción
Ruben Santacruz-Profesional Universitario-Libre nombramiento y Remoción</t>
  </si>
  <si>
    <t>Ejecutar 10 Proyectos con acciones de reducción del riesgo en la prestación de los servicios públicos  domiciliarios Acueducto Alcantarillado Aseo AAA</t>
  </si>
  <si>
    <t>Número de proyectos con acciones de reducción del riesgo en la prestación de los servicios públicos  domiciliarios Acueducto Alcantarillado Aseo –AAA ejecutados</t>
  </si>
  <si>
    <t>OBRAS DE REDUCCIÓN SOBRE LA PLANTA DE TRATAMIENTO DE AGUA POTABLE DE LA CABECERA MUNICIPAL DE SUÁREZ</t>
  </si>
  <si>
    <t>PLANTA DE TRATAMIENTO CON REDUCCION</t>
  </si>
  <si>
    <t>REHABILITACIÓN TANQUE PIENDAMÓ</t>
  </si>
  <si>
    <t>RECONSTRUCCION DE BOCATOMA, REHABILITACION DEL ACUEDUCTO QUE SURTE LA CABECERA MUNICIPAL DE PAEZ, GUAPOTÁ</t>
  </si>
  <si>
    <t>RECONSTRUCCIÓN ACUEDUCTO VDA SAN ANDRÉS, SANTA ROSA</t>
  </si>
  <si>
    <t>ESTUDIOS Y DISEÑOS VIADUCTO OLAYA</t>
  </si>
  <si>
    <t>CONSTRUCCION DE OBRA MECANICA SOBRE MARGEN IZQUIERDA DEL RIO MOLINO COMO ACCION CORRECTIVA PARA LA PROTECCION DE LA BOCATOMA MOLINO</t>
  </si>
  <si>
    <t>REHABILITACION DEL ACUEDUCTO QUE SURTE LA CABECERA MUNICIPAL Y LA VEREDA SAN ANTONIO MUNICIPIO DE INZA</t>
  </si>
  <si>
    <t>Implementar  en el 100%  de los municipios vinculados al Plan Departamental de Agua- PDA - esquemas de prestación de servicios sostenibles</t>
  </si>
  <si>
    <t xml:space="preserve">Porcentaje de municipios  vinculados al Plan Departamental de Agua- PDA – con esquemas de prestación de servicios sostenibles implementados </t>
  </si>
  <si>
    <t>Implementar  21  planes de aseguramiento para entidades administradoras de los servicios públicos en áreas legales, técnicas, administrativas y comerciales.</t>
  </si>
  <si>
    <t xml:space="preserve">Número de planes de aseguramiento para entidades administradoras de los servicios públicos en áreas legales, técnicas, administrativas y comerciales implementados </t>
  </si>
  <si>
    <t>Plan de Aseguramiento de la prestación de los servicios de Agua Potable y Saneamiento Básico en los municipios vinculados al programa agua y saneamiento para la prosperidad- Planes Departamentales para el manejo empresarial de los seervicios de agua y saneamiento PAP-PDA.</t>
  </si>
  <si>
    <t>TOTORO GABRIEL LOPEZ</t>
  </si>
  <si>
    <t>Fase de Diagnostico y caracterización
Fase de prefactibilidad. 
fase de estructuración y ejecución.
fase de puesta en marcha de la entidad constituida.
Área Administrativa-Revisión contratos laborales-Planta de personal- Manuales de funciones- Procedimientos- Sistema de Gestión de la Calidad- Sistema de Seguridad y salud en el trabajo.
Área comercial-catastro de suscriptores-costos y tarifas-manejo facturación-contrato de condiciones uniformes- oficina PQR.
Área financiera-manejo contable SSPD-costos y gastos ABC-.
Proceso operativo tecnico- manuales de operción y mantenimiento- capacitación calidad de agua- -inventario de infraestructura.
Componente social- socialización Plan de aseguramiento. 
optimización operacional, evaluación y monitoreo de los componentes del sistema de acueducto para la puesta en marcha.</t>
  </si>
  <si>
    <t>ASTRID PAREDES FUENTES - - SUBGERENTE ADMINISTRATIVO Y FINANCIERO- LIBRE NOMBRAMIENTO Y REMOCIÓN.
IBETH MUÑOZ HERNANDEZ- Profesional Especializado
CONTRATISTAS  PRESTACIÓN DE SERVICIOS  Y APOYO A LA SUPERVISIÓN.</t>
  </si>
  <si>
    <t>MORALES</t>
  </si>
  <si>
    <t xml:space="preserve">Fase de prefactibilidad. 
fase de estructuración y ejecución.
fase de puesta en marcha de la entidad constituida.
Área Administrativa-Revisión contratos laborales-Planta de personal- Manuales de funciones- Procedimientos- Sistema de Gestión de la Calidad- Sistema de Seguridad y salud en el trabajo.
Área comercial-catastro de suscriptores-costos y tarifas-manejo facturación-contrato de condiciones uniformes- oficina PQR.
Área financiera-manejo contable SSPD-costos y gastos ABC-Asesoria normas NIC_NIIF.Concurso economico.
Proceso operativo tecnico- manuales de operción y mantenimiento- capacitación calidad de agua- Plan de contingencia-inventario de infraestructura.
Componente social- socialización Plan de aseguramiento.apoyo en la conformación de los Comites de Desarrollo y Control Social- Comites de Estratificación- </t>
  </si>
  <si>
    <t>Fase de Diagnostico y caracterización
Fase de prefactibilidad. 
fase de estructuración y ejecución.
fase de puesta en marcha de la entidad constituida.
Área Administrativa-Revisión contratos laborales-Planta de personal- Manuales de funciones- Procedimientos- Sistema de Gestión de la Calidad- Sistema de Seguridad y salud en el trabajo.
Área comercial-catastro de suscriptores-costos y tarifas-manejo facturación-contrato de condiciones uniformes- oficina PQR.
Área financiera-manejo contable SSPD-costos y gastos ABC-Asesoria normas NIC_NIIF.Concurso economico.
Proceso operativo tecnico- manuales de operción y mantenimiento- capacitación calidad de agua- Plan de contingencia-inventario de infraestructura.
Componente social- socialización Plan de aseguramiento.apoyo en la conformación de los Comites de Desarrollo y Control Social- Comites de Estratificación- 
optimización operacional, evaluación y monitoreo de los componentes del sistema de acueducto para la puesta en marcha.</t>
  </si>
  <si>
    <t>BOTA CAUCANA</t>
  </si>
  <si>
    <t>Fase de Diagnostico .
Area legal. Revisión y mejoramiento al proceso de constitución de la entidad.
Área Administrativa-Revisión contratos laborales-Planta de personal- Manuales de funciones- Procedimientos- Sistema de Gestión de la Calidad- Sistema de Seguridad y salud en el trabajo.
Área comercial-catastro de suscriptores-costos y tarifas-manejo facturación-contrato de condiciones uniformes- oficina PQR.
Área financiera-manejo contable SSPD-costos y gastos ABC-Asesoria normas NIC_NIIF.Concurso economico.
Proceso operativo tecnico- manuales de operción y mantenimiento- capacitación calidad de agua- Plan de contingencia-inventario de infraestructura.
Componente social- socialización Plan de aseguramiento.apoyo en la conformación de los Comites de Desarrollo y Control Social- Comites de Estratificación- 
optimización operacional, evaluación y monitoreo de los componentes del sistema de acueducto para la puesta en marcha.</t>
  </si>
  <si>
    <t>TORIBIO CABECERA</t>
  </si>
  <si>
    <t>TOTORO-CARGA CHIQUILLOS</t>
  </si>
  <si>
    <t xml:space="preserve">JAMBALO </t>
  </si>
  <si>
    <t>LOPEZ DE MICAY</t>
  </si>
  <si>
    <t>PACIFICO</t>
  </si>
  <si>
    <t>BUENOS AIRES- NUEVE VEREDAS</t>
  </si>
  <si>
    <t>CALOTO</t>
  </si>
  <si>
    <t>TIMBIO-SALADITO</t>
  </si>
  <si>
    <t>Implementar en 100% la política Nacional de Agua potable y saneamiento básico de los municipios vinculados al – Plan Departamental de Agua - PDA</t>
  </si>
  <si>
    <t xml:space="preserve">Porcentaje de la política Nacional de Agua potable y saneamiento básico de los municipios vinculados al – Plan Departamental de Agua – PDA – implementada </t>
  </si>
  <si>
    <t>33 municipios vinculados al -PDA</t>
  </si>
  <si>
    <t>Implementar el 26% del programa Plan Departamental de Agua</t>
  </si>
  <si>
    <t xml:space="preserve">Porcentaje del programa Plan Departamental de Agua implementado </t>
  </si>
  <si>
    <t>Plan de operatividad del Gestor</t>
  </si>
  <si>
    <t>38 vinculados (excepto Almaguer, Caldono,Corinto y Sucre)</t>
  </si>
  <si>
    <t>TODAS</t>
  </si>
  <si>
    <t>ASTRID PAREDES FUENTES - - SUBGERENTE ADMINISTRATIVO Y FINANCIERO- LIBRE NOMBRAMIENTO Y REMOCIÓN.</t>
  </si>
  <si>
    <t xml:space="preserve">Mejorar en  10 municipios  la gestión o el manejo integral de los residuos sólidos </t>
  </si>
  <si>
    <t>Número de municipios con gestión o manejo integral de los residuos sólidos mejorado</t>
  </si>
  <si>
    <t>Impacto ambiental</t>
  </si>
  <si>
    <t>Ejecutar  proyectos ambientalmente sostenibles que  disminuyan el impacto negativo que genera la acción del hombre en el medio natural y social.</t>
  </si>
  <si>
    <t xml:space="preserve">Ejecutar 30 proyectos que  mejoren los indicadores de Gestión o Manejo integral de residuos sólidos. </t>
  </si>
  <si>
    <t>Número de proyectos que  mejoren los indicadores de Gestión o Manejo integral de residuos sólidos ejecutados</t>
  </si>
  <si>
    <t xml:space="preserve">FORTALECIMIENTO DEL SISTEMA DE RECOLECCION Y TRANSPORTE DE RESIDUOS SOLIDOS DOMICILIARIOS EN EL MUNICIPIO DE JAMBALO </t>
  </si>
  <si>
    <t>PLANTA DE APROVECHAMIENTO ORGÁNICOS POPAYÁN</t>
  </si>
  <si>
    <t>ADQUISICION DEL VEHICULO COMPACTADOR DE RESIDUOS SÓLIDOS PARA EL MUNICIPIO DE BALBOA</t>
  </si>
  <si>
    <t>ADQUISICION DEL VEHICULO COMPACTADOR DE RESIDUOS SÓLIDOS PARA EL MUNICIPIO DE GUACHENÉ</t>
  </si>
  <si>
    <t>GUACHENE</t>
  </si>
  <si>
    <t>ADQUISICION DEL VEHICULO RECOLECTOR DE RESIDUOS SÓLIDOS DOMICILIARIOS PARA SU DISPOSICIÓN FINAL EN EL RELLENO SANITARIO DEL MUNICIPIO PURACÉ</t>
  </si>
  <si>
    <t>ESTUDIOS Y DISEÑOS RELLENO SANITARIO ARGELIA</t>
  </si>
  <si>
    <t>DIAGNOSTICO AMBIENTAL DE ALTERNATIVAS MUNICIPIO DE LA VEGA</t>
  </si>
  <si>
    <t>DIAGNOSTICO AMBIENTAL DE ALTERNATIVAS MUNICIPIO DE PIAMONTE</t>
  </si>
  <si>
    <t>DIAGNOSTICO AMBIENTAL DE ALTERNATIVAS MUNICIPIO DE MERCADERES</t>
  </si>
  <si>
    <t xml:space="preserve">CONSTRUCCION DE CELDA DE CONTINGENCIA EN LA VEREDA TEMUEY DEL MUNICIPIO DE GUAPI PARA LA DISPOSICION DE RESIDUOS SOLIDOS DE LA CABECERA MUNICIPAL. </t>
  </si>
  <si>
    <t>GUAPI</t>
  </si>
  <si>
    <t>AJUSTE DISEÑO PARA LA CONSTRUCCIÓN DE RELLENO SANITARIO PARA EL MUNICIPIO DE LÓPEZ DE MICAY</t>
  </si>
  <si>
    <t>DIAGNOSTICO AMBIENTAL DE ALTERNATIVAS PARA LA SELECCIÓN DEL SITIO DE DISPOSICION FINAL DE RESIDUOS SOLIDOS PARA EL MUNICIPIO DE SANTA ROSA, SECTOR SAN JUAN DE VILLA LOBOS</t>
  </si>
  <si>
    <t>ESTACION DE CLASIFICACION Y APROVECHAMIENTO ECA DEL MUNICIPIO DE POPAYAN(ESTUDIOS Y DISEÑOS)</t>
  </si>
  <si>
    <t>FORTALECIMIENTO DEL SISTEMA DE RECOLECCION Y TRANSPORTE DE RESIDUOS SOLIDOS DOMICILIARIOS EN EL MUNICIPIO DE SANTA ROSA</t>
  </si>
  <si>
    <t>Incrementar en un 10%  el caudal de aguas tratadas.</t>
  </si>
  <si>
    <t>Porcentaje del caudal de aguas tratadas incrementado</t>
  </si>
  <si>
    <t xml:space="preserve"> 90,33 LPS</t>
  </si>
  <si>
    <t xml:space="preserve">Construir 5 sistemas de manejo de vertimientos </t>
  </si>
  <si>
    <t xml:space="preserve">Número de sistemas de manejo de vertimientos construidos </t>
  </si>
  <si>
    <t>CONSTRUCCIÓN PTAR BALBOA</t>
  </si>
  <si>
    <t>CONSTRUCCIÓN PTAR BRISAS DE SAN JOSÉ, INZÁ</t>
  </si>
  <si>
    <t>CONSTRUCCIÓN PTAR LA VICTORIA INZÁ</t>
  </si>
  <si>
    <t>CONSTRUCCIÓN PTAR LOMITAS, MUNICIPIO DE BALBOA</t>
  </si>
  <si>
    <t>CONSTRUCCIÓN PTAR RIO CHIQUITO, MUNICIPIO DE PAEZ</t>
  </si>
  <si>
    <t>CONSTRUCCIÓN PTAR EN LA CABECERA MUNICIPAL DE LA SIERRA</t>
  </si>
  <si>
    <t>CONSTRUCCIÓN SISTEMA DE ALCANTARILLADO Y PTAR LA VEGA</t>
  </si>
  <si>
    <t>CONSTRUCCIÓN PTAR EL PLATEADO, MUNICIPIO DE ARGELIA</t>
  </si>
  <si>
    <t>CONSTRUCCIÓN PTAR SINAÍ, BALBOA</t>
  </si>
  <si>
    <t xml:space="preserve">Optimizar 20 sistemas de manejo de vertimientos </t>
  </si>
  <si>
    <t xml:space="preserve">Número de sistemas de manejo de vertimientos optimizados </t>
  </si>
  <si>
    <t>OPTIMIZACION DE FUNCIONAMIENTO DE LAS TRES PLANTAS DE TRATAMIENTO DE AGUAS RESIDUALES  PTAR LOS ALPES, MUNICIPIO DE PIENDAMO DEPARTAMENTO DEL CAUCA</t>
  </si>
  <si>
    <t>OPTIMIZACION DE FUNCIONAMIENTO DE LAS TRES PLANTAS DE TRATAMIENTO DE AGUAS RESIDUALES PTAR SAN CAYETANO, MUNICIPIO DE PIENDAMO DEPARTAMENTO DEL CAUCA</t>
  </si>
  <si>
    <t>OPTIMIZACION DE FUNCIONAMIENTO DE LAS TRES PLANTAS DE TRATAMIENTO DE AGUAS RESIDUALES, PTAR PRIMAVERA MUNICIPIO DE PIENDAMO DEPARTAMENTO DEL CAUCA</t>
  </si>
  <si>
    <t>FILTRO PTAR COCONUCO</t>
  </si>
  <si>
    <t>LECHOS DE SECADO EN CALOTO</t>
  </si>
  <si>
    <t>OPTIMIZACIÓN PTAR YARUMALES, PADILLA</t>
  </si>
  <si>
    <t>CONSTRUCCIÓN SOLUCIONES INDIVIDUALES  SILVIA</t>
  </si>
  <si>
    <t>OPTIMIZACION DE FUNCIONAMIENTO DE LA PLANTAS DE TRATAMIENTO DE AGUAS RESIDUALES, PTAR MEDIALOMA MUNICIPIO DE PIENDAMO DEPARTAMENTO DEL CAUCA</t>
  </si>
  <si>
    <t>CONSTRUCCIÓN SOLUCIONES INDIVIDUALES LOPEZ DE MICAY</t>
  </si>
  <si>
    <t>CONSTRUCCIÓN SOLUCIONES INDIVIDUALES SAN SEBASTÍAN</t>
  </si>
  <si>
    <t xml:space="preserve">CONSTRUCCIÓN SOLUCIONES INDIVIDUALES LA VEGA </t>
  </si>
  <si>
    <t>CONSTRUCCIÓN SOLUCIONES INDIVIDUALES SANTA ROSA</t>
  </si>
  <si>
    <t>LECHOS DE SECADO MORALES</t>
  </si>
  <si>
    <t>OPTIMIZACIÓN PTAR LA CUCHILLA MUNICIPIO DE LA SIERRA</t>
  </si>
  <si>
    <t>OPTMIZACION TANQUE SÉPTICO FAFA EN EL BARRIO CEMENTERIO CABECERA MUNICIPAL DE LA VEGA</t>
  </si>
  <si>
    <t>OPTIMIZACIÓN PTAR SALIDA EL CAIRO, MUNICIPIO DE CAJIBIO</t>
  </si>
  <si>
    <t>OPTIMIZACIÓN PTAR CHAYANÍ, MUNICIPIO DE CAJIBIO</t>
  </si>
  <si>
    <t>OPTIMIZACIÓN PTAR EL JARDÍN, MUNICIPIO DE CAJIBIO</t>
  </si>
  <si>
    <t>OPTIMIZACIÓN PTAR LA PEDREGOSA, MUNICIPIO DE CAJIBIO</t>
  </si>
  <si>
    <t>OPTIMIZACIÓN PTAR CABECERA MUNICIPAL DE TIMBIO</t>
  </si>
  <si>
    <t>Ejecutar el 100% de los proyectos acueducto, alcantarillado y aseo con Planes de Manejo Ambiental</t>
  </si>
  <si>
    <t>Porcentaje de los proyectos acueducto, alcantarillado y aseo con Planes de Manejo Ambiental ejecutados</t>
  </si>
  <si>
    <t>Apoyar la formulación de 9  Planes de Saneamiento y Manejo de Vertimientos -PSMV</t>
  </si>
  <si>
    <t xml:space="preserve">Número de Planes de Saneamiento y Manejo de Vertimientos –PSMV apoyados en su formulación </t>
  </si>
  <si>
    <t>FORMULACION DEL PLAN DE SANEAMIENTO Y MANEJO DE VERTIMIENTOS EN EL MUNICIPIO DE MORALES</t>
  </si>
  <si>
    <t>FORMULACION DEL PLAN DE SANEAMIENTO Y MANEJO DE VERTIMIENTOS EN EL MUNICIPIO DE SAN SEBASTIÁN</t>
  </si>
  <si>
    <t>FORMULACION DEL PLAN DE SANEAMIENTO Y MANEJO DE VERTIMIENTOS EN EL MUNICIPIO DE SOTARÁ</t>
  </si>
  <si>
    <t>SOTARA</t>
  </si>
  <si>
    <t>FORMULACION DEL PLAN DE SANEAMIENTO Y MANEJO DE VERTIMIENTOS EN EL MUNICIPIO DE ROSAS</t>
  </si>
  <si>
    <t>FORMULACION DEL PLAN DE SANEAMIENTO Y MANEJO DE VERTIMIENTOS EN EL MUNICIPIO DE TOTORÓ</t>
  </si>
  <si>
    <t>FORMULACION DEL PLAN DE SANEAMIENTO Y MANEJO DE VERTIMIENTOS EN EL MUNICIPIO DE LA SIERRA</t>
  </si>
  <si>
    <t>PERMISO DE VERTIMIENTOS TRAPICHE-LOS ROBLES-VITOYÓ</t>
  </si>
  <si>
    <t>PERMISO DE VERTIMIENTOS SAN JUAN DE VILLALOBOS-SAN CAYETANO-LA PRIMAVERA-LOS ALPES</t>
  </si>
  <si>
    <t>PERMISO DE VERTIMIENTOS LOPEZ DE MICAY Y GUAPI RELLENOS</t>
  </si>
  <si>
    <t>PERMISO DE VERTIMIENTOS EL ESTRECHO, EL CAIRO, CHAYANI, EL JARDIN, RIO CHIQUITO.</t>
  </si>
  <si>
    <t>Apoyar la formulación de 15  Planes de Uso Eficiente y Ahorro del Agua   -PUEAA</t>
  </si>
  <si>
    <t xml:space="preserve">Número Planes de Uso Eficiente y Ahorro del Agua   -PUEAA que se apoya su formulación </t>
  </si>
  <si>
    <t>FORMULACION DE PLAN DE AHORRO Y USO EFICIENTE DE AGUA DEL MUNICIPIO DE ROSAS</t>
  </si>
  <si>
    <t>FORMULACION DE PLAN DE AHORRO Y USO EFICIENTE DE AGUA DEL MUNICIPIO DE SAN SEBASTIÁN</t>
  </si>
  <si>
    <t>FORMULACION DE PLAN DE AHORRO Y USO EFICIENTE DE AGUA DEL MUNICIPIO DE GUAPI</t>
  </si>
  <si>
    <t>FORMULACION DE PLAN DE AHORRO Y USO EFICIENTE DE AGUA DEL MUNICIPIO DE LA SIERRA</t>
  </si>
  <si>
    <t>FORMULACION DE PLAN DE AHORRO Y USO EFICIENTE DE AGUA DEL MUNICIPIO DE LA VEGA</t>
  </si>
  <si>
    <t>FORMULACION DE PLAN DE AHORRO Y USO EFICIENTE DE AGUA DEL MUNICIPIO DE LÓPEZ DE MICAY</t>
  </si>
  <si>
    <t>FORMULACION DE PLAN DE AHORRO Y USO EFICIENTE DE AGUA DEL MUNICIPIO DE SANTA ROSA</t>
  </si>
  <si>
    <t>FORMULACION DE PLAN DE AHORRO Y USO EFICIENTE DE AGUA DEL MUNICIPIO DE SUÁREZ</t>
  </si>
  <si>
    <t>FORMULACION DE PLAN DE AHORRO Y USO EFICIENTE DE AGUA DEL MUNICIPIO DE  PÁEZ</t>
  </si>
  <si>
    <t>FORMULACION DE PLAN DE AHORRO Y USO EFICIENTE DE AGUA DEL MUNICIPIO DE  PADILLA</t>
  </si>
  <si>
    <t>FORMULACION DE PLAN DE AHORRO Y USO EFICIENTE DE AGUA DEL MUNICIPIO DE CALOTO</t>
  </si>
  <si>
    <t>FORMULACION DE PLAN DE AHORRO Y USO EFICIENTE DE AGUA DEL MUNICIPIO DE BOLIVAR</t>
  </si>
  <si>
    <t xml:space="preserve">Apoyar la formulación de 3 Planes de Gestión Integral de residuos Sólidos - PGIRS </t>
  </si>
  <si>
    <t xml:space="preserve">Número de Planes de Gestión Integral de residuos Sólidos - PGIRS - apoyados en su formulación </t>
  </si>
  <si>
    <t xml:space="preserve"> FORMULACION PLAN DE GESTIÓN INTEGRAL DE RESIDUOS SÓLIDOS EN EL MUNICIPIO PUERTO TEJADA</t>
  </si>
  <si>
    <t>FORMULACION PLAN DE GESTIÓN INTEGRAL DE RESIDUOS SÓLIDOS EN EL MUNICIPIO PIENDAMÓ</t>
  </si>
  <si>
    <t>FORMULACION PLAN DE GESTIÓN INTEGRAL DE RESIDUOS SÓLIDOS EN EL MUNICIPIO LA SIERRA</t>
  </si>
  <si>
    <t>Incrementar en 2%  la cobertura de acueducto</t>
  </si>
  <si>
    <t xml:space="preserve">Porcentaje de cobertura de acueducto incrementado </t>
  </si>
  <si>
    <t>Infraestructura de acueducto y alcantarillado</t>
  </si>
  <si>
    <t xml:space="preserve">Contribuir con la inversión  en obras de  infraestructura de los sistemas de acueducto, alcantarillado y aseo, como soporte físico para la prestación adecuada  del servicio  </t>
  </si>
  <si>
    <t>Beneficiar a 6.000 nuevas personas con el servicio de acueducto en el área urbana</t>
  </si>
  <si>
    <t xml:space="preserve">Número de nuevas personas con el servicio de acueducto en el área urbana beneficiadas </t>
  </si>
  <si>
    <t>OPTIMIZACION DEL SISTEMA DE ACUEDUCTO DE  EL BORDO CABECERA MUNICIPAL DEL PATIA DEPARTAMENTO DEL CAUCA</t>
  </si>
  <si>
    <t>Beneficiar a 25.000 nuevas personas con el servicio de acueducto en la zona rural</t>
  </si>
  <si>
    <t>Número de nuevas personas con el servicio de acueducto en la zona rural beneficiadas</t>
  </si>
  <si>
    <t>CONSTRUCCION Y OPTIMIZACION DEL ACUEDUCTO DE PALO BLANCO Y NUEVE VEREDAS MAS, TERCERA FASE. MUNICIPIO DE BUENOS AIRES DEPARTAMENTO DEL CAUCA</t>
  </si>
  <si>
    <t>CONSTRUCCION DE OBRAS DE OPTIMIZACION Y PLANTA DE TRATAMIENTO DE AGUA POTABLE DEL SISTEMA DE ACUEDUCTO INTERVEREDAL ZONA NORTE, MUNICIPIO DE SANTANDER DE QUILICHAO</t>
  </si>
  <si>
    <t>REFORMULACIONCONSTRUCCION SISTEMA DE ACUEDUCTO INTERVEREDAL Y OBRAS DE OPTIMIZACION TANQUES DE ALMACENAMIENTO ZONA BAJA MUNICIPIO DE JAMBALO - CAUCA.</t>
  </si>
  <si>
    <t>CONSTRUCCION OBRAS DE OPTIMIZACION SISTEMA DE TRATAMIENTO DE AGUA POTABLE, ACUEDUCTO REGIONAL RIO BERMEJO- MUNICIPIOS DE PATIA-BALBOA Y MERCADERES</t>
  </si>
  <si>
    <t>PATIA-MERCADERES-BALBOA</t>
  </si>
  <si>
    <t>Incrementar en 0.5%  la cobertura de alcantarillado</t>
  </si>
  <si>
    <t xml:space="preserve">Porcentaje de cobertura de alcantarillado incrementado  </t>
  </si>
  <si>
    <t>Beneficiar a 4.500 nuevas personas con el servicio de alcantarillado en el área urbana</t>
  </si>
  <si>
    <t>Número de nuevas personas con el servicio de alcantarillado en el área urbana beneficiadas</t>
  </si>
  <si>
    <t>CONSTRUCCION DE OBRAS DE OPTIMIZACION Y AMPLIACION  DEL SISTEMA DE ALCANTARILLADO SANITARIO Y CONSTRUCCION DEL SISTEMA DE TRATAMIENTO DE AGUAS RESIDUALES DEL CENTRO POBLADO DE EL PLATEADO, MUNICIPIO DE ARGELIA</t>
  </si>
  <si>
    <t xml:space="preserve">Beneficiar a 4000  nuevas personas con acceso a una solución de alcantarillado en la  zona rural </t>
  </si>
  <si>
    <t>Número de nuevas personas con acceso a una solución de alcantarillado en la zona rural beneficiadas</t>
  </si>
  <si>
    <t>CONSTRUCCION DE REDES DE RECOLECCION DE ALCANTARILLADO SANITARIO DE SECTOR DE CAMBALACHE, VEREDA SAN PEDRO EN LA CABECERA MUNICIPAL DE SANTANDER DE QUILICHAO.</t>
  </si>
  <si>
    <t>SANTANDER DE CHILICHAO</t>
  </si>
  <si>
    <t>CONSTRUCCION DEL SISTEMA DE ALCANTARILLADO SANITARIO SECTOR CARRETERA Y OPTIMIZACION DE LA PTAR EN EL CORREGIMIENTO DE YARUMALES, MUNICIPIO DE PADILLA CAUCA</t>
  </si>
  <si>
    <t>DEPENDENCIA RESPONSABLE: EMCASERVICIOS S.A. ESP.</t>
  </si>
  <si>
    <t>DEPENDENCIA RESPONSABLE: OFICINA ASESORA DE PLANEACIÓN</t>
  </si>
  <si>
    <t>RECURSOS PROGRAMADOS POR META VIGENCIA 2018 (MILES DE PESOS)</t>
  </si>
  <si>
    <t>CODIGO SSEPI</t>
  </si>
  <si>
    <t>DEPENDENCIA RESPONSABLE</t>
  </si>
  <si>
    <r>
      <t>F D R</t>
    </r>
    <r>
      <rPr>
        <b/>
        <sz val="10"/>
        <color rgb="FFFF0000"/>
        <rFont val="Calibri"/>
        <family val="2"/>
        <scheme val="minor"/>
      </rPr>
      <t xml:space="preserve"> </t>
    </r>
  </si>
  <si>
    <r>
      <t>CTI</t>
    </r>
    <r>
      <rPr>
        <b/>
        <sz val="10"/>
        <color rgb="FFFF0000"/>
        <rFont val="Calibri"/>
        <family val="2"/>
        <scheme val="minor"/>
      </rPr>
      <t xml:space="preserve"> </t>
    </r>
  </si>
  <si>
    <t xml:space="preserve">Mantener en nivel sobresaliente la evaluación del componente de eficacia </t>
  </si>
  <si>
    <t>Nivel de evaluación del componente de eficacia</t>
  </si>
  <si>
    <t>Nivel sobresaliente</t>
  </si>
  <si>
    <t>Fortalecimiento de los procesos de planeación y evaluación de la gestión</t>
  </si>
  <si>
    <t xml:space="preserve">Mantener un sistema de seguimiento y control que permita al Gobierno Departamental la toma de decisiones oportunas. </t>
  </si>
  <si>
    <t>Realizar 11 informes de seguimiento y rendición de cuentas</t>
  </si>
  <si>
    <t>Número de informes de seguimientos y rendición de cuentas realizados</t>
  </si>
  <si>
    <t>Unidad de pLanificación</t>
  </si>
  <si>
    <t>Oficina Asesora de Planeación</t>
  </si>
  <si>
    <t>Realizar seguimiento aleatorio al 10% de proyectos viabilizados por el banco de proyectos</t>
  </si>
  <si>
    <t xml:space="preserve">Porcentaje de proyectos viabilizados por el banco de proyectos con seguimiento aleatorio realizados </t>
  </si>
  <si>
    <t>Unidad de Inversión Püblica</t>
  </si>
  <si>
    <t xml:space="preserve">Dar apoyo administrativo,  técnico y logístico al Consejo Departamental de Planeación.  </t>
  </si>
  <si>
    <t>Apoyar 19 reuniones del Consejo Departamental de Planeación</t>
  </si>
  <si>
    <t xml:space="preserve">Número reuniones del Consejo Departamental de Planeación apoyadas </t>
  </si>
  <si>
    <t>Apoyar 2 reuniones del Consejo Departamental de Planeación</t>
  </si>
  <si>
    <t>Establecer directrices de Ordenamiento Territorial e instrumentos para el ordenamiento de porciones del territorio.</t>
  </si>
  <si>
    <t>Construir 1 documento con las directrices del  de Ordenamiento Territorial Departamental</t>
  </si>
  <si>
    <t>Número de documentos con las directrices del  de Ordenamiento Territorial Departamental construidos</t>
  </si>
  <si>
    <t>Despacho</t>
  </si>
  <si>
    <t>Incrementar en 8% la calificación del ranking integral municipal</t>
  </si>
  <si>
    <t>Porcentaje de incremento en la evaluación del ranking integral municipal incrementado</t>
  </si>
  <si>
    <t>Asesoría integral a las administraciones municipales</t>
  </si>
  <si>
    <t>Fortalecer la capacidad de gestión de las administraciones municipales</t>
  </si>
  <si>
    <t>Realizar 100 eventos de capacitación en gestión pública</t>
  </si>
  <si>
    <t>Número eventos de capacitación en gestión pública realizados</t>
  </si>
  <si>
    <t xml:space="preserve">Instrumentos de planificación </t>
  </si>
  <si>
    <t>Generar herramientas de planificación que permitan mejorar en la ciudadanía e instituciones, la cultura de uso y aprovechamiento de la información, incentivando el proceso de toma de decisiones, transparencia, seguimiento y la evaluación de las políticas y programas de gobierno.</t>
  </si>
  <si>
    <t>Fortalecer el Sistema de Información Socioeconómica del Cauca - Tángara</t>
  </si>
  <si>
    <t>Sistema de Información Socioeconómica del Cauca - Tángara, Fortalecido</t>
  </si>
  <si>
    <t>1 Sistema de Información Socioeconómica del Cauca - implementado</t>
  </si>
  <si>
    <t>Unidad de Información</t>
  </si>
  <si>
    <t>Construir en un 100% documento con las directrices del  de Ordenamiento Territorial Departamental</t>
  </si>
  <si>
    <t>Realizar 20 eventos de capacitación en gestión pública</t>
  </si>
  <si>
    <t>Realizar 4 informes de seguimiento y rendición de cuentas</t>
  </si>
  <si>
    <t>DEPENDENCIA RESPONSABLE: SECRETARIA DE HACIENDA</t>
  </si>
  <si>
    <t>META  AL CUATRIENIO</t>
  </si>
  <si>
    <t>TIEMPO DE EJECUCION</t>
  </si>
  <si>
    <t>VALOR ACTUAL - linea base</t>
  </si>
  <si>
    <t>SISTEMA GENERAL DE PARTIICPACIONES</t>
  </si>
  <si>
    <t>PRESSUPUETO GENERAL DE LA NACIÓN</t>
  </si>
  <si>
    <t>Incrementar en un 10%  las rentas del Departamento</t>
  </si>
  <si>
    <t xml:space="preserve">Porcentaje de las rentas del Departamento incrementadas </t>
  </si>
  <si>
    <t>128.198 millones</t>
  </si>
  <si>
    <t>Fortalecimiento Financiero</t>
  </si>
  <si>
    <t>Incrementar el recaudo de los ingresos tributarios del Departamento manteniendo indicadores de responsabilidad fiscal sanos haciendo uso eficiente de los recursos propios.</t>
  </si>
  <si>
    <t>Ejecutar 1 plan de acción para el fortalecimiento y modernización de la Oficina de Rentas del Departamento</t>
  </si>
  <si>
    <t xml:space="preserve">Número de planes de acción para el fortalecimiento y modernización de la Oficina de Rentas del Departamento ejecutados </t>
  </si>
  <si>
    <t>Apoyo a la Gestión misional de la Secretaria de Hacienda para el periodo 2016-2017en el Departamento del Cauca</t>
  </si>
  <si>
    <t>2016-0190000055</t>
  </si>
  <si>
    <t xml:space="preserve"> - Disponer de una planta de personal profesiona, técnico y asistencial suficiente en la secretaria de hacienda del Departamento del Cauca - Dotación de medios operativos, - sofwares de cobro de impuestos al consumo y el de vehiculos contratados y operando.</t>
  </si>
  <si>
    <t>Jefe Oficina de Impuestos y Rentas</t>
  </si>
  <si>
    <t>Implementar 1 Programa de Saneamiento Fiscal y Financiero voluntario del Departamento</t>
  </si>
  <si>
    <t xml:space="preserve">Número de Programas de Saneamiento Fiscal y Financiero voluntario del Departamento implementados </t>
  </si>
  <si>
    <t>Programa de Saneamiento Fiscal y Financiero 2012-2015</t>
  </si>
  <si>
    <t>Programa de Saneamiento Fiscal y Financiero Departamento del Cauc</t>
  </si>
  <si>
    <t xml:space="preserve"> - Programa de saneamiento fiscal y financiero implementado</t>
  </si>
  <si>
    <t>Secretario de Hacienda, Jefe Oficina de Presupeusto</t>
  </si>
  <si>
    <t>Implementar 1 Plan de Saneamiento de Cartera</t>
  </si>
  <si>
    <t xml:space="preserve">Número de Planes de Saneamiento de Cartera implementados </t>
  </si>
  <si>
    <t xml:space="preserve"> Plan de Saneamiento de Cartera</t>
  </si>
  <si>
    <t xml:space="preserve"> Plan de Saneamiento de Cartera implementado</t>
  </si>
  <si>
    <t>Jefe Oficina de Impuestos y Rentas,  Jefe Oficina de Contabilidad</t>
  </si>
  <si>
    <t>Los recursos se ejecutan con el personal de planta y/o contratistas</t>
  </si>
  <si>
    <t>Ejecutar 1 plan de acción para el saneamiento contable de los bienes inmuebles del Departamento</t>
  </si>
  <si>
    <t xml:space="preserve">Número de planes de acción para el saneamiento contable de los bienes inmuebles del Departamento ejecutados </t>
  </si>
  <si>
    <t>Saneamiento contable de los bienes inmuebles del Departamento</t>
  </si>
  <si>
    <t xml:space="preserve"> - Plan de acción elaborado</t>
  </si>
  <si>
    <t>Jefe Oficina de Contabilidad</t>
  </si>
  <si>
    <t>RECURSOS POR PROYECTO PROGRAMADOS VIGENCIA 2019(MILES DE PESOS)</t>
  </si>
  <si>
    <t xml:space="preserve">Implementar 1 estrategia integral que permita disminuir la violencia estructural generadora de conflicto (priorizando las subregiónes: Oriente, Macizo,  Sur y Piedemonte Amazónico) </t>
  </si>
  <si>
    <t xml:space="preserve">Número de estrategias integrales que permita disminuir la violencia estructural generadora de conflicto (priorizando las subregiónes: Oriente, Macizo,  Sur y Piedemonte Amazónico) implementadas </t>
  </si>
  <si>
    <t>Seguridad Humana para la Paz y la Convivencia Ciudadana</t>
  </si>
  <si>
    <t xml:space="preserve">Contribuir a la disminución de hechos que atenten contra la condición humana, la vida, la integridad y la dignidad de las personas, implementando acciones integrales de seguridad humana para la paz, la armonía y la convivencia ciudadana mediante la consolidación de escenarios de diálogo permanente y resolución pacífica de los conflictos en los territorios del departamento del Cauca.
</t>
  </si>
  <si>
    <t xml:space="preserve">Formular 1 Política Integral de Seguridad Humana y Convivencia Ciudadana departamental </t>
  </si>
  <si>
    <t xml:space="preserve">Número de Políticas Integrales de Seguridad Humana y Convivencia Ciudadana departamental formuladas </t>
  </si>
  <si>
    <t>Dinamizadores de Paz y Convivencia Ciudadana del Departamento del Cauca</t>
  </si>
  <si>
    <t>los 42 Municipios del Departamento del Cauca</t>
  </si>
  <si>
    <t>las 7 subregiones del Departamento</t>
  </si>
  <si>
    <t>Instituciones: Policía Nacional, Ejército Nacional, Armada Nacional, Migración Colombia, Unidad Nacional de Protección, Cuerpo Técnico de Investigación, demas institucionalidad y población civil</t>
  </si>
  <si>
    <t>1 POLÍTICA PÚBLICA INTEGRAL DE SEGURIDAD HUMANA Y CONVIVENCIA CIUDADANA</t>
  </si>
  <si>
    <t>FIRMA CONSULTORA-EQUIPO PROGRAMA</t>
  </si>
  <si>
    <t>El proyecto finaliza este año, por lo tanto la formulación de la Política debera realizarse en esta vigencia. Con recursoso del FONSET.</t>
  </si>
  <si>
    <t xml:space="preserve">Implementar una Política Integral de Seguridad Humana y Convivencia Ciudadana departamental </t>
  </si>
  <si>
    <t xml:space="preserve">Número de Políticas Integrales de Seguridad Humana y Convivencia Ciudadana departamental implementadas </t>
  </si>
  <si>
    <t>SSEPI 2018003190012 de fecha 10 de enero de 2018.</t>
  </si>
  <si>
    <t>Ciudadanía en general</t>
  </si>
  <si>
    <t xml:space="preserve">Documento técnico de seguimiento a la implementación de política pública integral de seguridad humana y convivencia ciudadana </t>
  </si>
  <si>
    <t>JULIÁN MUÑOZ</t>
  </si>
  <si>
    <t>La Política debe gestionar su fuente de recursos debido a que carece recursos de inversión programados para su implementación.</t>
  </si>
  <si>
    <t xml:space="preserve">Formular 1 política de libertad religiosa, de cultos y de conciencia </t>
  </si>
  <si>
    <t>Número de políticas de libertad religiosa, de cultos y de conciencia formulada</t>
  </si>
  <si>
    <t>Entidades del Sector Religioso; Organizaciones del Sector Religioso</t>
  </si>
  <si>
    <t xml:space="preserve">1 POLÍTICA PÚBLICA INTEGRAL DE LIBERTAD RELIGIOSA Y DE CULTOS </t>
  </si>
  <si>
    <t>CONSULTORÍA - COORDINADOR DE PROGRAMA</t>
  </si>
  <si>
    <t>Implementar el 50% de la política de libertad religiosa, de cultos y de conciencia</t>
  </si>
  <si>
    <t xml:space="preserve">Porcentaje de la política de libertad religiosa, de cultos y de conciencia implementada </t>
  </si>
  <si>
    <t>Documento técnico de seguimiento a la Implementación de política publica de libertad religiosa y de cultos del departamento del Cauca.</t>
  </si>
  <si>
    <t>ENLACE DEPARTAMENTAL DE ASUNTOS RELIGIOSOS</t>
  </si>
  <si>
    <t xml:space="preserve">Crear 1 Consejo de asuntos religiosos y culturales del departamento </t>
  </si>
  <si>
    <t xml:space="preserve">Número de Consejos de asuntos religiosos y culturales del departamento creados  </t>
  </si>
  <si>
    <t xml:space="preserve">Documento técnico de seguimiento a la construcción y funcionamiento de los comités municipales y consejo departamental de Asuntos Religiosos </t>
  </si>
  <si>
    <t>Implementar 1 estrategia integral en articulación con las autoridades de policía correspondiente y las instituciones del gobierno nacional, que reduzcan  la presencia de cultivos ilícitos, el micro tráfico y el tráfico de insumos para la producción y el cultivo en el departamento, acorde con la nueva estrategia del Gobierno Nacional Integral de sustitución de cultivos ilícitos.</t>
  </si>
  <si>
    <t xml:space="preserve">Número de estrategias integrales en articulación con las autoridades de policía correspondiente y las instituciones del gobierno nacional, que reduzcan de la presencia de cultivos ilícitos, el micro tráfico y el tráfico de insumos para la producción y el cultivo en el departamento implementadas </t>
  </si>
  <si>
    <t>Un Documento que contenga la caracterización del proceso de implementación de los Plan Nacional Integral de Sustitución - PNIS en el Departamento del Cauca.</t>
  </si>
  <si>
    <t>CHRISTIAN MEJÍA</t>
  </si>
  <si>
    <t>Esta meta es una meta por demanda, debido a que la implementación del Plan Nacional Integral de Sustitución de Cultivos de Uso Ilícito es competencia de la Coordinación Territorial de la Dirección de Sustitución de Cultivos Ilícitos, la Secretaría de Gobierno realiza únicamente el acompañamaiento</t>
  </si>
  <si>
    <t>Formular 1 Plan Integral de Seguridad Humana y Convivencia Ciudadana  Departamental conjuntamente con Policía Cauca</t>
  </si>
  <si>
    <t xml:space="preserve">Número de Planes Integrales de Seguridad Humana y Convivencia Ciudadana  Departamental conjuntamente con Policía Cauca formulados </t>
  </si>
  <si>
    <t>Esta meta fue cumplida en el año 2017</t>
  </si>
  <si>
    <t>Implementar  un Plan Integral de Seguridad Humana y Convivencia Ciudadana  Departamental conjuntamente con Policía Cauca</t>
  </si>
  <si>
    <t>Número de Planes Integrales de Seguridad Humana y Convivencia Ciudadana Departamental implementados conjuntamente con Policía Cauca</t>
  </si>
  <si>
    <t>1  PISCC  DEPARTAMENTAL</t>
  </si>
  <si>
    <t xml:space="preserve">Documento técnico de seguimiento a la implementación del Plan Integral de Seguridad y Convivencia Ciudadana departamental y municipales </t>
  </si>
  <si>
    <t>OSCAR VELASCO</t>
  </si>
  <si>
    <t>Impulsar la Implementación de 41 Planes Integrales de Seguridad Humana y Convivencia Ciudadana conjuntamente con los municipios y Autoridades locales de Policía en el Departamento</t>
  </si>
  <si>
    <t>Número de Planes Integrales de Seguridad Humana y Convivencia Ciudadana que se les impulsa la implementación conjuntamente con los municipios y Autoridades locales de Policía en el Departamento</t>
  </si>
  <si>
    <t>37  PISCC MUNICIPALES,            1 PISCC DEPARTAMENTAL</t>
  </si>
  <si>
    <t>los 42 Municipios del Departamento del Cauca menos Popayán</t>
  </si>
  <si>
    <t>Alcaldías Municipales; Ciudadanía en General</t>
  </si>
  <si>
    <t>Implementar 1 estrategia  que deslegitime socialmente las violencias contra las mujeres, interétnica, social y política en las diferentes  subregiones del departamento</t>
  </si>
  <si>
    <t xml:space="preserve">Número de estrategias que deslegitimizan socialmente las violencias contra las mujeres, interétnica, social y política en las diferentes  subregiones del departamento implementadas </t>
  </si>
  <si>
    <t>7 municipios, 1 por subregión</t>
  </si>
  <si>
    <t>Mujeres</t>
  </si>
  <si>
    <t xml:space="preserve">Campaña comunicativa para la deslegitimación de las violencias contra las niñas y las mujeres. </t>
  </si>
  <si>
    <t>GIANNINA DUEÑAS</t>
  </si>
  <si>
    <t xml:space="preserve">Implementar en los 42 municipios del departamento el programa integral de dinamizadores territoriales de paz y convivencia ciudadana </t>
  </si>
  <si>
    <t xml:space="preserve">Número de municipios del departamento con el programa integral de dinamizadores territoriales de paz y convivencia ciudadana implementado </t>
  </si>
  <si>
    <t xml:space="preserve">Guapi, Lopez de Micay, Puerto Tejada, Padilla, Villa Rica, Toribio, Silvia, Santa Rosa, Rosas, Timbio, Sotará, La Sierra, La Vega, Puracé, Totoró, Piendamó, Paez, Popayán, Guachené, San Sebastian, Balboa y Sucre.       </t>
  </si>
  <si>
    <t>Población de los 22 Municipios</t>
  </si>
  <si>
    <t>Coordinador programa de Seguridad</t>
  </si>
  <si>
    <t>Aún no se cuenta con proyecto, en la vigencia 2016, 2017 y 2018 los recursos fueron aportados por el FONSET</t>
  </si>
  <si>
    <t xml:space="preserve">Apoyar institucionalmente el 100% de las acciones de Desarme, Desmovilización y Reintegración en los territorios del departamento </t>
  </si>
  <si>
    <t>Porcentaje de las acciones de Desarme, Desmovilización y Reintegración en los territorios del departamento  apoyadas institucionalmente</t>
  </si>
  <si>
    <t>Reincorporados FARC; Ciudadanía en General</t>
  </si>
  <si>
    <t>Documento técnico que sistematice el plan de reincorporación en el departamento del Cauca</t>
  </si>
  <si>
    <t>XX</t>
  </si>
  <si>
    <t>El Plan de Reincorporación debe gestionar fuente de recursos para su implementación debido a que carece de recuros de inversión para tal fin.</t>
  </si>
  <si>
    <t>Implementar 1 observatorio departamental de seguridad humana,  convivencia y  armonía ciudadana con enfoque subregional en el departamento</t>
  </si>
  <si>
    <t xml:space="preserve">Número de observatorios departamentales de seguridad humana, convivencia y  armonía ciudadana con enfoque subregional en el departamento implementados </t>
  </si>
  <si>
    <t>EDWIN EMBUS</t>
  </si>
  <si>
    <t>El observatorio no posee un recurso asignado para la vigencia 2019, por tanto se prevé gestionar fuentes de financoación en el marco de la Política Pública Integral de Seguridad Humana para la Paz y la Convivencia Ciudadana</t>
  </si>
  <si>
    <t>Incrementar en 70% el indicador de superación de la situación de vulnerabilidad, restablecimiento social y económico  de las víctimas de desplazamiento forzado en el departamento (priorizando las sub-regiones de Norte, Centro, Costa Pacífica y Sur)</t>
  </si>
  <si>
    <t xml:space="preserve">Indicador de superación de la situación de vulnerabilidad, restablecimiento social y económico  de las víctimas de desplazamiento forzado en el departamento (priorizando las sub-regiones de Norte, Centro, Costa Pacífica y Sur) incrementado </t>
  </si>
  <si>
    <t xml:space="preserve">0.7% (1453 personas en situación de desplazamiento superaron su situación de vulnerabilidad hasta 2015) </t>
  </si>
  <si>
    <t>Cauca avanza hacia la reparación integral de las víctimas del conflicto armado</t>
  </si>
  <si>
    <t xml:space="preserve">Contribuir a la atención, asistencia y reparación integral  de las víctimas de desplazamiento forzado y otros hechos victimizantes en el departamento del Cauca </t>
  </si>
  <si>
    <t>Apoyar 10 municipios en la implementación de una estrategia de protección y garantías de no repetición para víctimas del conflicto armado</t>
  </si>
  <si>
    <t xml:space="preserve">Número de municipios en la implementación de una estrategia de protección y garantías de no repetición para víctimas del conflicto armado </t>
  </si>
  <si>
    <t xml:space="preserve">Implementación de Medidas de Reparación Integral Para Víctimas del Conflicto Armado en el Departamemto del Cauca </t>
  </si>
  <si>
    <t>SSEP2017003190355 del 20 de Diciembre de 2017</t>
  </si>
  <si>
    <t>Meta de continuo cumplimiento, se reporta 100% desde 2017, sin embargo en cumplimiento de la Ley 1448 se debe seguir proposcionando este apoyo</t>
  </si>
  <si>
    <t>Orientar al 100% de personas que demanden información sobre las Rutas atención, asistencia, reparación integral a víctimas del conflicto armado</t>
  </si>
  <si>
    <t xml:space="preserve">Porcentaje de personas que demanden información sobre las Rutas atención, asistencia, reparación integral a víctimas del conflicto armado orientadas </t>
  </si>
  <si>
    <t xml:space="preserve">Implementar 1 Plan de contingencia para atención de emergencias humanitarias en el marco del conflicto armado interno con enfoque diferencial étnico bajo los principios de concurrencia y subsidiariedad (según el decreto 2460 de 2015)
</t>
  </si>
  <si>
    <t xml:space="preserve">Número de Planes de contingencia para atención de emergencias humanitarias en el marco del conflicto armado interno con enfoque diferencial étnico bajo los principios de concurrencia y subsidiariedad (según el decreto 2460 de 2015) implementados </t>
  </si>
  <si>
    <t>Complementar el 60% de las solicitudes de asistencia funeraria a las víctimas del conflicto armado de los municipios con menor capacidad técnica, administrativa y financiera</t>
  </si>
  <si>
    <t xml:space="preserve">Porcentaje de las solicitudes de asistencia funeraria a las víctimas del conflicto armado de los municipios con menor capacidad técnica, administrativa y financiera complementados </t>
  </si>
  <si>
    <t xml:space="preserve">Apoyar al 100% de medidas de restitución de tierras contempladas en los fallos a cargo de la Secretaría de Gobierno con enfoque diferencial étnico
</t>
  </si>
  <si>
    <t xml:space="preserve">Porcentaje de medidas de restitución de tierras contempladas en los fallos a cargo de la Secretaría de Gobierno con enfoque diferencial étnico apoyadas </t>
  </si>
  <si>
    <t>Apoyar 100% de planes de retornos y reubicaciones de la población víctima del conflicto armado aprobados por CTJT</t>
  </si>
  <si>
    <t xml:space="preserve">Porcentaje planes de retornos y reubicaciones de la población víctima del conflicto armado aprobados por CTJT apoyados </t>
  </si>
  <si>
    <t>2 apoyos</t>
  </si>
  <si>
    <t>Conmemorar 20 eventos de reparación simbólica para dignificar a las víctimas del conflicto armado</t>
  </si>
  <si>
    <t xml:space="preserve">Número de eventos de reparación simbólica para dignificar a las víctimas del conflicto armado conmemorados </t>
  </si>
  <si>
    <t>2 eventos</t>
  </si>
  <si>
    <t>Contribuir al cumplimiento del 100% los planes de reparación colectiva aprobados, con enfoque diferencial étnico, de acuerdo a las competencias de la Gobernación</t>
  </si>
  <si>
    <t xml:space="preserve">Porcentaje de los planes de reparación colectiva aprobados, con enfoque diferencial étnico, de acuerdo a las competencias de la Gobernación que se contribuye a su cumplimiento </t>
  </si>
  <si>
    <t xml:space="preserve">Capacitar 1000 personas que demanden información sobre las medidas de reparación integral a las víctimas del conflicto armado  (Ley 1448 de 2011 y decretos étnicos) </t>
  </si>
  <si>
    <t xml:space="preserve">Número de personas que demanden información sobre las medidas de reparación integral a las víctimas del conflicto armado  (Ley 1448 de 2011 y decretos étnicos) capacitadas </t>
  </si>
  <si>
    <t>Meta de continuo cumplimiento, se reporta 80% 2017 y se completa 20% 2018</t>
  </si>
  <si>
    <t xml:space="preserve">Caracterizar a la población víctima del conflicto armado del departamento del Cauca </t>
  </si>
  <si>
    <t xml:space="preserve">Población víctima del conflicto armado del departamento del Cauca caracterizada </t>
  </si>
  <si>
    <t>Gestionar el 80% del componente de verdad y justicia a través de la preservación, difusión y apropiación colectiva de la verdad y la memoria histórica de las víctimas del conflicto armado</t>
  </si>
  <si>
    <t xml:space="preserve">Porcentaje del componente de verdad y justicia a través de la preservación, difusión y apropiación colectiva de la verdad y la memoria histórica de las víctimas del conflicto armado gestionado </t>
  </si>
  <si>
    <t xml:space="preserve">Garantizar el 100%  de los Comités técnicos de la Mesa de Participación en los espacios de decisión conforme a la normatividad vigente </t>
  </si>
  <si>
    <t xml:space="preserve">Porcentaje de los Comités técnicos de la Mesa de Participación en los espacios de decisión conforme a la normatividad vigente garantizados </t>
  </si>
  <si>
    <t xml:space="preserve">Garantizar el 100%  de Plenarios de la Mesa de Participación de víctimas de acuerdo a la normatividad vigente </t>
  </si>
  <si>
    <t xml:space="preserve">Porcentaje de Plenarios de la Mesa de Participación de víctimas de acuerdo a la normatividad vigente garantizados </t>
  </si>
  <si>
    <t>Garantizar el 100% de CTJT y Sub-comités técnicos la participación de los delegados en la Mesa Departamental de víctimas</t>
  </si>
  <si>
    <t xml:space="preserve">Porcentaje de CTJT y Sub-comités técnicos la participación de los delegados en la Mesa Departamental de víctimas garantizados </t>
  </si>
  <si>
    <t>Cofinanciar el 100% de los procesos de elección de la Mesa departamental de víctimas</t>
  </si>
  <si>
    <t xml:space="preserve">Porcentaje de los procesos de elección de la Mesa departamental de víctimas cofinanciados </t>
  </si>
  <si>
    <t>Elecciones octubre de 2019-Prespuesto debe modificarse puesto que para 2019 no cuenta con rubro para esta meta</t>
  </si>
  <si>
    <t>Asistir técnicamente al 100% de los municipios en la implementación de la política pública de víctimas del conflicto armado</t>
  </si>
  <si>
    <t xml:space="preserve">Porcentaje de los municipios en la implementación de la política pública de víctimas del conflicto armado asistidos técnicamente 
</t>
  </si>
  <si>
    <t>Meta de continuo cumplimiento, se reporta 100% desde 2017</t>
  </si>
  <si>
    <t>Implementar el 80% Plan de Acción Territorial del Departamento</t>
  </si>
  <si>
    <t xml:space="preserve">Porcentaje Plan de Acción Territorial del Departamento implementado </t>
  </si>
  <si>
    <t>Fortalecer 1 Programa de Atención a víctimas a nivel departamental (Equipo de trabajo)</t>
  </si>
  <si>
    <t>Número de Programas de Atención a víctimas a nivel departamental (Equipo de trabajo) fortalecidos</t>
  </si>
  <si>
    <t xml:space="preserve">Implementar 1 estrategia para posicionar el Cauca como un departamento referente en la construcción de la paz, la reconciliación y el ejercicio integral de los derechos humanos  
</t>
  </si>
  <si>
    <t xml:space="preserve">Número de estrategias para posicionar el Cauca como un departamento referente en la construcción de la paz, la reconciliación y el ejercicio integral de los derechos humanos  implementadas </t>
  </si>
  <si>
    <t>Cauca protege los derechos humanos y promueve la construcción de paz desde los territorios</t>
  </si>
  <si>
    <t xml:space="preserve">Promover acciones institucionales por la paz que contribuyan a la reconciliación desde los territorios y el ejercicio integral de los  derechos humanos en el departamento del Cauca
</t>
  </si>
  <si>
    <t xml:space="preserve">Implementar 7 acuerdos por la convivencia, entre diversos sectores sociales en conflicto y con la institucionalidad en las siete subregiones del departamento del Cauca </t>
  </si>
  <si>
    <t xml:space="preserve">Número de acuerdos por la convivencia, entre diversos sectores sociales en conflicto y con la institucionalidad en las siete subregiones del departamento del Cauca implementados </t>
  </si>
  <si>
    <r>
      <rPr>
        <sz val="11"/>
        <rFont val="Calibri"/>
        <family val="2"/>
        <scheme val="minor"/>
      </rPr>
      <t>3</t>
    </r>
    <r>
      <rPr>
        <b/>
        <sz val="11"/>
        <rFont val="Calibri"/>
        <family val="2"/>
        <scheme val="minor"/>
      </rPr>
      <t xml:space="preserve"> </t>
    </r>
    <r>
      <rPr>
        <sz val="11"/>
        <rFont val="Calibri"/>
        <family val="2"/>
        <scheme val="minor"/>
      </rPr>
      <t xml:space="preserve">
</t>
    </r>
  </si>
  <si>
    <t xml:space="preserve"> “LA GARANTÍA DE LOS DERECHOS HUMANOS FUNDAMENTAL PARA EL MANTENIMIENTO  DE LA PAZ, LA CONVIVENCIA Y RECONCILIACIÓN EN EL DEPARTAMENTO DEL CAUCA”</t>
  </si>
  <si>
    <t xml:space="preserve">En Formulación </t>
  </si>
  <si>
    <t>2 pactos</t>
  </si>
  <si>
    <t>Centro, Pacifico</t>
  </si>
  <si>
    <t>Por identificar</t>
  </si>
  <si>
    <t>2 pactos socializados</t>
  </si>
  <si>
    <t>Profesional especializada</t>
  </si>
  <si>
    <t xml:space="preserve">Fortalecer 2 territorios de Convivencia y Paz </t>
  </si>
  <si>
    <t xml:space="preserve">Número de territorios de Convivencia y Paz fortalecidos </t>
  </si>
  <si>
    <t xml:space="preserve">1 Territorio de paz y convivencia con acuerdo municipal emitido por el Concejo de Bolívar. (Acuerdo 002 de 2013)
*1 Territorio de Convivencia y Paz con Decreto 982  La María Piendamó
</t>
  </si>
  <si>
    <t xml:space="preserve"> “LA GARANTÍA DE LOS DERECHOS HUMANOS FUNDAMENTAL PARA EL MANTENIMIENTO DE LA PAZ, LA CONVIVENCIA Y RECONCILIACIÓN EN EL DEPARTAMENTO DEL CAUCA”</t>
  </si>
  <si>
    <t>En Formulación</t>
  </si>
  <si>
    <t>Villarica</t>
  </si>
  <si>
    <t>Municipio de Villarica</t>
  </si>
  <si>
    <t>Territorio de Paz y convivencia conformado</t>
  </si>
  <si>
    <t>Asistir técnicamente al 100% de los municipios en rutas y planes de prevención y protección de los derechos humanos en el departamento</t>
  </si>
  <si>
    <t xml:space="preserve">Porcentaje de los municipios en rutas y planes de prevención y protección de los derechos humanos en el departamento asistidos técnicamente </t>
  </si>
  <si>
    <t xml:space="preserve">21 municipios </t>
  </si>
  <si>
    <t>Los municipios que se asisten tècnicamnete corresponden al analisis de riesgo del plan de prevenciòn</t>
  </si>
  <si>
    <t xml:space="preserve">Comunidad de los municipios asistidos </t>
  </si>
  <si>
    <t>10 municipios asistidos tecnicamente para la formulacion del plan de prevencòn.</t>
  </si>
  <si>
    <t>Implementar 1 Mesa departamental de Garantías  para defensores y defensoras de derechos humanos que involucre a organizaciones y defensores-as de las siete subregiones y a instancias de investigación, control y garantía de los derechos del orden nacional y regional</t>
  </si>
  <si>
    <t>Número de Mesas departamentales de Garantías para defensores y defensoras de derechos humanos que involucre a organizaciones y defensores-as de las siete subregiones y a instancias de investigación, control y garantía de los derechos del orden nacional y regional implementadas</t>
  </si>
  <si>
    <t>1 mesa fortalecida</t>
  </si>
  <si>
    <t>Organizaciones sociales artiucladas a la Mesa de garantias territorial Cauca.</t>
  </si>
  <si>
    <t>1 mesa territorial de garantias operativizada.</t>
  </si>
  <si>
    <t>Ana Marìa Otero Alvarez</t>
  </si>
  <si>
    <t>Implementar 22 acciones  que fortalezcan la capacidad comunitaria e institucional para el desminado humanitario civil (prioritariamente en la Subregión Sur, Macizo, Norte y Centro)</t>
  </si>
  <si>
    <t xml:space="preserve">Número de acciones  que fortalezcan la capacidad comunitaria e institucional para el desminado humanitario civil implementadas (prioritariamente en la Subregión Sur, Macizo, Norte y Centro) </t>
  </si>
  <si>
    <t>en Formulación</t>
  </si>
  <si>
    <t>42 municipios del Cauca</t>
  </si>
  <si>
    <t>municipios y comunidades en riesgo por presencia de minas antipersonal y muse</t>
  </si>
  <si>
    <t>Municipios con capacidades locales y comunitarias en erm</t>
  </si>
  <si>
    <t>Clara E. Lòpez - Contratista.</t>
  </si>
  <si>
    <t xml:space="preserve">Implementar 1 plan departamental de protección y prevención de derechos humanos y derechos internacional Humanitario </t>
  </si>
  <si>
    <t xml:space="preserve">Número de planes departamentales de protección y prevención de derechos humanos y derechos internacional Humanitario implementados </t>
  </si>
  <si>
    <t>7 zonas</t>
  </si>
  <si>
    <t>Muncipios, comunidades y personas que se encuentren en riesgo de violacion de derechos humanos, infracciones el DIH en el marco del Conflicto Armado interno</t>
  </si>
  <si>
    <t>Plan de Prevenciòn actualizado y aprobado por el subcomite de prevenciòn, protecciòn y garantias de no repeticiòn</t>
  </si>
  <si>
    <t xml:space="preserve">Implementar en un 10% la Política Pública Integral de Derechos Humanos  y Paz </t>
  </si>
  <si>
    <t xml:space="preserve">Porcentaje de Política Pública Integral de Derechos Humanos y Paz implementada </t>
  </si>
  <si>
    <t>Poblacion total del departamento del Cauca</t>
  </si>
  <si>
    <t>1 politica publica formulada, aprobada  e implementada-</t>
  </si>
  <si>
    <t>Coordinador Programa . Profesional especializado</t>
  </si>
  <si>
    <t>la formulaciòn de la Politica Publica de Derechos Humanos, tuvo como operador a la Consultoria Politeia SAS.  Proyecto formulado para cuatro meses con un otrosi de 3 meses y suspemsion de 1 mes y 45 dias para reviision de documento consensuado.  Para el 2019 se continuara en proceso de aprobacion del a Politica Publica, porque se estan buscando todos los esenarios de aprobaciòn y de incidencia.</t>
  </si>
  <si>
    <t>Participación social y comunitaria</t>
  </si>
  <si>
    <t xml:space="preserve">Incrementar en un 20% la asistencia técnica a las organizaciones sociales, comunitarias y de economía solidaria del Departamento del Cauca </t>
  </si>
  <si>
    <t xml:space="preserve">Porcentaje de asistencia técnica a las organizaciones sociales, comunitarias y de economía solidaria del Departamento del Cauca incrementado </t>
  </si>
  <si>
    <t>Participación para la construcción de Paz Territorial</t>
  </si>
  <si>
    <t>Fortalecer la participación de las organizaciones del Departamento del Cauca, para consolidar los procesos de democracia, participación política y dinamizar los diálogos con las  instituciones  y las comunidades desde los escenarios locales para la construcción de Paz territorial.</t>
  </si>
  <si>
    <t xml:space="preserve">Implementar en 20 asociaciones de juntas de acción comunal las comisiones empresariales </t>
  </si>
  <si>
    <t xml:space="preserve">Número de asociaciones de juntas de acción comunal las comisiones empresariales implementadas  </t>
  </si>
  <si>
    <t>FORMACIÓN PARA UNA PARTICIPACIÓN SOCIAL, POLÍTICA, ELECTORAL Y COMUNITARIA INCIDENTE EN LOS ASUNTOS PÚBLICOS DEL DEPARTAMENTO DEL CAUCA”</t>
  </si>
  <si>
    <t>SSEPI 2018003190003 de fecha 2 de enero de 2018</t>
  </si>
  <si>
    <t>Documento evidencian la implementacion de las comisiones empresariales</t>
  </si>
  <si>
    <t>Secretario de Gobierno( Funcionario de planta) y Coordinador (Contratista)</t>
  </si>
  <si>
    <t>Fortalecer 1400 organizaciones sin ánimo de lucro (asociaciones, corporaciones, fundaciones, organizaciones de economía solidaria, veedurías de control social y asociaciones de las JAL), a través de jornadas de acompañamiento y control (distribuidas en las Subregiones del Departamento)</t>
  </si>
  <si>
    <t>Número de organizaciones sin ánimo de lucro, a través de jornadas de acompañamiento y control fortalecidas (distribuidas en las Subregiones del Departamento)</t>
  </si>
  <si>
    <t xml:space="preserve">Documento evidencian acompañamiento y fortalecimiento de las organizaciones </t>
  </si>
  <si>
    <t xml:space="preserve">Capacitar las 45 asociaciones de juntas de acción comunal y sus comisiones de convivencia y conciliación </t>
  </si>
  <si>
    <t xml:space="preserve">Número de asociaciones de juntas de acción comunal y sus comisiones de convivencia y conciliación capacitadas </t>
  </si>
  <si>
    <t>Documentos que evidencian capacitacion a las comisiones de convivencia de las JAC</t>
  </si>
  <si>
    <t xml:space="preserve">Capacitar 300 formadores municipales de los organismos comunales, en la estrategia formador de formadores clave de Paz Territorial  </t>
  </si>
  <si>
    <t>Número de formadores municipales de los organismos comunales, en la estrategia formador de formadores clave de Paz Territorial capacitados</t>
  </si>
  <si>
    <t xml:space="preserve">Lideres comunales certificados en el marco del programa Formación a formadores </t>
  </si>
  <si>
    <t xml:space="preserve">Realizar 7 jornadas de acompañamiento y control a las organizaciones sin ánimo de lucro (distribuidas en las Subregiones) </t>
  </si>
  <si>
    <t>Número de jornadas de acompañamiento y control a las organizaciones sin ánimo de lucro realizas (distribuidas en las Subregiones)</t>
  </si>
  <si>
    <t>Documentos que evidencian el acompañamiento y el control a organizaciones</t>
  </si>
  <si>
    <t>Promover el 100% de los procesos de democracia local a través de la participación social, política y electoral con enfoque diferencial y para la construcción de la paz territorial</t>
  </si>
  <si>
    <t xml:space="preserve">Porcentaje de los procesos de democracia local a través de la participación social, política y electoral con enfoque diferencial y para la construcción de la paz territorial promovidos </t>
  </si>
  <si>
    <t>Apoyar 5 procesos de elección popular</t>
  </si>
  <si>
    <t xml:space="preserve">Número de procesos de elección popular apoyados </t>
  </si>
  <si>
    <t>Actas de Comisión Dptal para la Coordinación y Seguimiento de Procesos Electorales</t>
  </si>
  <si>
    <t>Implementar 1 estrategia integral para el incremento de la participación ciudadana en el marco de los mecanismos contemplados en la ley y normas de participación</t>
  </si>
  <si>
    <t xml:space="preserve">Número de estrategias integrales para el incremento de la participación ciudadana en el marco de los mecanismos contemplados en la ley y normas de participación implementadas </t>
  </si>
  <si>
    <t>Documentos que evidencian las acciones y eventos que promocionan la participación</t>
  </si>
  <si>
    <t xml:space="preserve">Apoyar 33 encuentros de la mesa departamental interétnica y a las mesas étnicas y campesina en términos técnicos, académicos y logísticos </t>
  </si>
  <si>
    <t xml:space="preserve">Número de encuentros de la mesa departamental interétnica y a las mesas étnicas y campesina en términos técnicos, académicos y logísticos apoyados </t>
  </si>
  <si>
    <t xml:space="preserve">Documentos que evidencian el acompañamiento </t>
  </si>
  <si>
    <t>Implementar 1 estrategia de pedagogía para la paz desde los territorios que posibilite la articulación institucional con las organizaciones sociales y comunitarias en los 42 municipios del Departamento.</t>
  </si>
  <si>
    <t xml:space="preserve">Número de estrategias de pedagogía para la paz desde los territorios que posibilite la articulación institucional con las organizaciones sociales y comunitarias en los 42 municipios del Departamento  implementadas </t>
  </si>
  <si>
    <t>Estrategia de pedagogía de paz con piezas comunicativas  pubiicadas y divulgadas</t>
  </si>
  <si>
    <t>Implementar 1 estrategia para el reconocimiento y promoción social, política, cultural e  identitaria de los pueblos indígenas y de las comunidades Afros en el Departamento</t>
  </si>
  <si>
    <t xml:space="preserve">Número de estrategias para el reconocimiento y promoción social, política, cultural e  identitaria de los pueblos indígenas y de las comunidades Afros en el Departamento implementadas </t>
  </si>
  <si>
    <t>Cauca, Diverso e Intercultural</t>
  </si>
  <si>
    <t>Fortalecer la diversidad étnica y cultural en el departamento del cauca a través del reconocimiento de los pueblos indígenas, afrodescendientes y campesinos como sujetos sociales de derecho y como agentes colectivos constructores de paz.</t>
  </si>
  <si>
    <t>Implementar 7 acciones para promover  los procesos de consulta previa (en las Subregiones del Departamento)</t>
  </si>
  <si>
    <t>Número de acciones para promover  los procesos de consulta previa implementadas  (en las Subregiones del Departamento)</t>
  </si>
  <si>
    <t>SSEPI 2018003190008 de fecha 3 de enero de 2018.</t>
  </si>
  <si>
    <t>Norte, Centro y Oriente</t>
  </si>
  <si>
    <t xml:space="preserve">INDIGENAS,  AFRODESCENDIENTES Y CAMPESINAS </t>
  </si>
  <si>
    <t>COORDINADOR DE PROGRAMA</t>
  </si>
  <si>
    <t>Promover 12 acciones de  sensibilización de los acuerdos de paz con enfoque étnico e intercultural en los territorios</t>
  </si>
  <si>
    <t xml:space="preserve">Número de acciones de  sensibilización de los acuerdos de paz con enfoque étnico e intercultural en los territorios promovidas </t>
  </si>
  <si>
    <t>Sucre, Florencia, Santa Rosa, López de Micay, Guapi,  Buenos Aires</t>
  </si>
  <si>
    <t xml:space="preserve">Norte, Centro y Costa  </t>
  </si>
  <si>
    <t xml:space="preserve">Implementar 1 plan de formación de servidores públicos de la Gobernación y de los municipios del departamento, de la gestión territorial con enfoque diferencial étnico, territorial e intercultural </t>
  </si>
  <si>
    <t xml:space="preserve">Número de planes de formación de servidores públicos de la Gobernación y de los municipios del departamento, de la gestión territorial con enfoque diferencial étnico,  territorial e intercultural implementados </t>
  </si>
  <si>
    <t xml:space="preserve">Tambo, Morales, Páez,  Puerto Tejada y Patía </t>
  </si>
  <si>
    <t xml:space="preserve">Aumentar en un 70% el índice de comunidades étnicas y campesinas atendidas con acompañamiento y asesoría técnica entorno a sus derechos y deberes como sujetos sociales de derecho  del departamento </t>
  </si>
  <si>
    <t xml:space="preserve">Porcentaje del índice de comunidades étnicas y campesinas atendidas con acompañamiento y asesoría técnica entorno a sus derechos y deberes como sujetos sociales de derecho  del departamento </t>
  </si>
  <si>
    <t>Miranda, Caloto, Santander de Quilichao, Guachené, Padilla, Puerto Tejada, Suárez, Villa Rica, Buenos Aires, Florencia, Sucre, Patía.</t>
  </si>
  <si>
    <t xml:space="preserve">Sur, Norte, </t>
  </si>
  <si>
    <t>Fortalecer el proceso organizativo de las comunidades Afrodescendientes (subregiones centro, oriente y piedemonte amazónico)</t>
  </si>
  <si>
    <t>Proceso organizativo de las comunidades Afrodescendientes fortalecido (subregiones centro, oriente y piedemonte amazónico)</t>
  </si>
  <si>
    <t xml:space="preserve"> Páez, El Tambo , Santa Rosa, Tambo. Popayán </t>
  </si>
  <si>
    <t xml:space="preserve">Sur occidente, Centro, Oriente y Centro </t>
  </si>
  <si>
    <t>Implementar 1 estrategia integral para el fortalecimiento de los procesos de reconocimiento  y  desarrollo de los pueblos indígenas, comunidades afro y campesinos</t>
  </si>
  <si>
    <t xml:space="preserve">Número de estrategias integrales para el fortalecimiento de los procesos de reconocimiento  y  desarrollo de los pueblos indígenas, comunidades afro y campesinos implementadas </t>
  </si>
  <si>
    <t>Miranda,  Cajibío,  Mercaderes,  Páez,  Piamonte, Pacifico en López de Micay.</t>
  </si>
  <si>
    <t xml:space="preserve"> Norte, Centro, Sur ,  Oriente,  Sub región Bota Caucana,  Pacifico en López de Micay.</t>
  </si>
  <si>
    <t>Implementar en un 10% la Política pública de Recuperación y fortalecimiento de la cultura y economía campesina</t>
  </si>
  <si>
    <t xml:space="preserve">Porcentaje de la Política pública de Recuperación y fortalecimiento de la cultura y economía campesina implementada </t>
  </si>
  <si>
    <t xml:space="preserve">CAMPESINA </t>
  </si>
  <si>
    <t xml:space="preserve"> Incrementar en 40% el promedio de IGA de la Secretaría de Gobierno y Participación</t>
  </si>
  <si>
    <t xml:space="preserve">Porcentaje el promedio de IGA de la Secretaría de Gobierno y Participación incrementado </t>
  </si>
  <si>
    <t>Gobernación del Cauca reporta para  2013 un resultado promedio de 60,4  puntos en la evaluación IGA de Procuraduría</t>
  </si>
  <si>
    <t>Gobierno confiable, transparente y eficiente</t>
  </si>
  <si>
    <t xml:space="preserve">Implementar prácticas de buen gobierno que incrementen la efectividad en la gestión territorial y fortalezcan la relación del Gobierno local con la sociedad como procesos fundamentales para la construcción de paz.
</t>
  </si>
  <si>
    <t xml:space="preserve">Implementar 1 plan de formación de servidores públicos de Secretarías de Gobierno departamental y de los 42 municipios del Departamento del Cauca sobre buenas prácticas de buen gobierno </t>
  </si>
  <si>
    <t xml:space="preserve">Número planes de formación de servidores públicos de la Secretarías de Gobierno departamental y de los 42 municipios del Departamento del Cauca sobre buenas prácticas de buen gobierno implementados  </t>
  </si>
  <si>
    <t>BUEN GOBIERNO E INNOVACIÓN EN LA GESTIÓN PÚBLICA PARA EL FORTALECIMIENTO DE CAPACIDADES INSTITUCIONALES EN ENTIDADES TERRITORIALES DEL DEPARTAMENTO DEL CAUCA – SECRETARÍA DE GOBIERNO Y PARTICIPACIÓN</t>
  </si>
  <si>
    <t>SSEPI 2017003190359 de fecha 27 de diciembre de 2017.</t>
  </si>
  <si>
    <t>1. Un documento que contenga una Estrategia Integral y amplia en materia de acciones de Gobierno Abierto implementada en los 42 municipios
2. Un Documento que contenga las experiencias exitosas, como iniciativas de gobierno entre servidores públicos locales, regionales y ciudadanía, destacando las iniciativas de gobierno innovadoras
3. Una guía de Comunicativa e informativa, que promueva el gobierno abierto y la construcción de paz desde la institucionalidad en los territorios locales.</t>
  </si>
  <si>
    <t>Evaluar al 100% los diferentes planes de acción, programas y proyectos implementados por la Secretaría de Gobierno y Participación con enfoque diferencial étnico y de género</t>
  </si>
  <si>
    <t xml:space="preserve">Porcentaje de los diferentes planes de acción, programas y proyectos implementados por la Secretaría de Gobierno y Participación con enfoque diferencial étnico y de género evaluados </t>
  </si>
  <si>
    <t>Un Plan de Formación a servidores públicos desde los principios del buen gobierno con enfoque de género, étnico y de derechos</t>
  </si>
  <si>
    <t>Alcanzar 80% en el Índice de Gobierno Abierto IGA en el ítem de publicación en SECOP de contratos emanados de la Secretaría de Gobierno y Participación</t>
  </si>
  <si>
    <t xml:space="preserve">Índice de Gobierno Abierto IGA en la Secretaría de Gobierno y Participación </t>
  </si>
  <si>
    <t xml:space="preserve">Cauca reporta en la evaluación IGA de Procuraduría para las vigencias 2010 a 2011 es calificada con cero(0) en indicador de Publicación de contratos </t>
  </si>
  <si>
    <t xml:space="preserve">1-. Un documento que contenga una Estrategia Integral y amplia en materia de acciones de Gobierno Abierto implementada en los 42 municipios
2-. Un Documento que contenga las experiencias exitosas, como iniciativas de gobierno entre servidores públicos locales, regionales y ciudadanía, destacando las iniciativas de gobierno innovadoras
3-. Un documento compilado que contenga las alianzas estratégicas con actores institucionales, de cooperación, sociales y/o comunitarios para la gestión de recursos
4-. Un documento que consigne el código de ética pública en los funcionarios de las entidades territoriales del orden local y regional, como práctica de Buen Gobierno, prevención y ataque a la corrupción y acceso a la información.
5-. Una guía de Comunicativa e informativa, que promueva el gobierno abierto y la construcción de paz desde la institucionalidad en los territorios locales.
</t>
  </si>
  <si>
    <t>Diseñar 1 estrategia integral de buenas prácticas de gobernabilidad, promoción de la transparencia y lucha contra la corrupción desde un enfoque diferencial étnico, de derechos y de género en la Secretaría de Gobierno y Participación</t>
  </si>
  <si>
    <t xml:space="preserve">Número de estrategias integrales de buenas prácticas de gobernabilidad, promoción de la transparencia y lucha contra la corrupción desde un enfoque diferencial étnico, de derechos y de género en la Secretaría de Gobierno y Participación diseñadas </t>
  </si>
  <si>
    <t>1. Un documento que contenga una Estrategia Integral y amplia en materia de acciones de Gobierno Abierto implementada en los 42 municipios
2. Un Plan de Formación a servidores públicos desde los principios del buen gobierno con enfoque de género, étnico y de derechos
3. Un Documento que contenga las experiencias exitosas, como iniciativas de gobierno entre servidores públicos locales, regionales y ciudadanía, destacando las iniciativas de gobierno innovadoras
4. Un documento compilado que contenga las alianzas estratégicas con actores institucionales, de cooperación, sociales y/o comunitarios para la gestión de recursos
5. Un documento que consigne el código de ética pública en los funcionarios de las entidades territoriales del orden local y regional, como práctica de Buen Gobierno, prevención y ataque a la corrupción y acceso a la información.
6. Una guía de Comunicativa e informativa, que promueva el gobierno abierto y la construcción de paz desde la institucionalidad en los territorios locales.</t>
  </si>
  <si>
    <t>Implementar 1 Plan Estratégico que promueva la cultura del buen gobierno en los 42 municipios del Cauca</t>
  </si>
  <si>
    <t xml:space="preserve">Número de planes estratégicos que promueva la cultura del buen gobierno en los 42 municipios del Cauca implementados </t>
  </si>
  <si>
    <t>1-. Un documento que contenga una Estrategia Integral y amplia en materia de acciones de Gobierno Abierto implementada en los 42 municipios
2-. Un Documento que contenga las experiencias exitosas, como iniciativas de gobierno entre servidores públicos locales, regionales y ciudadanía, destacando las iniciativas de gobierno innovadoras
3-. Un documento compilado que contenga las alianzas estratégicas con actores institucionales, de cooperación, sociales y/o comunitarios para la gestión de recursos
4-. Un documento que consigne el código de ética pública en los funcionarios de las entidades territoriales del orden local y regional, como práctica de Buen Gobierno, prevención y ataque a la corrupción y acceso a la información.
5-. Una guía de Comunicativa e informativa, que promueva el gobierno abierto y la construcción de paz desde la institucionalidad en los territorios locales.</t>
  </si>
  <si>
    <t>Implementar 1 programa de modernización administrativa y de gestión al interior de la Secretaría de Gobierno y Participación</t>
  </si>
  <si>
    <t>Número de programas de modernización administrativa y de gestión implementados al interior de la Secretaría de Gobierno y Participación</t>
  </si>
  <si>
    <t>Formular 1 proyecto de modernización administrativa y de gestión que ayude al logro y al cumplimiento de objetivos y programas de la Secretaría de Gobierno y Participación</t>
  </si>
  <si>
    <t xml:space="preserve">Número de proyectos de modernización administrativa y de gestión que ayude al logro y al cumplimiento de objetivos y programas de la Secretaría de Gobierno y Participación formulados </t>
  </si>
  <si>
    <t>1-. Un documento compilado que contenga las alianzas estratégicas con actores institucionales, de cooperación, sociales y/o comunitarios para la gestión de recursos</t>
  </si>
  <si>
    <t xml:space="preserve">DEPENDENCIA RESPONSABLE: SECRETARÍA DE GOBIERNO Y PARTICIPACIÓN </t>
  </si>
  <si>
    <t>Los 42 municipios del departamento del Cauca</t>
  </si>
  <si>
    <t>Meta de continuo cumplimiento, se reporta 100% desde 2017, sin embargo en cumplimiento de la Ley 1448 (de victimas en articualción con las instituciones) se debe seguir proposcionando este apoyo</t>
  </si>
  <si>
    <t xml:space="preserve">Timbiqui y Caloto </t>
  </si>
  <si>
    <t>Timbiqui, Inza y Santander de Quilichao</t>
  </si>
  <si>
    <r>
      <t>“</t>
    </r>
    <r>
      <rPr>
        <i/>
        <sz val="10"/>
        <rFont val="Calibri"/>
        <family val="2"/>
        <scheme val="minor"/>
      </rPr>
      <t xml:space="preserve">IMPLEMENTACIÓN DE ESTRATEGIAS QUE FORTALEZCAN LA SEGURIDAD HUMANA PARA LA PAZ Y LA CONVIVENCIA CIUDADANA EN EL DEPARTAMENTO DEL CAUCA”, </t>
    </r>
  </si>
  <si>
    <r>
      <t>“</t>
    </r>
    <r>
      <rPr>
        <i/>
        <sz val="10"/>
        <rFont val="Calibri"/>
        <family val="2"/>
        <scheme val="minor"/>
      </rPr>
      <t>IMPLEMENTACIÓN DE ESTRATEGIAS QUE FORTALEZCAN LA SEGURIDAD HUMANA PARA LA PAZ Y LA CONVIVENCIA CIUDADANA EN EL DEPARTAMENTO DEL CAUCA”</t>
    </r>
  </si>
  <si>
    <r>
      <t xml:space="preserve">El Proyecto </t>
    </r>
    <r>
      <rPr>
        <b/>
        <sz val="11"/>
        <rFont val="Calibri"/>
        <family val="2"/>
        <scheme val="minor"/>
      </rPr>
      <t>"CAUCA PROTEGE LOS DERECHOS HUMANOS Y PROMUEVE LA CONSTRUCCIÓN DE PAZ DESDE LOS TERRITORIOS"</t>
    </r>
    <r>
      <rPr>
        <sz val="11"/>
        <rFont val="Calibri"/>
        <family val="2"/>
        <scheme val="minor"/>
      </rPr>
      <t>, con SSEPI 2017003190356 de fecha 22 de diciembre de 2017 vigente hasta diciembre de 2018</t>
    </r>
  </si>
  <si>
    <r>
      <t>“</t>
    </r>
    <r>
      <rPr>
        <i/>
        <sz val="10"/>
        <rFont val="Calibri"/>
        <family val="2"/>
        <scheme val="minor"/>
      </rPr>
      <t xml:space="preserve">CONSOLIDAR Y PROMOCIONAR EL PROCESO ORGANIZATIVO DE LAS COMUNIDADES AFRODESCENDIENTES, INDÍGENAS DEL DEPARTAMENTO DEL CAUCA,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</si>
</sst>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 #,##0_);[Red]\(&quot;$&quot;\ #,##0\)"/>
    <numFmt numFmtId="42" formatCode="_(&quot;$&quot;\ * #,##0_);_(&quot;$&quot;\ * \(#,##0\);_(&quot;$&quot;\ *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00\ _€_-;\-* #,##0.00\ _€_-;_-* &quot;-&quot;??\ _€_-;_-@_-"/>
    <numFmt numFmtId="167" formatCode="_(&quot;$&quot;* #,##0.00_);_(&quot;$&quot;* \(#,##0.00\);_(&quot;$&quot;* &quot;-&quot;??_);_(@_)"/>
    <numFmt numFmtId="168" formatCode="_(* #,##0_);_(* \(#,##0\);_(* &quot;-&quot;??_);_(@_)"/>
    <numFmt numFmtId="169" formatCode="0.0%"/>
    <numFmt numFmtId="170" formatCode="0.000%"/>
    <numFmt numFmtId="171" formatCode="_ * #,##0.00_ ;_ * \-#,##0.00_ ;_ * &quot;-&quot;??_ ;_ @_ "/>
    <numFmt numFmtId="172" formatCode="&quot;$&quot;#,##0.00"/>
    <numFmt numFmtId="173" formatCode="&quot;$&quot;\ #,##0;[Red]\-&quot;$&quot;\ #,##0"/>
    <numFmt numFmtId="174" formatCode="#,##0.0"/>
    <numFmt numFmtId="175" formatCode="0.000"/>
    <numFmt numFmtId="176" formatCode="&quot;$&quot;#,##0"/>
    <numFmt numFmtId="177" formatCode="_ * #,##0_ ;_ * \-#,##0_ ;_ * &quot;-&quot;??_ ;_ @_ "/>
    <numFmt numFmtId="178" formatCode="_-[$$-240A]* #,##0_-;\-[$$-240A]* #,##0_-;_-[$$-240A]* &quot;-&quot;??_-;_-@_-"/>
    <numFmt numFmtId="179" formatCode="_(&quot;$&quot;\ * #,##0_);_(&quot;$&quot;\ * \(#,##0\);_(&quot;$&quot;\ * &quot;-&quot;??_);_(@_)"/>
    <numFmt numFmtId="180" formatCode="_-&quot;$&quot;* #,##0_-;\-&quot;$&quot;* #,##0_-;_-&quot;$&quot;* &quot;-&quot;_-;_-@_-"/>
    <numFmt numFmtId="181" formatCode="#,##0_ ;\-#,##0\ "/>
    <numFmt numFmtId="182" formatCode="0.0"/>
    <numFmt numFmtId="183" formatCode="&quot;$&quot;\ #,##0"/>
    <numFmt numFmtId="184" formatCode="_-[$$-240A]\ * #,##0_-;\-[$$-240A]\ * #,##0_-;_-[$$-240A]\ * &quot;-&quot;??_-;_-@_-"/>
  </numFmts>
  <fonts count="83"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trike/>
      <sz val="11"/>
      <name val="Calibri"/>
      <family val="2"/>
      <scheme val="minor"/>
    </font>
    <font>
      <sz val="10"/>
      <name val="Calibri"/>
      <family val="2"/>
      <scheme val="minor"/>
    </font>
    <font>
      <sz val="14"/>
      <name val="Arial"/>
      <family val="2"/>
    </font>
    <font>
      <b/>
      <sz val="14"/>
      <name val="Arial"/>
      <family val="2"/>
    </font>
    <font>
      <sz val="10"/>
      <color indexed="8"/>
      <name val="Calibri"/>
      <family val="2"/>
      <scheme val="minor"/>
    </font>
    <font>
      <sz val="10"/>
      <color rgb="FF000000"/>
      <name val="Calibri"/>
      <family val="2"/>
      <scheme val="minor"/>
    </font>
    <font>
      <sz val="10"/>
      <color rgb="FFFF0000"/>
      <name val="Calibri"/>
      <family val="2"/>
      <scheme val="minor"/>
    </font>
    <font>
      <b/>
      <sz val="8"/>
      <color indexed="81"/>
      <name val="Tahoma"/>
      <family val="2"/>
    </font>
    <font>
      <sz val="8"/>
      <color indexed="81"/>
      <name val="Tahoma"/>
      <family val="2"/>
    </font>
    <font>
      <sz val="10"/>
      <color indexed="10"/>
      <name val="Arial"/>
      <family val="2"/>
    </font>
    <font>
      <sz val="10"/>
      <name val="Arial"/>
      <family val="2"/>
    </font>
    <font>
      <sz val="11"/>
      <color rgb="FFFF0000"/>
      <name val="Calibri"/>
      <family val="2"/>
      <scheme val="minor"/>
    </font>
    <font>
      <sz val="10"/>
      <color theme="1"/>
      <name val="Calibri"/>
      <family val="2"/>
      <scheme val="minor"/>
    </font>
    <font>
      <sz val="10"/>
      <color theme="1"/>
      <name val="Arial"/>
      <family val="2"/>
    </font>
    <font>
      <b/>
      <sz val="10"/>
      <name val="Arial"/>
      <family val="2"/>
    </font>
    <font>
      <sz val="10"/>
      <color rgb="FFFF0000"/>
      <name val="Arial"/>
      <family val="2"/>
    </font>
    <font>
      <sz val="9"/>
      <name val="Calibri"/>
      <family val="2"/>
      <scheme val="minor"/>
    </font>
    <font>
      <b/>
      <sz val="11"/>
      <color theme="1"/>
      <name val="Calibri"/>
      <family val="2"/>
      <scheme val="minor"/>
    </font>
    <font>
      <sz val="9"/>
      <color theme="1"/>
      <name val="Calibri"/>
      <family val="2"/>
      <scheme val="minor"/>
    </font>
    <font>
      <sz val="9"/>
      <name val="Arial"/>
      <family val="2"/>
    </font>
    <font>
      <sz val="12"/>
      <color rgb="FF000000"/>
      <name val="Calibri"/>
      <family val="2"/>
      <scheme val="minor"/>
    </font>
    <font>
      <sz val="11"/>
      <color rgb="FF000000"/>
      <name val="Calibri"/>
      <family val="2"/>
      <scheme val="minor"/>
    </font>
    <font>
      <b/>
      <sz val="10"/>
      <color rgb="FF000000"/>
      <name val="Calibri"/>
      <family val="2"/>
    </font>
    <font>
      <b/>
      <sz val="10"/>
      <color theme="1"/>
      <name val="Arial"/>
      <family val="2"/>
    </font>
    <font>
      <sz val="9"/>
      <color indexed="81"/>
      <name val="Tahoma"/>
      <family val="2"/>
    </font>
    <font>
      <b/>
      <sz val="9"/>
      <color indexed="81"/>
      <name val="Tahoma"/>
      <family val="2"/>
    </font>
    <font>
      <sz val="11"/>
      <name val="Calibri"/>
      <family val="2"/>
    </font>
    <font>
      <sz val="11"/>
      <color rgb="FF000000"/>
      <name val="Calibri"/>
      <family val="2"/>
    </font>
    <font>
      <b/>
      <u/>
      <sz val="11"/>
      <color theme="1"/>
      <name val="Calibri"/>
      <family val="2"/>
      <scheme val="minor"/>
    </font>
    <font>
      <sz val="10"/>
      <name val="Calibri"/>
      <family val="2"/>
    </font>
    <font>
      <sz val="8"/>
      <color theme="1"/>
      <name val="Calibri"/>
      <family val="2"/>
      <scheme val="minor"/>
    </font>
    <font>
      <sz val="11"/>
      <color theme="1"/>
      <name val="Arial"/>
      <family val="2"/>
    </font>
    <font>
      <sz val="11"/>
      <color rgb="FF555555"/>
      <name val="Arial"/>
      <family val="2"/>
    </font>
    <font>
      <sz val="9"/>
      <color rgb="FF555555"/>
      <name val="Arial"/>
      <family val="2"/>
    </font>
    <font>
      <sz val="11"/>
      <color theme="0"/>
      <name val="Calibri"/>
      <family val="2"/>
      <scheme val="minor"/>
    </font>
    <font>
      <sz val="8"/>
      <name val="Calibri"/>
      <family val="2"/>
      <scheme val="minor"/>
    </font>
    <font>
      <sz val="10.5"/>
      <color theme="1"/>
      <name val="Calibri"/>
      <family val="2"/>
      <scheme val="minor"/>
    </font>
    <font>
      <sz val="10.5"/>
      <color theme="0" tint="-0.14999847407452621"/>
      <name val="Calibri"/>
      <family val="2"/>
      <scheme val="minor"/>
    </font>
    <font>
      <b/>
      <sz val="18"/>
      <color theme="1"/>
      <name val="Calibri"/>
      <family val="2"/>
      <scheme val="minor"/>
    </font>
    <font>
      <i/>
      <sz val="10.5"/>
      <color theme="1"/>
      <name val="Calibri"/>
      <family val="2"/>
      <scheme val="minor"/>
    </font>
    <font>
      <b/>
      <sz val="10.5"/>
      <color theme="1"/>
      <name val="Calibri"/>
      <family val="2"/>
      <scheme val="minor"/>
    </font>
    <font>
      <sz val="24"/>
      <color theme="1"/>
      <name val="Calibri"/>
      <family val="2"/>
      <scheme val="minor"/>
    </font>
    <font>
      <b/>
      <sz val="10"/>
      <name val="Calibri"/>
      <family val="2"/>
      <scheme val="minor"/>
    </font>
    <font>
      <sz val="12"/>
      <name val="Calibri"/>
      <family val="2"/>
    </font>
    <font>
      <sz val="12"/>
      <name val="Calibri"/>
      <family val="2"/>
      <scheme val="minor"/>
    </font>
    <font>
      <b/>
      <sz val="12"/>
      <name val="Calibri"/>
      <family val="2"/>
      <scheme val="minor"/>
    </font>
    <font>
      <sz val="12"/>
      <color theme="1"/>
      <name val="Arial"/>
      <family val="2"/>
    </font>
    <font>
      <sz val="12"/>
      <name val="Arial"/>
      <family val="2"/>
    </font>
    <font>
      <u/>
      <sz val="10"/>
      <name val="Arial"/>
      <family val="2"/>
    </font>
    <font>
      <sz val="11"/>
      <name val="Arial"/>
      <family val="2"/>
    </font>
    <font>
      <b/>
      <sz val="8"/>
      <color theme="1"/>
      <name val="Calibri"/>
      <family val="2"/>
      <scheme val="minor"/>
    </font>
    <font>
      <sz val="12"/>
      <color theme="1"/>
      <name val="Calibri"/>
      <family val="2"/>
      <scheme val="minor"/>
    </font>
    <font>
      <b/>
      <sz val="9"/>
      <name val="Calibri"/>
      <family val="2"/>
      <scheme val="minor"/>
    </font>
    <font>
      <sz val="9"/>
      <color indexed="8"/>
      <name val="Calibri"/>
      <family val="2"/>
      <scheme val="minor"/>
    </font>
    <font>
      <sz val="9"/>
      <color rgb="FF000000"/>
      <name val="Calibri"/>
      <family val="2"/>
      <scheme val="minor"/>
    </font>
    <font>
      <sz val="9"/>
      <color rgb="FFFF0000"/>
      <name val="Calibri"/>
      <family val="2"/>
      <scheme val="minor"/>
    </font>
    <font>
      <sz val="12"/>
      <color rgb="FF000000"/>
      <name val="Arial Narrow"/>
      <family val="2"/>
    </font>
    <font>
      <sz val="11"/>
      <color theme="1"/>
      <name val="Arial Narrow"/>
      <family val="2"/>
    </font>
    <font>
      <b/>
      <sz val="12"/>
      <color rgb="FF000000"/>
      <name val="Arial Narrow"/>
      <family val="2"/>
    </font>
    <font>
      <sz val="10"/>
      <color rgb="FF000000"/>
      <name val="Arial"/>
      <family val="2"/>
    </font>
    <font>
      <i/>
      <sz val="12"/>
      <color theme="1"/>
      <name val="Calibri"/>
      <family val="2"/>
      <scheme val="minor"/>
    </font>
    <font>
      <sz val="12"/>
      <color theme="1"/>
      <name val="Calibri"/>
      <family val="2"/>
    </font>
    <font>
      <sz val="12"/>
      <color theme="1"/>
      <name val="Symbol"/>
      <family val="1"/>
      <charset val="2"/>
    </font>
    <font>
      <sz val="7"/>
      <color theme="1"/>
      <name val="Times New Roman"/>
      <family val="1"/>
    </font>
    <font>
      <sz val="9"/>
      <color theme="1"/>
      <name val="Arial"/>
      <family val="2"/>
    </font>
    <font>
      <sz val="7"/>
      <color theme="1"/>
      <name val="Calibri"/>
      <family val="2"/>
      <scheme val="minor"/>
    </font>
    <font>
      <sz val="10"/>
      <color rgb="FFFF0000"/>
      <name val="Calibri"/>
      <family val="2"/>
    </font>
    <font>
      <sz val="10"/>
      <color rgb="FF000000"/>
      <name val="Calibri"/>
      <family val="2"/>
    </font>
    <font>
      <sz val="7"/>
      <color rgb="FFFF0000"/>
      <name val="Calibri"/>
      <family val="2"/>
      <scheme val="minor"/>
    </font>
    <font>
      <b/>
      <sz val="10"/>
      <color indexed="8"/>
      <name val="Calibri"/>
      <family val="2"/>
      <scheme val="minor"/>
    </font>
    <font>
      <b/>
      <sz val="10"/>
      <color rgb="FF000000"/>
      <name val="Calibri"/>
      <family val="2"/>
      <scheme val="minor"/>
    </font>
    <font>
      <b/>
      <sz val="10"/>
      <color rgb="FFFF0000"/>
      <name val="Calibri"/>
      <family val="2"/>
      <scheme val="minor"/>
    </font>
    <font>
      <b/>
      <sz val="10"/>
      <color theme="1"/>
      <name val="Calibri"/>
      <family val="2"/>
      <scheme val="minor"/>
    </font>
    <font>
      <u/>
      <sz val="11"/>
      <color theme="10"/>
      <name val="Calibri"/>
      <family val="2"/>
      <scheme val="minor"/>
    </font>
    <font>
      <b/>
      <sz val="8"/>
      <color indexed="81"/>
      <name val="Tahoma"/>
    </font>
    <font>
      <sz val="8"/>
      <color indexed="81"/>
      <name val="Tahoma"/>
    </font>
    <font>
      <i/>
      <sz val="10"/>
      <name val="Calibri"/>
      <family val="2"/>
      <scheme val="minor"/>
    </font>
    <font>
      <b/>
      <sz val="10"/>
      <name val="Calibri"/>
      <family val="2"/>
    </font>
    <font>
      <sz val="12"/>
      <name val="Arial Narrow"/>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FFFF00"/>
        <bgColor rgb="FFFF9900"/>
      </patternFill>
    </fill>
    <fill>
      <patternFill patternType="solid">
        <fgColor rgb="FF92D050"/>
        <bgColor indexed="64"/>
      </patternFill>
    </fill>
    <fill>
      <patternFill patternType="solid">
        <fgColor theme="0" tint="-0.34998626667073579"/>
        <bgColor indexed="64"/>
      </patternFill>
    </fill>
    <fill>
      <patternFill patternType="solid">
        <fgColor theme="0"/>
        <bgColor rgb="FFFFFFFF"/>
      </patternFill>
    </fill>
    <fill>
      <patternFill patternType="solid">
        <fgColor rgb="FFFFFFFF"/>
        <bgColor rgb="FFFFFFFF"/>
      </patternFill>
    </fill>
    <fill>
      <patternFill patternType="solid">
        <fgColor rgb="FFF3F3F3"/>
        <bgColor rgb="FFF3F3F3"/>
      </patternFill>
    </fill>
    <fill>
      <patternFill patternType="solid">
        <fgColor theme="0" tint="-0.34998626667073579"/>
        <bgColor rgb="FFFFFFFF"/>
      </patternFill>
    </fill>
    <fill>
      <patternFill patternType="solid">
        <fgColor theme="8"/>
      </patternFill>
    </fill>
    <fill>
      <patternFill patternType="solid">
        <fgColor theme="2"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style="medium">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s>
  <cellStyleXfs count="20">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71"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4" fillId="0" borderId="0"/>
    <xf numFmtId="44" fontId="1" fillId="0" borderId="0" applyFont="0" applyFill="0" applyBorder="0" applyAlignment="0" applyProtection="0"/>
    <xf numFmtId="42" fontId="1" fillId="0" borderId="0" applyFont="0" applyFill="0" applyBorder="0" applyAlignment="0" applyProtection="0"/>
    <xf numFmtId="0" fontId="38" fillId="12" borderId="0" applyNumberFormat="0" applyBorder="0" applyAlignment="0" applyProtection="0"/>
    <xf numFmtId="0" fontId="14" fillId="0" borderId="0"/>
    <xf numFmtId="0" fontId="77" fillId="0" borderId="0" applyNumberFormat="0" applyFill="0" applyBorder="0" applyAlignment="0" applyProtection="0"/>
  </cellStyleXfs>
  <cellXfs count="1114">
    <xf numFmtId="0" fontId="0" fillId="0" borderId="0" xfId="0"/>
    <xf numFmtId="0" fontId="2" fillId="0" borderId="5" xfId="3" applyNumberFormat="1" applyFont="1" applyFill="1" applyBorder="1" applyAlignment="1">
      <alignment horizontal="justify" vertical="center"/>
    </xf>
    <xf numFmtId="0" fontId="2" fillId="0" borderId="5" xfId="3" applyNumberFormat="1" applyFont="1" applyFill="1" applyBorder="1" applyAlignment="1">
      <alignment horizontal="justify" vertical="center" wrapText="1"/>
    </xf>
    <xf numFmtId="9" fontId="2" fillId="0" borderId="5" xfId="1" applyFont="1" applyFill="1" applyBorder="1" applyAlignment="1">
      <alignment horizontal="justify" vertical="center" wrapText="1"/>
    </xf>
    <xf numFmtId="168" fontId="2" fillId="0" borderId="5" xfId="3" applyNumberFormat="1" applyFont="1" applyFill="1" applyBorder="1" applyAlignment="1">
      <alignment horizontal="justify" vertical="center" wrapText="1"/>
    </xf>
    <xf numFmtId="9" fontId="2" fillId="0" borderId="5" xfId="1" applyFont="1" applyFill="1" applyBorder="1" applyAlignment="1">
      <alignment horizontal="justify" vertical="center"/>
    </xf>
    <xf numFmtId="3" fontId="2" fillId="0" borderId="5" xfId="3" applyNumberFormat="1" applyFont="1" applyFill="1" applyBorder="1" applyAlignment="1">
      <alignment horizontal="justify" vertical="center" wrapText="1"/>
    </xf>
    <xf numFmtId="0" fontId="2" fillId="0" borderId="5" xfId="3" applyNumberFormat="1" applyFont="1" applyFill="1" applyBorder="1" applyAlignment="1" applyProtection="1">
      <alignment horizontal="justify" vertical="center" wrapText="1"/>
      <protection locked="0"/>
    </xf>
    <xf numFmtId="0" fontId="16" fillId="0" borderId="5" xfId="11" applyNumberFormat="1" applyFont="1" applyFill="1" applyBorder="1" applyAlignment="1">
      <alignment horizontal="justify" vertical="center" wrapText="1"/>
    </xf>
    <xf numFmtId="0" fontId="1" fillId="0" borderId="5" xfId="3" applyNumberFormat="1" applyFont="1" applyFill="1" applyBorder="1" applyAlignment="1">
      <alignment horizontal="justify" vertical="center"/>
    </xf>
    <xf numFmtId="0" fontId="0" fillId="0" borderId="5" xfId="3" applyNumberFormat="1" applyFont="1" applyFill="1" applyBorder="1" applyAlignment="1">
      <alignment horizontal="justify" vertical="center" wrapText="1"/>
    </xf>
    <xf numFmtId="0" fontId="1" fillId="0" borderId="5" xfId="3" applyNumberFormat="1" applyFont="1" applyFill="1" applyBorder="1" applyAlignment="1">
      <alignment horizontal="justify" vertical="center" wrapText="1"/>
    </xf>
    <xf numFmtId="0" fontId="16" fillId="0" borderId="5" xfId="13" applyNumberFormat="1" applyFont="1" applyFill="1" applyBorder="1" applyAlignment="1">
      <alignment horizontal="justify" vertical="center" wrapText="1"/>
    </xf>
    <xf numFmtId="0" fontId="17" fillId="0" borderId="5" xfId="14" applyFont="1" applyFill="1" applyBorder="1" applyAlignment="1">
      <alignment horizontal="justify" vertical="center" wrapText="1"/>
    </xf>
    <xf numFmtId="0" fontId="0" fillId="0" borderId="0" xfId="3" applyNumberFormat="1" applyFont="1" applyAlignment="1">
      <alignment horizontal="justify" vertical="center"/>
    </xf>
    <xf numFmtId="0" fontId="2" fillId="2" borderId="0" xfId="3" applyNumberFormat="1" applyFont="1" applyFill="1" applyAlignment="1">
      <alignment horizontal="justify" vertical="center"/>
    </xf>
    <xf numFmtId="0" fontId="6" fillId="0" borderId="0" xfId="0" applyFont="1" applyAlignment="1">
      <alignment horizontal="justify" vertical="center"/>
    </xf>
    <xf numFmtId="0" fontId="14" fillId="0" borderId="0" xfId="0" applyFont="1" applyAlignment="1">
      <alignment horizontal="justify" vertical="center"/>
    </xf>
    <xf numFmtId="3" fontId="2" fillId="0" borderId="5" xfId="0" applyNumberFormat="1" applyFont="1" applyFill="1" applyBorder="1" applyAlignment="1">
      <alignment horizontal="justify" vertical="center"/>
    </xf>
    <xf numFmtId="0" fontId="0" fillId="0" borderId="8" xfId="12" applyNumberFormat="1" applyFont="1" applyFill="1" applyBorder="1" applyAlignment="1" applyProtection="1">
      <alignment horizontal="justify" vertical="center" wrapText="1"/>
      <protection locked="0"/>
    </xf>
    <xf numFmtId="0" fontId="0" fillId="2" borderId="0" xfId="3" applyNumberFormat="1" applyFont="1" applyFill="1" applyAlignment="1">
      <alignment horizontal="justify" vertical="center"/>
    </xf>
    <xf numFmtId="0" fontId="0" fillId="0" borderId="5" xfId="3" applyNumberFormat="1" applyFont="1" applyFill="1" applyBorder="1" applyAlignment="1">
      <alignment horizontal="justify" vertical="center"/>
    </xf>
    <xf numFmtId="0" fontId="15" fillId="0" borderId="5" xfId="3" applyNumberFormat="1" applyFont="1" applyFill="1" applyBorder="1" applyAlignment="1">
      <alignment horizontal="justify" vertical="center"/>
    </xf>
    <xf numFmtId="0" fontId="15" fillId="0" borderId="0" xfId="3" applyNumberFormat="1" applyFont="1" applyFill="1" applyAlignment="1">
      <alignment horizontal="justify" vertical="center"/>
    </xf>
    <xf numFmtId="0" fontId="2" fillId="0" borderId="5" xfId="0" applyFont="1" applyFill="1" applyBorder="1" applyAlignment="1">
      <alignment horizontal="justify" vertical="center"/>
    </xf>
    <xf numFmtId="0" fontId="0" fillId="0" borderId="0" xfId="3" applyNumberFormat="1" applyFont="1" applyFill="1" applyAlignment="1">
      <alignment horizontal="justify" vertical="center"/>
    </xf>
    <xf numFmtId="10" fontId="0" fillId="0" borderId="5" xfId="3" applyNumberFormat="1" applyFont="1" applyFill="1" applyBorder="1" applyAlignment="1">
      <alignment horizontal="justify" vertical="center" wrapText="1"/>
    </xf>
    <xf numFmtId="0" fontId="17" fillId="0" borderId="5" xfId="3" applyNumberFormat="1" applyFont="1" applyFill="1" applyBorder="1" applyAlignment="1">
      <alignment horizontal="justify" vertical="center" wrapText="1"/>
    </xf>
    <xf numFmtId="169" fontId="0" fillId="0" borderId="5" xfId="3" applyNumberFormat="1" applyFont="1" applyFill="1" applyBorder="1" applyAlignment="1">
      <alignment horizontal="justify" vertical="center" wrapText="1"/>
    </xf>
    <xf numFmtId="9" fontId="0" fillId="0" borderId="5" xfId="3" applyNumberFormat="1" applyFont="1" applyFill="1" applyBorder="1" applyAlignment="1">
      <alignment horizontal="justify" vertical="center" wrapText="1"/>
    </xf>
    <xf numFmtId="3" fontId="14" fillId="0" borderId="5" xfId="0" applyNumberFormat="1" applyFont="1" applyFill="1" applyBorder="1" applyAlignment="1">
      <alignment horizontal="justify" vertical="center"/>
    </xf>
    <xf numFmtId="170" fontId="0" fillId="0" borderId="5" xfId="3" applyNumberFormat="1" applyFont="1" applyFill="1" applyBorder="1" applyAlignment="1">
      <alignment horizontal="justify" vertical="center" wrapText="1"/>
    </xf>
    <xf numFmtId="0" fontId="9" fillId="0" borderId="9" xfId="0" applyFont="1" applyFill="1" applyBorder="1" applyAlignment="1">
      <alignment horizontal="justify" vertical="center" wrapText="1"/>
    </xf>
    <xf numFmtId="3" fontId="0" fillId="0" borderId="5" xfId="3" applyNumberFormat="1" applyFont="1" applyFill="1" applyBorder="1" applyAlignment="1">
      <alignment horizontal="justify" vertical="center"/>
    </xf>
    <xf numFmtId="172" fontId="0" fillId="0" borderId="5" xfId="3" applyNumberFormat="1" applyFont="1" applyFill="1" applyBorder="1" applyAlignment="1">
      <alignment horizontal="justify" vertical="center"/>
    </xf>
    <xf numFmtId="3" fontId="17" fillId="0" borderId="5" xfId="3" applyNumberFormat="1" applyFont="1" applyFill="1" applyBorder="1" applyAlignment="1">
      <alignment horizontal="justify" vertical="center"/>
    </xf>
    <xf numFmtId="9" fontId="0" fillId="0" borderId="5" xfId="3" applyNumberFormat="1" applyFont="1" applyFill="1" applyBorder="1" applyAlignment="1">
      <alignment horizontal="justify" vertical="center"/>
    </xf>
    <xf numFmtId="1" fontId="0" fillId="0" borderId="5" xfId="3" applyNumberFormat="1" applyFont="1" applyFill="1" applyBorder="1" applyAlignment="1">
      <alignment horizontal="justify" vertical="center"/>
    </xf>
    <xf numFmtId="0" fontId="0" fillId="0" borderId="5" xfId="3" applyNumberFormat="1" applyFont="1" applyFill="1" applyBorder="1" applyAlignment="1" applyProtection="1">
      <alignment horizontal="justify" vertical="center" wrapText="1"/>
      <protection locked="0"/>
    </xf>
    <xf numFmtId="0" fontId="17" fillId="0" borderId="5" xfId="3" applyNumberFormat="1" applyFont="1" applyFill="1" applyBorder="1" applyAlignment="1">
      <alignment horizontal="justify" vertical="center"/>
    </xf>
    <xf numFmtId="1" fontId="0" fillId="0" borderId="5" xfId="1" applyNumberFormat="1" applyFont="1" applyFill="1" applyBorder="1" applyAlignment="1">
      <alignment horizontal="justify" vertical="center" wrapText="1"/>
    </xf>
    <xf numFmtId="0" fontId="14" fillId="0" borderId="5" xfId="3" applyNumberFormat="1" applyFont="1" applyFill="1" applyBorder="1" applyAlignment="1">
      <alignment horizontal="justify" vertical="center" wrapText="1"/>
    </xf>
    <xf numFmtId="43" fontId="0" fillId="0" borderId="5" xfId="3" applyFont="1" applyFill="1" applyBorder="1" applyAlignment="1">
      <alignment horizontal="justify" vertical="center"/>
    </xf>
    <xf numFmtId="0" fontId="14" fillId="0" borderId="5" xfId="3" applyNumberFormat="1" applyFont="1" applyFill="1" applyBorder="1" applyAlignment="1">
      <alignment horizontal="justify" vertical="center"/>
    </xf>
    <xf numFmtId="0" fontId="17" fillId="0" borderId="5" xfId="11" applyNumberFormat="1" applyFont="1" applyFill="1" applyBorder="1" applyAlignment="1">
      <alignment horizontal="justify" vertical="center" wrapText="1"/>
    </xf>
    <xf numFmtId="3" fontId="2" fillId="0" borderId="5" xfId="0" applyNumberFormat="1" applyFont="1" applyFill="1" applyBorder="1" applyAlignment="1">
      <alignment horizontal="justify" vertical="center" wrapText="1"/>
    </xf>
    <xf numFmtId="0" fontId="2" fillId="0" borderId="5" xfId="12" applyNumberFormat="1" applyFont="1" applyFill="1" applyBorder="1" applyAlignment="1" applyProtection="1">
      <alignment horizontal="justify" vertical="center" wrapText="1"/>
      <protection locked="0"/>
    </xf>
    <xf numFmtId="3" fontId="23" fillId="0" borderId="1" xfId="2" applyNumberFormat="1" applyFont="1" applyFill="1" applyBorder="1" applyAlignment="1">
      <alignment horizontal="justify" vertical="center" wrapText="1"/>
    </xf>
    <xf numFmtId="2" fontId="2" fillId="0" borderId="5" xfId="1" applyNumberFormat="1" applyFont="1" applyFill="1" applyBorder="1" applyAlignment="1">
      <alignment horizontal="justify" vertical="center"/>
    </xf>
    <xf numFmtId="2" fontId="17" fillId="0" borderId="5" xfId="3" applyNumberFormat="1" applyFont="1" applyFill="1" applyBorder="1" applyAlignment="1">
      <alignment horizontal="justify" vertical="center"/>
    </xf>
    <xf numFmtId="0" fontId="14" fillId="0" borderId="5" xfId="11" applyNumberFormat="1" applyFont="1" applyFill="1" applyBorder="1" applyAlignment="1">
      <alignment horizontal="justify" vertical="center" wrapText="1"/>
    </xf>
    <xf numFmtId="10" fontId="0" fillId="0" borderId="5" xfId="3" applyNumberFormat="1" applyFont="1" applyFill="1" applyBorder="1" applyAlignment="1">
      <alignment horizontal="justify" vertical="center"/>
    </xf>
    <xf numFmtId="164" fontId="0" fillId="0" borderId="5" xfId="10" applyFont="1" applyFill="1" applyBorder="1" applyAlignment="1">
      <alignment horizontal="justify" vertical="center"/>
    </xf>
    <xf numFmtId="9" fontId="5" fillId="0" borderId="5" xfId="11" applyNumberFormat="1" applyFont="1" applyFill="1" applyBorder="1" applyAlignment="1">
      <alignment horizontal="justify" vertical="center" wrapText="1"/>
    </xf>
    <xf numFmtId="9" fontId="5" fillId="0" borderId="5" xfId="1" applyFont="1" applyFill="1" applyBorder="1" applyAlignment="1">
      <alignment horizontal="justify" vertical="center" wrapText="1"/>
    </xf>
    <xf numFmtId="9" fontId="16" fillId="0" borderId="5" xfId="1" applyFont="1" applyFill="1" applyBorder="1" applyAlignment="1">
      <alignment horizontal="justify" vertical="center" wrapText="1"/>
    </xf>
    <xf numFmtId="9" fontId="16" fillId="0" borderId="5" xfId="11" applyNumberFormat="1" applyFont="1" applyFill="1" applyBorder="1" applyAlignment="1">
      <alignment horizontal="justify" vertical="center" wrapText="1"/>
    </xf>
    <xf numFmtId="0" fontId="0" fillId="0" borderId="0" xfId="0" applyAlignment="1">
      <alignment horizontal="justify" vertical="center"/>
    </xf>
    <xf numFmtId="9" fontId="2" fillId="0" borderId="5" xfId="3" applyNumberFormat="1" applyFont="1" applyFill="1" applyBorder="1" applyAlignment="1">
      <alignment horizontal="justify" vertical="center"/>
    </xf>
    <xf numFmtId="169" fontId="2" fillId="0" borderId="5" xfId="3" applyNumberFormat="1" applyFont="1" applyFill="1" applyBorder="1" applyAlignment="1">
      <alignment horizontal="justify" vertical="center" wrapText="1"/>
    </xf>
    <xf numFmtId="170" fontId="2" fillId="0" borderId="5" xfId="3" applyNumberFormat="1" applyFont="1" applyFill="1" applyBorder="1" applyAlignment="1">
      <alignment horizontal="justify" vertical="center" wrapText="1"/>
    </xf>
    <xf numFmtId="3" fontId="24" fillId="0" borderId="5" xfId="0" applyNumberFormat="1" applyFont="1" applyFill="1" applyBorder="1" applyAlignment="1">
      <alignment horizontal="justify" vertical="center"/>
    </xf>
    <xf numFmtId="9" fontId="2" fillId="0" borderId="5" xfId="3" applyNumberFormat="1" applyFont="1" applyFill="1" applyBorder="1" applyAlignment="1">
      <alignment horizontal="justify" vertical="center" wrapText="1"/>
    </xf>
    <xf numFmtId="3" fontId="25" fillId="0" borderId="5" xfId="0" applyNumberFormat="1" applyFont="1" applyFill="1" applyBorder="1" applyAlignment="1">
      <alignment horizontal="justify" vertical="center"/>
    </xf>
    <xf numFmtId="10" fontId="2" fillId="0" borderId="5" xfId="3" applyNumberFormat="1" applyFont="1" applyFill="1" applyBorder="1" applyAlignment="1">
      <alignment horizontal="justify" vertical="center" wrapText="1"/>
    </xf>
    <xf numFmtId="0" fontId="26" fillId="0" borderId="5" xfId="3" applyNumberFormat="1" applyFont="1" applyFill="1" applyBorder="1" applyAlignment="1">
      <alignment horizontal="justify" vertical="center" wrapText="1"/>
    </xf>
    <xf numFmtId="3" fontId="0" fillId="0" borderId="5" xfId="3" applyNumberFormat="1" applyFont="1" applyFill="1" applyBorder="1" applyAlignment="1">
      <alignment horizontal="justify" vertical="center" wrapText="1"/>
    </xf>
    <xf numFmtId="3" fontId="17" fillId="0" borderId="5" xfId="3" applyNumberFormat="1" applyFont="1" applyFill="1" applyBorder="1" applyAlignment="1">
      <alignment horizontal="justify" vertical="center" wrapText="1"/>
    </xf>
    <xf numFmtId="173" fontId="0" fillId="0" borderId="5" xfId="3" applyNumberFormat="1" applyFont="1" applyFill="1" applyBorder="1" applyAlignment="1">
      <alignment horizontal="justify" vertical="center" wrapText="1"/>
    </xf>
    <xf numFmtId="0" fontId="0" fillId="0" borderId="4" xfId="0" applyFill="1" applyBorder="1" applyAlignment="1">
      <alignment horizontal="justify" vertical="center" wrapText="1"/>
    </xf>
    <xf numFmtId="3" fontId="2" fillId="0" borderId="5" xfId="1" applyNumberFormat="1" applyFont="1" applyFill="1" applyBorder="1" applyAlignment="1">
      <alignment horizontal="justify" vertical="center" wrapText="1"/>
    </xf>
    <xf numFmtId="1" fontId="2" fillId="0" borderId="5" xfId="1" applyNumberFormat="1" applyFont="1" applyFill="1" applyBorder="1" applyAlignment="1">
      <alignment horizontal="justify" vertical="center" wrapText="1"/>
    </xf>
    <xf numFmtId="0" fontId="25" fillId="0" borderId="0" xfId="0" applyFont="1" applyFill="1" applyAlignment="1">
      <alignment horizontal="justify" vertical="center" wrapText="1"/>
    </xf>
    <xf numFmtId="0" fontId="0" fillId="0" borderId="5" xfId="12" applyNumberFormat="1" applyFont="1" applyFill="1" applyBorder="1" applyAlignment="1">
      <alignment horizontal="justify" vertical="center" wrapText="1"/>
    </xf>
    <xf numFmtId="9" fontId="0" fillId="0" borderId="5" xfId="1" applyFont="1" applyFill="1" applyBorder="1" applyAlignment="1">
      <alignment horizontal="justify" vertical="center"/>
    </xf>
    <xf numFmtId="0" fontId="22" fillId="0" borderId="5" xfId="3" applyNumberFormat="1" applyFont="1" applyFill="1" applyBorder="1" applyAlignment="1">
      <alignment horizontal="justify" vertical="center" wrapText="1"/>
    </xf>
    <xf numFmtId="0" fontId="16" fillId="0" borderId="1" xfId="3" applyNumberFormat="1" applyFont="1" applyFill="1" applyBorder="1" applyAlignment="1">
      <alignment horizontal="justify" vertical="center" wrapText="1"/>
    </xf>
    <xf numFmtId="0" fontId="16" fillId="0" borderId="5" xfId="3" applyNumberFormat="1" applyFont="1" applyFill="1" applyBorder="1" applyAlignment="1">
      <alignment horizontal="justify" vertical="center" wrapText="1"/>
    </xf>
    <xf numFmtId="3" fontId="2" fillId="0" borderId="5" xfId="1" applyNumberFormat="1" applyFont="1" applyFill="1" applyBorder="1" applyAlignment="1">
      <alignment horizontal="justify" vertical="center"/>
    </xf>
    <xf numFmtId="1" fontId="2" fillId="0" borderId="5" xfId="1" applyNumberFormat="1" applyFont="1" applyFill="1" applyBorder="1" applyAlignment="1">
      <alignment horizontal="justify" vertical="center"/>
    </xf>
    <xf numFmtId="3" fontId="0" fillId="0" borderId="5" xfId="12" applyNumberFormat="1" applyFont="1" applyFill="1" applyBorder="1" applyAlignment="1">
      <alignment horizontal="justify" vertical="center"/>
    </xf>
    <xf numFmtId="0" fontId="20" fillId="0" borderId="5" xfId="3" applyNumberFormat="1" applyFont="1" applyFill="1" applyBorder="1" applyAlignment="1">
      <alignment horizontal="justify" vertical="center" wrapText="1"/>
    </xf>
    <xf numFmtId="169" fontId="2" fillId="0" borderId="5" xfId="3" applyNumberFormat="1" applyFont="1" applyFill="1" applyBorder="1" applyAlignment="1">
      <alignment horizontal="justify" vertical="center"/>
    </xf>
    <xf numFmtId="10" fontId="0" fillId="0" borderId="5" xfId="1" applyNumberFormat="1" applyFont="1" applyFill="1" applyBorder="1" applyAlignment="1">
      <alignment horizontal="justify" vertical="center"/>
    </xf>
    <xf numFmtId="9" fontId="17" fillId="0" borderId="5" xfId="3" applyNumberFormat="1" applyFont="1" applyFill="1" applyBorder="1" applyAlignment="1">
      <alignment horizontal="justify" vertical="center"/>
    </xf>
    <xf numFmtId="0" fontId="2" fillId="0" borderId="0" xfId="3" applyNumberFormat="1" applyFont="1" applyFill="1" applyAlignment="1">
      <alignment horizontal="justify" vertical="center"/>
    </xf>
    <xf numFmtId="0" fontId="13" fillId="0" borderId="0" xfId="0" applyFont="1" applyFill="1" applyAlignment="1">
      <alignment horizontal="justify" vertical="center"/>
    </xf>
    <xf numFmtId="9" fontId="2" fillId="6" borderId="5" xfId="3" applyNumberFormat="1" applyFont="1" applyFill="1" applyBorder="1" applyAlignment="1">
      <alignment horizontal="justify" vertical="center" wrapText="1"/>
    </xf>
    <xf numFmtId="169" fontId="2" fillId="0" borderId="5" xfId="1" applyNumberFormat="1" applyFont="1" applyFill="1" applyBorder="1" applyAlignment="1">
      <alignment horizontal="justify" vertical="center"/>
    </xf>
    <xf numFmtId="3" fontId="2" fillId="6" borderId="5" xfId="3" applyNumberFormat="1" applyFont="1" applyFill="1" applyBorder="1" applyAlignment="1">
      <alignment horizontal="justify" vertical="center" wrapText="1"/>
    </xf>
    <xf numFmtId="3" fontId="0" fillId="0" borderId="0" xfId="0" applyNumberFormat="1" applyFill="1" applyAlignment="1">
      <alignment horizontal="center" vertical="center"/>
    </xf>
    <xf numFmtId="0" fontId="2" fillId="2" borderId="0" xfId="3" applyNumberFormat="1" applyFont="1" applyFill="1" applyAlignment="1">
      <alignment horizontal="center" vertical="center"/>
    </xf>
    <xf numFmtId="0" fontId="6" fillId="0" borderId="0" xfId="0" applyFont="1" applyAlignment="1">
      <alignment horizontal="center" vertical="center"/>
    </xf>
    <xf numFmtId="0" fontId="5" fillId="3" borderId="5" xfId="0" applyFont="1" applyFill="1" applyBorder="1" applyAlignment="1">
      <alignment horizontal="center" vertical="center" wrapText="1"/>
    </xf>
    <xf numFmtId="0" fontId="9" fillId="5" borderId="5" xfId="3"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2" borderId="0" xfId="3" applyNumberFormat="1" applyFont="1" applyFill="1"/>
    <xf numFmtId="0" fontId="2" fillId="2" borderId="0" xfId="3" applyNumberFormat="1" applyFont="1" applyFill="1" applyAlignment="1">
      <alignment vertical="center"/>
    </xf>
    <xf numFmtId="0" fontId="0" fillId="0" borderId="0" xfId="3" applyNumberFormat="1" applyFont="1"/>
    <xf numFmtId="0" fontId="0" fillId="0" borderId="0" xfId="3" applyNumberFormat="1" applyFont="1" applyAlignment="1">
      <alignment horizontal="center" vertical="center"/>
    </xf>
    <xf numFmtId="0" fontId="6" fillId="0" borderId="0" xfId="0" applyFont="1" applyAlignment="1">
      <alignment horizontal="center"/>
    </xf>
    <xf numFmtId="3" fontId="0" fillId="0" borderId="0" xfId="0" applyNumberFormat="1" applyFill="1"/>
    <xf numFmtId="0" fontId="14" fillId="0" borderId="0" xfId="0" applyFont="1" applyAlignment="1">
      <alignment horizontal="left"/>
    </xf>
    <xf numFmtId="0" fontId="2" fillId="2" borderId="5" xfId="3" applyNumberFormat="1" applyFont="1" applyFill="1" applyBorder="1" applyAlignment="1">
      <alignment vertical="top" wrapText="1"/>
    </xf>
    <xf numFmtId="0" fontId="2" fillId="2" borderId="5" xfId="3" applyNumberFormat="1" applyFont="1" applyFill="1" applyBorder="1" applyAlignment="1">
      <alignment horizontal="left" vertical="top" wrapText="1"/>
    </xf>
    <xf numFmtId="0" fontId="2" fillId="2" borderId="5" xfId="3" applyNumberFormat="1" applyFont="1" applyFill="1" applyBorder="1" applyAlignment="1">
      <alignment horizontal="center" vertical="top"/>
    </xf>
    <xf numFmtId="0" fontId="2" fillId="2" borderId="5" xfId="3" applyNumberFormat="1" applyFont="1" applyFill="1" applyBorder="1" applyAlignment="1">
      <alignment horizontal="center" vertical="top" wrapText="1"/>
    </xf>
    <xf numFmtId="0" fontId="2" fillId="2" borderId="5" xfId="3" applyNumberFormat="1" applyFont="1" applyFill="1" applyBorder="1" applyAlignment="1">
      <alignment horizontal="justify" vertical="top" wrapText="1"/>
    </xf>
    <xf numFmtId="0" fontId="2" fillId="0" borderId="5" xfId="3" applyNumberFormat="1" applyFont="1" applyFill="1" applyBorder="1" applyAlignment="1">
      <alignment vertical="top" wrapText="1"/>
    </xf>
    <xf numFmtId="0" fontId="2" fillId="0" borderId="5" xfId="3" applyNumberFormat="1" applyFont="1" applyFill="1" applyBorder="1" applyAlignment="1">
      <alignment horizontal="left" vertical="top" wrapText="1"/>
    </xf>
    <xf numFmtId="0" fontId="2" fillId="0" borderId="5" xfId="3" applyNumberFormat="1" applyFont="1" applyFill="1" applyBorder="1" applyAlignment="1">
      <alignment horizontal="center" vertical="top"/>
    </xf>
    <xf numFmtId="0" fontId="2" fillId="0" borderId="5" xfId="3" applyNumberFormat="1" applyFont="1" applyFill="1" applyBorder="1" applyAlignment="1">
      <alignment horizontal="left" vertical="top" wrapText="1"/>
    </xf>
    <xf numFmtId="0" fontId="2" fillId="0" borderId="5" xfId="3"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3" fontId="2" fillId="0" borderId="5" xfId="3"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0" fillId="0" borderId="5" xfId="3" applyNumberFormat="1" applyFont="1" applyFill="1" applyBorder="1" applyAlignment="1">
      <alignment vertical="center" wrapText="1"/>
    </xf>
    <xf numFmtId="0" fontId="0" fillId="0" borderId="5" xfId="3" applyNumberFormat="1" applyFont="1" applyFill="1" applyBorder="1" applyAlignment="1">
      <alignment horizontal="center" vertical="center"/>
    </xf>
    <xf numFmtId="0" fontId="0" fillId="0" borderId="5" xfId="3" applyNumberFormat="1" applyFont="1" applyFill="1" applyBorder="1"/>
    <xf numFmtId="0" fontId="0" fillId="0" borderId="5" xfId="3" applyNumberFormat="1" applyFont="1" applyFill="1" applyBorder="1" applyAlignment="1">
      <alignment vertical="center"/>
    </xf>
    <xf numFmtId="0" fontId="2" fillId="0" borderId="5" xfId="3" applyNumberFormat="1" applyFont="1" applyFill="1" applyBorder="1" applyAlignment="1">
      <alignment horizontal="left" vertical="center" wrapText="1"/>
    </xf>
    <xf numFmtId="3" fontId="0" fillId="0" borderId="5" xfId="0" applyNumberFormat="1" applyFont="1" applyFill="1" applyBorder="1" applyAlignment="1">
      <alignment horizontal="center" vertical="center"/>
    </xf>
    <xf numFmtId="0" fontId="2" fillId="0" borderId="5" xfId="3" applyNumberFormat="1" applyFont="1" applyFill="1" applyBorder="1" applyAlignment="1">
      <alignment horizontal="left" vertical="top"/>
    </xf>
    <xf numFmtId="0" fontId="2" fillId="0" borderId="5" xfId="3" applyNumberFormat="1" applyFont="1" applyFill="1" applyBorder="1" applyAlignment="1">
      <alignment horizontal="center" vertical="top" wrapText="1"/>
    </xf>
    <xf numFmtId="3" fontId="0" fillId="0" borderId="5" xfId="3" applyNumberFormat="1" applyFont="1" applyFill="1" applyBorder="1" applyAlignment="1">
      <alignment horizontal="center" vertical="center"/>
    </xf>
    <xf numFmtId="3" fontId="0" fillId="0" borderId="5" xfId="3" applyNumberFormat="1" applyFont="1" applyFill="1" applyBorder="1" applyAlignment="1">
      <alignment vertical="center"/>
    </xf>
    <xf numFmtId="0" fontId="0" fillId="0" borderId="5" xfId="3" applyNumberFormat="1" applyFont="1" applyFill="1" applyBorder="1" applyAlignment="1">
      <alignment horizontal="center" vertical="center" wrapText="1"/>
    </xf>
    <xf numFmtId="44" fontId="0" fillId="0" borderId="5" xfId="15" applyFont="1" applyFill="1" applyBorder="1" applyAlignment="1">
      <alignment horizontal="center" vertical="center" wrapText="1"/>
    </xf>
    <xf numFmtId="0" fontId="0" fillId="0" borderId="5" xfId="3" applyNumberFormat="1" applyFont="1" applyFill="1" applyBorder="1" applyAlignment="1">
      <alignment vertical="top" wrapText="1"/>
    </xf>
    <xf numFmtId="0" fontId="2" fillId="0" borderId="5" xfId="3"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3" applyNumberFormat="1" applyFont="1" applyFill="1" applyBorder="1"/>
    <xf numFmtId="9" fontId="2" fillId="0" borderId="5" xfId="3"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0" fillId="0" borderId="5" xfId="3" applyNumberFormat="1" applyFont="1" applyFill="1" applyBorder="1" applyAlignment="1">
      <alignment horizontal="center" vertical="center"/>
    </xf>
    <xf numFmtId="0" fontId="0" fillId="0" borderId="5" xfId="0" applyFont="1" applyFill="1" applyBorder="1" applyAlignment="1">
      <alignment horizontal="center" vertical="center"/>
    </xf>
    <xf numFmtId="0" fontId="2" fillId="0" borderId="5" xfId="3" applyNumberFormat="1" applyFont="1" applyFill="1" applyBorder="1" applyAlignment="1">
      <alignment horizontal="center" vertical="top" wrapText="1"/>
    </xf>
    <xf numFmtId="0" fontId="2" fillId="0" borderId="3" xfId="3" applyNumberFormat="1" applyFont="1" applyFill="1" applyBorder="1" applyAlignment="1">
      <alignment horizontal="left" vertical="top" wrapText="1"/>
    </xf>
    <xf numFmtId="0" fontId="2" fillId="0" borderId="5" xfId="3" applyNumberFormat="1" applyFont="1" applyFill="1" applyBorder="1" applyAlignment="1">
      <alignment vertical="center" wrapText="1"/>
    </xf>
    <xf numFmtId="0" fontId="2" fillId="0" borderId="1" xfId="3" applyNumberFormat="1" applyFont="1" applyFill="1" applyBorder="1" applyAlignment="1">
      <alignment horizontal="center" vertical="top" wrapText="1"/>
    </xf>
    <xf numFmtId="0" fontId="0" fillId="0" borderId="11"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0" fillId="0" borderId="5" xfId="0" applyFont="1" applyFill="1" applyBorder="1" applyAlignment="1">
      <alignment horizontal="left" vertical="center" wrapText="1"/>
    </xf>
    <xf numFmtId="0" fontId="2" fillId="0" borderId="2" xfId="3" applyNumberFormat="1" applyFont="1" applyFill="1" applyBorder="1" applyAlignment="1">
      <alignment horizontal="center" vertical="top" wrapText="1"/>
    </xf>
    <xf numFmtId="0" fontId="2" fillId="0" borderId="0" xfId="3" applyNumberFormat="1" applyFont="1" applyFill="1" applyAlignment="1">
      <alignment vertical="center" wrapText="1"/>
    </xf>
    <xf numFmtId="0" fontId="0" fillId="0" borderId="5" xfId="3" applyNumberFormat="1" applyFont="1" applyFill="1" applyBorder="1" applyAlignment="1">
      <alignment horizontal="left" vertical="center" wrapText="1"/>
    </xf>
    <xf numFmtId="0" fontId="0" fillId="0" borderId="5" xfId="3" applyNumberFormat="1" applyFont="1" applyFill="1" applyBorder="1" applyAlignment="1">
      <alignment horizontal="center"/>
    </xf>
    <xf numFmtId="3" fontId="0" fillId="0" borderId="13" xfId="0" applyNumberFormat="1" applyFont="1" applyFill="1" applyBorder="1" applyAlignment="1">
      <alignment horizontal="center" vertical="center" wrapText="1"/>
    </xf>
    <xf numFmtId="0" fontId="30" fillId="0" borderId="5" xfId="0" applyFont="1" applyFill="1" applyBorder="1" applyAlignment="1">
      <alignment horizontal="left" vertical="top" wrapText="1"/>
    </xf>
    <xf numFmtId="0" fontId="0" fillId="0" borderId="5" xfId="3" applyNumberFormat="1" applyFont="1" applyFill="1" applyBorder="1" applyAlignment="1">
      <alignment wrapText="1"/>
    </xf>
    <xf numFmtId="0" fontId="30" fillId="0" borderId="5" xfId="0" applyFont="1" applyFill="1" applyBorder="1" applyAlignment="1">
      <alignment horizontal="center" vertical="center" wrapText="1"/>
    </xf>
    <xf numFmtId="0" fontId="2" fillId="0" borderId="3" xfId="3" applyNumberFormat="1" applyFont="1" applyFill="1" applyBorder="1" applyAlignment="1">
      <alignment horizontal="center" vertical="top" wrapText="1"/>
    </xf>
    <xf numFmtId="0" fontId="0" fillId="0" borderId="5" xfId="3" applyNumberFormat="1" applyFont="1" applyFill="1" applyBorder="1" applyAlignment="1">
      <alignment horizontal="left" vertical="center"/>
    </xf>
    <xf numFmtId="0" fontId="2" fillId="0" borderId="5" xfId="3" applyNumberFormat="1" applyFont="1" applyFill="1" applyBorder="1" applyAlignment="1">
      <alignment vertical="center"/>
    </xf>
    <xf numFmtId="0" fontId="2" fillId="0" borderId="5" xfId="3" applyNumberFormat="1" applyFont="1" applyFill="1" applyBorder="1" applyAlignment="1">
      <alignment horizontal="left" vertical="center"/>
    </xf>
    <xf numFmtId="3" fontId="2" fillId="0" borderId="5" xfId="3" applyNumberFormat="1" applyFont="1" applyFill="1" applyBorder="1" applyAlignment="1">
      <alignment horizontal="center" vertical="center"/>
    </xf>
    <xf numFmtId="0" fontId="0" fillId="0" borderId="0" xfId="3" applyNumberFormat="1" applyFont="1" applyFill="1" applyAlignment="1">
      <alignment vertical="center"/>
    </xf>
    <xf numFmtId="0" fontId="31" fillId="0" borderId="11" xfId="0" applyFont="1" applyFill="1" applyBorder="1" applyAlignment="1">
      <alignment horizontal="center" vertical="center" wrapText="1"/>
    </xf>
    <xf numFmtId="0" fontId="0" fillId="0" borderId="11" xfId="0" applyFont="1" applyFill="1" applyBorder="1" applyAlignment="1">
      <alignment vertical="top" wrapText="1"/>
    </xf>
    <xf numFmtId="0" fontId="31" fillId="0" borderId="11" xfId="0" applyFont="1" applyFill="1" applyBorder="1" applyAlignment="1">
      <alignment vertical="top" wrapText="1"/>
    </xf>
    <xf numFmtId="0" fontId="5" fillId="0" borderId="5" xfId="0" applyFont="1" applyFill="1" applyBorder="1" applyAlignment="1">
      <alignment horizontal="left" vertical="center" wrapText="1"/>
    </xf>
    <xf numFmtId="0" fontId="16" fillId="0" borderId="5" xfId="3" applyNumberFormat="1" applyFont="1" applyFill="1" applyBorder="1" applyAlignment="1">
      <alignment vertical="center" wrapText="1"/>
    </xf>
    <xf numFmtId="1" fontId="0" fillId="0" borderId="5" xfId="3" applyNumberFormat="1" applyFont="1" applyFill="1" applyBorder="1" applyAlignment="1">
      <alignment horizontal="center" vertical="center"/>
    </xf>
    <xf numFmtId="3" fontId="0" fillId="0" borderId="11" xfId="0" applyNumberFormat="1" applyFont="1" applyFill="1" applyBorder="1" applyAlignment="1">
      <alignment horizontal="center" vertical="center" wrapText="1"/>
    </xf>
    <xf numFmtId="0" fontId="30" fillId="0" borderId="11" xfId="0" applyFont="1" applyFill="1" applyBorder="1" applyAlignment="1">
      <alignment horizontal="left" vertical="center" wrapText="1"/>
    </xf>
    <xf numFmtId="0" fontId="0" fillId="0" borderId="5" xfId="3" applyNumberFormat="1" applyFont="1" applyFill="1" applyBorder="1" applyAlignment="1">
      <alignment horizontal="left" wrapText="1"/>
    </xf>
    <xf numFmtId="3" fontId="0" fillId="0" borderId="5" xfId="3" applyNumberFormat="1" applyFont="1" applyFill="1" applyBorder="1"/>
    <xf numFmtId="0" fontId="30" fillId="0" borderId="0" xfId="0" applyFont="1" applyFill="1" applyAlignment="1">
      <alignment horizontal="center" vertical="center" wrapText="1"/>
    </xf>
    <xf numFmtId="1" fontId="0" fillId="0" borderId="11"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xf>
    <xf numFmtId="0" fontId="30" fillId="0" borderId="11" xfId="0" applyFont="1" applyFill="1" applyBorder="1" applyAlignment="1">
      <alignment horizontal="center" vertical="center" wrapText="1"/>
    </xf>
    <xf numFmtId="0" fontId="2" fillId="0" borderId="5" xfId="3" applyNumberFormat="1" applyFont="1" applyFill="1" applyBorder="1" applyAlignment="1">
      <alignment horizontal="center" vertical="top"/>
    </xf>
    <xf numFmtId="0" fontId="0" fillId="0" borderId="0" xfId="0" applyFont="1" applyFill="1" applyAlignment="1">
      <alignment horizontal="left" vertical="center" wrapText="1"/>
    </xf>
    <xf numFmtId="3" fontId="0" fillId="0" borderId="0" xfId="0" applyNumberFormat="1" applyFont="1" applyFill="1" applyAlignment="1">
      <alignment horizontal="center" vertical="center" wrapText="1"/>
    </xf>
    <xf numFmtId="0" fontId="0" fillId="0" borderId="11" xfId="0" applyFont="1" applyFill="1" applyBorder="1" applyAlignment="1">
      <alignment vertical="center" wrapText="1"/>
    </xf>
    <xf numFmtId="0" fontId="2" fillId="0" borderId="5" xfId="3" applyNumberFormat="1" applyFont="1" applyFill="1" applyBorder="1" applyAlignment="1">
      <alignment horizontal="justify" vertical="top" wrapText="1"/>
    </xf>
    <xf numFmtId="0" fontId="0" fillId="0" borderId="1" xfId="3" applyNumberFormat="1" applyFont="1" applyFill="1" applyBorder="1" applyAlignment="1">
      <alignment vertical="center" wrapText="1"/>
    </xf>
    <xf numFmtId="0" fontId="1" fillId="0" borderId="5" xfId="3" applyNumberFormat="1" applyFont="1" applyFill="1" applyBorder="1" applyAlignment="1">
      <alignment vertical="top" wrapText="1"/>
    </xf>
    <xf numFmtId="0" fontId="1" fillId="0" borderId="5" xfId="3" applyNumberFormat="1" applyFont="1" applyFill="1" applyBorder="1" applyAlignment="1">
      <alignment vertical="center" wrapText="1"/>
    </xf>
    <xf numFmtId="10" fontId="2" fillId="0" borderId="5" xfId="0" applyNumberFormat="1" applyFont="1" applyFill="1" applyBorder="1" applyAlignment="1">
      <alignment horizontal="center" vertical="center" wrapText="1"/>
    </xf>
    <xf numFmtId="0" fontId="30" fillId="0" borderId="5" xfId="3" applyNumberFormat="1" applyFont="1" applyFill="1" applyBorder="1" applyAlignment="1">
      <alignment vertical="top" wrapText="1"/>
    </xf>
    <xf numFmtId="0" fontId="30" fillId="0" borderId="5" xfId="3" applyNumberFormat="1" applyFont="1" applyFill="1" applyBorder="1" applyAlignment="1">
      <alignment horizontal="left" vertical="top" wrapText="1"/>
    </xf>
    <xf numFmtId="0" fontId="30" fillId="0" borderId="5" xfId="3" applyNumberFormat="1" applyFont="1" applyFill="1" applyBorder="1" applyAlignment="1">
      <alignment horizontal="center" vertical="center" wrapText="1"/>
    </xf>
    <xf numFmtId="9" fontId="30" fillId="0" borderId="5" xfId="3" applyNumberFormat="1" applyFont="1" applyFill="1" applyBorder="1" applyAlignment="1">
      <alignment horizontal="center" vertical="center" wrapText="1"/>
    </xf>
    <xf numFmtId="0" fontId="30" fillId="0" borderId="5" xfId="3" applyNumberFormat="1" applyFont="1" applyFill="1" applyBorder="1" applyAlignment="1">
      <alignment horizontal="left" vertical="center" wrapText="1"/>
    </xf>
    <xf numFmtId="3" fontId="25" fillId="0" borderId="5" xfId="0" applyNumberFormat="1" applyFont="1" applyFill="1" applyBorder="1" applyAlignment="1">
      <alignment horizontal="center" vertical="center"/>
    </xf>
    <xf numFmtId="0" fontId="30" fillId="0" borderId="1" xfId="3" applyNumberFormat="1" applyFont="1" applyFill="1" applyBorder="1" applyAlignment="1">
      <alignment horizontal="left" vertical="top" wrapText="1"/>
    </xf>
    <xf numFmtId="3" fontId="30" fillId="0" borderId="5" xfId="3" applyNumberFormat="1" applyFont="1" applyFill="1" applyBorder="1" applyAlignment="1">
      <alignment horizontal="center" vertical="center" wrapText="1"/>
    </xf>
    <xf numFmtId="174" fontId="2" fillId="0" borderId="5" xfId="0" applyNumberFormat="1" applyFont="1" applyFill="1" applyBorder="1" applyAlignment="1">
      <alignment horizontal="center" vertical="center" wrapText="1"/>
    </xf>
    <xf numFmtId="0" fontId="30" fillId="0" borderId="5" xfId="3" applyNumberFormat="1" applyFont="1" applyFill="1" applyBorder="1" applyAlignment="1">
      <alignment horizontal="center" vertical="top" wrapText="1"/>
    </xf>
    <xf numFmtId="0" fontId="30" fillId="0" borderId="5" xfId="3" applyNumberFormat="1" applyFont="1" applyFill="1" applyBorder="1" applyAlignment="1">
      <alignment horizontal="center" vertical="center"/>
    </xf>
    <xf numFmtId="3" fontId="30" fillId="0" borderId="5" xfId="3" applyNumberFormat="1" applyFont="1" applyFill="1" applyBorder="1" applyAlignment="1">
      <alignment horizontal="center" vertical="center"/>
    </xf>
    <xf numFmtId="0" fontId="2" fillId="7" borderId="5" xfId="3" applyNumberFormat="1" applyFont="1" applyFill="1" applyBorder="1" applyAlignment="1">
      <alignment vertical="top" wrapText="1"/>
    </xf>
    <xf numFmtId="0" fontId="2" fillId="7" borderId="5" xfId="3" applyNumberFormat="1" applyFont="1" applyFill="1" applyBorder="1" applyAlignment="1">
      <alignment horizontal="center" vertical="top" wrapText="1"/>
    </xf>
    <xf numFmtId="0" fontId="2" fillId="7" borderId="5" xfId="3" applyNumberFormat="1" applyFont="1" applyFill="1" applyBorder="1" applyAlignment="1">
      <alignment horizontal="justify" vertical="top" wrapText="1"/>
    </xf>
    <xf numFmtId="0" fontId="2" fillId="7" borderId="5" xfId="3" applyNumberFormat="1" applyFont="1" applyFill="1" applyBorder="1" applyAlignment="1">
      <alignment horizontal="left" vertical="top" wrapText="1"/>
    </xf>
    <xf numFmtId="0" fontId="2" fillId="2" borderId="1" xfId="3" applyNumberFormat="1" applyFont="1" applyFill="1" applyBorder="1" applyAlignment="1">
      <alignment horizontal="center" vertical="top" wrapText="1"/>
    </xf>
    <xf numFmtId="0" fontId="2" fillId="2" borderId="1" xfId="3" applyNumberFormat="1" applyFont="1" applyFill="1" applyBorder="1" applyAlignment="1">
      <alignment horizontal="justify" vertical="top" wrapText="1"/>
    </xf>
    <xf numFmtId="0" fontId="2" fillId="2" borderId="1" xfId="3" applyNumberFormat="1" applyFont="1" applyFill="1" applyBorder="1" applyAlignment="1">
      <alignment vertical="top" wrapText="1"/>
    </xf>
    <xf numFmtId="0" fontId="2" fillId="2" borderId="3" xfId="3" applyNumberFormat="1" applyFont="1" applyFill="1" applyBorder="1" applyAlignment="1">
      <alignment horizontal="justify" vertical="top" wrapText="1"/>
    </xf>
    <xf numFmtId="0" fontId="2" fillId="2" borderId="3" xfId="3" applyNumberFormat="1" applyFont="1" applyFill="1" applyBorder="1" applyAlignment="1">
      <alignment horizontal="center" vertical="top" wrapText="1"/>
    </xf>
    <xf numFmtId="0" fontId="2" fillId="2" borderId="3" xfId="3" applyNumberFormat="1" applyFont="1" applyFill="1" applyBorder="1" applyAlignment="1">
      <alignment vertical="top" wrapText="1"/>
    </xf>
    <xf numFmtId="0" fontId="2" fillId="7" borderId="2" xfId="3" applyNumberFormat="1" applyFont="1" applyFill="1" applyBorder="1" applyAlignment="1">
      <alignment horizontal="justify" vertical="top" wrapText="1"/>
    </xf>
    <xf numFmtId="0" fontId="2" fillId="7" borderId="2" xfId="3" applyNumberFormat="1" applyFont="1" applyFill="1" applyBorder="1" applyAlignment="1">
      <alignment horizontal="center" vertical="top" wrapText="1"/>
    </xf>
    <xf numFmtId="0" fontId="2" fillId="7" borderId="3" xfId="3" applyNumberFormat="1" applyFont="1" applyFill="1" applyBorder="1" applyAlignment="1">
      <alignment horizontal="justify" vertical="top" wrapText="1"/>
    </xf>
    <xf numFmtId="0" fontId="2" fillId="7" borderId="3" xfId="3" applyNumberFormat="1" applyFont="1" applyFill="1" applyBorder="1" applyAlignment="1">
      <alignment horizontal="center" vertical="top" wrapText="1"/>
    </xf>
    <xf numFmtId="0" fontId="2" fillId="7" borderId="1" xfId="3" applyNumberFormat="1" applyFont="1" applyFill="1" applyBorder="1" applyAlignment="1">
      <alignment horizontal="justify" vertical="top" wrapText="1"/>
    </xf>
    <xf numFmtId="0" fontId="2" fillId="7" borderId="1" xfId="3" applyNumberFormat="1" applyFont="1" applyFill="1" applyBorder="1" applyAlignment="1">
      <alignment vertical="top" wrapText="1"/>
    </xf>
    <xf numFmtId="0" fontId="2" fillId="7" borderId="1" xfId="3" applyNumberFormat="1" applyFont="1" applyFill="1" applyBorder="1" applyAlignment="1">
      <alignment horizontal="center" vertical="top" wrapText="1"/>
    </xf>
    <xf numFmtId="0" fontId="2" fillId="7" borderId="3" xfId="3" applyNumberFormat="1" applyFont="1" applyFill="1" applyBorder="1" applyAlignment="1">
      <alignment vertical="top" wrapText="1"/>
    </xf>
    <xf numFmtId="0" fontId="2" fillId="2" borderId="2" xfId="3" applyNumberFormat="1" applyFont="1" applyFill="1" applyBorder="1" applyAlignment="1">
      <alignment vertical="top" wrapText="1"/>
    </xf>
    <xf numFmtId="0" fontId="2" fillId="0" borderId="1" xfId="3" applyNumberFormat="1" applyFont="1" applyFill="1" applyBorder="1" applyAlignment="1">
      <alignment vertical="top" wrapText="1"/>
    </xf>
    <xf numFmtId="3" fontId="2" fillId="7" borderId="5" xfId="3" applyNumberFormat="1" applyFont="1" applyFill="1" applyBorder="1" applyAlignment="1">
      <alignment horizontal="center" vertical="top" wrapText="1"/>
    </xf>
    <xf numFmtId="3" fontId="2" fillId="7" borderId="5" xfId="3" applyNumberFormat="1" applyFont="1" applyFill="1" applyBorder="1" applyAlignment="1">
      <alignment horizontal="center" vertical="top"/>
    </xf>
    <xf numFmtId="3" fontId="2" fillId="7" borderId="1" xfId="3" applyNumberFormat="1" applyFont="1" applyFill="1" applyBorder="1" applyAlignment="1">
      <alignment horizontal="center" vertical="top" wrapText="1"/>
    </xf>
    <xf numFmtId="3" fontId="2" fillId="7" borderId="2" xfId="3" applyNumberFormat="1" applyFont="1" applyFill="1" applyBorder="1" applyAlignment="1">
      <alignment horizontal="center" vertical="top" wrapText="1"/>
    </xf>
    <xf numFmtId="3" fontId="2" fillId="7" borderId="3" xfId="3" applyNumberFormat="1" applyFont="1" applyFill="1" applyBorder="1" applyAlignment="1">
      <alignment horizontal="center" vertical="top" wrapText="1"/>
    </xf>
    <xf numFmtId="168" fontId="2" fillId="7" borderId="5" xfId="3" applyNumberFormat="1" applyFont="1" applyFill="1" applyBorder="1" applyAlignment="1">
      <alignment vertical="top"/>
    </xf>
    <xf numFmtId="1" fontId="2" fillId="7" borderId="5" xfId="3" applyNumberFormat="1" applyFont="1" applyFill="1" applyBorder="1" applyAlignment="1">
      <alignment vertical="top" wrapText="1"/>
    </xf>
    <xf numFmtId="0" fontId="2" fillId="7" borderId="5" xfId="3" applyNumberFormat="1" applyFont="1" applyFill="1" applyBorder="1" applyAlignment="1">
      <alignment vertical="top"/>
    </xf>
    <xf numFmtId="3" fontId="2" fillId="2" borderId="5" xfId="3" applyNumberFormat="1" applyFont="1" applyFill="1" applyBorder="1" applyAlignment="1">
      <alignment horizontal="center" vertical="top" wrapText="1"/>
    </xf>
    <xf numFmtId="3" fontId="2" fillId="2" borderId="5" xfId="3" applyNumberFormat="1" applyFont="1" applyFill="1" applyBorder="1" applyAlignment="1">
      <alignment horizontal="center" vertical="top"/>
    </xf>
    <xf numFmtId="0" fontId="0" fillId="2" borderId="5" xfId="3" applyNumberFormat="1" applyFont="1" applyFill="1" applyBorder="1" applyAlignment="1">
      <alignment vertical="top"/>
    </xf>
    <xf numFmtId="3" fontId="30" fillId="0" borderId="11" xfId="0" applyNumberFormat="1" applyFont="1" applyBorder="1" applyAlignment="1">
      <alignment horizontal="center" vertical="top"/>
    </xf>
    <xf numFmtId="3" fontId="30" fillId="2" borderId="11" xfId="0" applyNumberFormat="1" applyFont="1" applyFill="1" applyBorder="1" applyAlignment="1">
      <alignment horizontal="center" vertical="top"/>
    </xf>
    <xf numFmtId="0" fontId="0" fillId="2" borderId="5" xfId="3" applyNumberFormat="1" applyFont="1" applyFill="1" applyBorder="1" applyAlignment="1">
      <alignment horizontal="center" vertical="top"/>
    </xf>
    <xf numFmtId="2" fontId="30" fillId="2" borderId="11" xfId="0" applyNumberFormat="1" applyFont="1" applyFill="1" applyBorder="1" applyAlignment="1">
      <alignment horizontal="center" vertical="top"/>
    </xf>
    <xf numFmtId="9" fontId="2" fillId="7" borderId="5" xfId="1" applyFont="1" applyFill="1" applyBorder="1" applyAlignment="1">
      <alignment horizontal="center" vertical="top" wrapText="1"/>
    </xf>
    <xf numFmtId="3" fontId="30" fillId="2" borderId="5" xfId="0" applyNumberFormat="1" applyFont="1" applyFill="1" applyBorder="1" applyAlignment="1">
      <alignment horizontal="center" vertical="top"/>
    </xf>
    <xf numFmtId="2" fontId="30" fillId="2" borderId="5" xfId="0" applyNumberFormat="1" applyFont="1" applyFill="1" applyBorder="1" applyAlignment="1">
      <alignment horizontal="center" vertical="top"/>
    </xf>
    <xf numFmtId="0" fontId="2" fillId="8" borderId="11" xfId="0" applyFont="1" applyFill="1" applyBorder="1" applyAlignment="1">
      <alignment horizontal="center" vertical="top" wrapText="1"/>
    </xf>
    <xf numFmtId="1" fontId="2" fillId="8" borderId="11" xfId="0" applyNumberFormat="1" applyFont="1" applyFill="1" applyBorder="1" applyAlignment="1">
      <alignment horizontal="center" vertical="top"/>
    </xf>
    <xf numFmtId="0" fontId="2" fillId="8" borderId="11" xfId="0" applyFont="1" applyFill="1" applyBorder="1" applyAlignment="1">
      <alignment horizontal="center" vertical="top"/>
    </xf>
    <xf numFmtId="0" fontId="0" fillId="0" borderId="5" xfId="3" applyNumberFormat="1" applyFont="1" applyFill="1" applyBorder="1" applyAlignment="1">
      <alignment horizontal="center" vertical="top"/>
    </xf>
    <xf numFmtId="0" fontId="0" fillId="2" borderId="5" xfId="3" applyNumberFormat="1" applyFont="1" applyFill="1" applyBorder="1" applyAlignment="1">
      <alignment horizontal="center" vertical="top" wrapText="1"/>
    </xf>
    <xf numFmtId="3" fontId="2" fillId="2" borderId="1" xfId="3" applyNumberFormat="1" applyFont="1" applyFill="1" applyBorder="1" applyAlignment="1">
      <alignment horizontal="center" vertical="top" wrapText="1"/>
    </xf>
    <xf numFmtId="0" fontId="2" fillId="2" borderId="5" xfId="3" applyNumberFormat="1" applyFont="1" applyFill="1" applyBorder="1" applyAlignment="1">
      <alignment vertical="top"/>
    </xf>
    <xf numFmtId="3" fontId="30" fillId="0" borderId="11" xfId="0" applyNumberFormat="1" applyFont="1" applyFill="1" applyBorder="1" applyAlignment="1">
      <alignment horizontal="center" vertical="top"/>
    </xf>
    <xf numFmtId="0" fontId="2" fillId="7" borderId="5" xfId="3" applyNumberFormat="1" applyFont="1" applyFill="1" applyBorder="1" applyAlignment="1">
      <alignment horizontal="center" vertical="top"/>
    </xf>
    <xf numFmtId="1" fontId="5" fillId="0" borderId="5" xfId="2" applyNumberFormat="1" applyFont="1" applyFill="1" applyBorder="1" applyAlignment="1">
      <alignment horizontal="center" vertical="top" wrapText="1"/>
    </xf>
    <xf numFmtId="0" fontId="0" fillId="0" borderId="5" xfId="3" applyNumberFormat="1" applyFont="1" applyFill="1" applyBorder="1" applyAlignment="1">
      <alignment vertical="top"/>
    </xf>
    <xf numFmtId="1" fontId="5" fillId="0" borderId="5" xfId="2" applyNumberFormat="1" applyFont="1" applyFill="1" applyBorder="1" applyAlignment="1">
      <alignment horizontal="center" vertical="top"/>
    </xf>
    <xf numFmtId="0" fontId="0" fillId="0" borderId="5" xfId="3" applyNumberFormat="1" applyFont="1" applyFill="1" applyBorder="1" applyAlignment="1">
      <alignment horizontal="center" vertical="top" wrapText="1"/>
    </xf>
    <xf numFmtId="0" fontId="0" fillId="2" borderId="1" xfId="3" applyNumberFormat="1" applyFont="1" applyFill="1" applyBorder="1" applyAlignment="1">
      <alignment vertical="top"/>
    </xf>
    <xf numFmtId="1" fontId="5" fillId="0" borderId="1" xfId="2" applyNumberFormat="1" applyFont="1" applyFill="1" applyBorder="1" applyAlignment="1">
      <alignment horizontal="center" vertical="top" wrapText="1"/>
    </xf>
    <xf numFmtId="0" fontId="0" fillId="0" borderId="1" xfId="3" applyNumberFormat="1" applyFont="1" applyFill="1" applyBorder="1" applyAlignment="1">
      <alignment vertical="top"/>
    </xf>
    <xf numFmtId="1" fontId="5" fillId="0" borderId="1" xfId="2" applyNumberFormat="1" applyFont="1" applyFill="1" applyBorder="1" applyAlignment="1">
      <alignment horizontal="center" vertical="top"/>
    </xf>
    <xf numFmtId="0" fontId="2" fillId="7" borderId="3" xfId="3" applyNumberFormat="1" applyFont="1" applyFill="1" applyBorder="1" applyAlignment="1">
      <alignment horizontal="center" vertical="top"/>
    </xf>
    <xf numFmtId="168" fontId="0" fillId="0" borderId="5" xfId="3" applyNumberFormat="1" applyFont="1" applyFill="1" applyBorder="1" applyAlignment="1">
      <alignment vertical="top"/>
    </xf>
    <xf numFmtId="9" fontId="2" fillId="7" borderId="5" xfId="3" applyNumberFormat="1" applyFont="1" applyFill="1" applyBorder="1" applyAlignment="1">
      <alignment horizontal="center" vertical="top" wrapText="1"/>
    </xf>
    <xf numFmtId="1" fontId="5" fillId="7" borderId="5" xfId="2" applyNumberFormat="1" applyFont="1" applyFill="1" applyBorder="1" applyAlignment="1">
      <alignment horizontal="center" vertical="top" wrapText="1"/>
    </xf>
    <xf numFmtId="1" fontId="5" fillId="7" borderId="5" xfId="2" applyNumberFormat="1" applyFont="1" applyFill="1" applyBorder="1" applyAlignment="1">
      <alignment horizontal="center" vertical="top"/>
    </xf>
    <xf numFmtId="2" fontId="30" fillId="0" borderId="11" xfId="0" applyNumberFormat="1" applyFont="1" applyFill="1" applyBorder="1" applyAlignment="1">
      <alignment horizontal="center" vertical="top"/>
    </xf>
    <xf numFmtId="0" fontId="0" fillId="2" borderId="5" xfId="3" applyNumberFormat="1" applyFont="1" applyFill="1" applyBorder="1" applyAlignment="1">
      <alignment vertical="top" wrapText="1"/>
    </xf>
    <xf numFmtId="3" fontId="30" fillId="0" borderId="5" xfId="0" applyNumberFormat="1" applyFont="1" applyFill="1" applyBorder="1" applyAlignment="1">
      <alignment horizontal="center" vertical="top"/>
    </xf>
    <xf numFmtId="2" fontId="30" fillId="0" borderId="5" xfId="0" applyNumberFormat="1" applyFont="1" applyFill="1" applyBorder="1" applyAlignment="1">
      <alignment horizontal="center" vertical="top"/>
    </xf>
    <xf numFmtId="1" fontId="33" fillId="0" borderId="11" xfId="0" applyNumberFormat="1" applyFont="1" applyFill="1" applyBorder="1" applyAlignment="1">
      <alignment horizontal="center" vertical="top"/>
    </xf>
    <xf numFmtId="175" fontId="30" fillId="0" borderId="5" xfId="0" applyNumberFormat="1" applyFont="1" applyFill="1" applyBorder="1" applyAlignment="1">
      <alignment horizontal="center" vertical="top"/>
    </xf>
    <xf numFmtId="3" fontId="30" fillId="0" borderId="11" xfId="0" applyNumberFormat="1" applyFont="1" applyFill="1" applyBorder="1" applyAlignment="1">
      <alignment horizontal="center" vertical="top" wrapText="1"/>
    </xf>
    <xf numFmtId="3" fontId="30" fillId="7" borderId="16" xfId="0" applyNumberFormat="1" applyFont="1" applyFill="1" applyBorder="1" applyAlignment="1">
      <alignment horizontal="center" vertical="top" wrapText="1"/>
    </xf>
    <xf numFmtId="3" fontId="30" fillId="0" borderId="14" xfId="0" applyNumberFormat="1" applyFont="1" applyFill="1" applyBorder="1" applyAlignment="1">
      <alignment horizontal="center" vertical="top"/>
    </xf>
    <xf numFmtId="2" fontId="30" fillId="0" borderId="14" xfId="0" applyNumberFormat="1" applyFont="1" applyFill="1" applyBorder="1" applyAlignment="1">
      <alignment horizontal="center" vertical="top"/>
    </xf>
    <xf numFmtId="3" fontId="2" fillId="2" borderId="3" xfId="3" applyNumberFormat="1" applyFont="1" applyFill="1" applyBorder="1" applyAlignment="1">
      <alignment horizontal="center" vertical="top" wrapText="1"/>
    </xf>
    <xf numFmtId="0" fontId="0" fillId="2" borderId="3" xfId="3" applyNumberFormat="1" applyFont="1" applyFill="1" applyBorder="1" applyAlignment="1">
      <alignment vertical="top"/>
    </xf>
    <xf numFmtId="0" fontId="2" fillId="2" borderId="2" xfId="3" applyNumberFormat="1" applyFont="1" applyFill="1" applyBorder="1" applyAlignment="1">
      <alignment horizontal="center" vertical="top" wrapText="1"/>
    </xf>
    <xf numFmtId="0" fontId="2" fillId="7" borderId="2" xfId="3" applyNumberFormat="1" applyFont="1" applyFill="1" applyBorder="1" applyAlignment="1">
      <alignment vertical="top"/>
    </xf>
    <xf numFmtId="0" fontId="2" fillId="2" borderId="1" xfId="3" applyNumberFormat="1" applyFont="1" applyFill="1" applyBorder="1" applyAlignment="1">
      <alignment vertical="top"/>
    </xf>
    <xf numFmtId="0" fontId="2" fillId="0" borderId="11" xfId="0" applyFont="1" applyFill="1" applyBorder="1" applyAlignment="1">
      <alignment horizontal="center" vertical="top" wrapText="1"/>
    </xf>
    <xf numFmtId="168" fontId="2" fillId="2" borderId="5" xfId="3" applyNumberFormat="1" applyFont="1" applyFill="1" applyBorder="1" applyAlignment="1">
      <alignment vertical="top"/>
    </xf>
    <xf numFmtId="1" fontId="2" fillId="0" borderId="5" xfId="3" applyNumberFormat="1" applyFont="1" applyFill="1" applyBorder="1" applyAlignment="1">
      <alignment vertical="top"/>
    </xf>
    <xf numFmtId="168" fontId="2" fillId="0" borderId="5" xfId="3" applyNumberFormat="1" applyFont="1" applyFill="1" applyBorder="1" applyAlignment="1">
      <alignment vertical="top"/>
    </xf>
    <xf numFmtId="0" fontId="2" fillId="0" borderId="5" xfId="3" applyNumberFormat="1" applyFont="1" applyFill="1" applyBorder="1" applyAlignment="1">
      <alignment vertical="top"/>
    </xf>
    <xf numFmtId="3" fontId="2" fillId="7" borderId="17" xfId="3" applyNumberFormat="1" applyFont="1" applyFill="1" applyBorder="1" applyAlignment="1">
      <alignment horizontal="center" vertical="top" wrapText="1"/>
    </xf>
    <xf numFmtId="0" fontId="2" fillId="7" borderId="3" xfId="3" applyNumberFormat="1" applyFont="1" applyFill="1" applyBorder="1" applyAlignment="1">
      <alignment vertical="top"/>
    </xf>
    <xf numFmtId="3" fontId="2" fillId="2" borderId="18" xfId="3" applyNumberFormat="1" applyFont="1" applyFill="1" applyBorder="1" applyAlignment="1">
      <alignment horizontal="center" vertical="top" wrapText="1"/>
    </xf>
    <xf numFmtId="0" fontId="2" fillId="7" borderId="1" xfId="3" applyNumberFormat="1" applyFont="1" applyFill="1" applyBorder="1" applyAlignment="1">
      <alignment vertical="top"/>
    </xf>
    <xf numFmtId="0" fontId="0" fillId="2" borderId="3" xfId="3" applyNumberFormat="1" applyFont="1" applyFill="1" applyBorder="1" applyAlignment="1">
      <alignment horizontal="center" vertical="top"/>
    </xf>
    <xf numFmtId="9" fontId="2" fillId="2" borderId="5" xfId="3" applyNumberFormat="1" applyFont="1" applyFill="1" applyBorder="1" applyAlignment="1">
      <alignment horizontal="center" vertical="top" wrapText="1"/>
    </xf>
    <xf numFmtId="168" fontId="2" fillId="7" borderId="5" xfId="3" applyNumberFormat="1" applyFont="1" applyFill="1" applyBorder="1" applyAlignment="1">
      <alignment horizontal="center" vertical="top"/>
    </xf>
    <xf numFmtId="176" fontId="2" fillId="7" borderId="5" xfId="3" applyNumberFormat="1" applyFont="1" applyFill="1" applyBorder="1" applyAlignment="1">
      <alignment horizontal="center" vertical="top"/>
    </xf>
    <xf numFmtId="172" fontId="33" fillId="9" borderId="11" xfId="0" applyNumberFormat="1" applyFont="1" applyFill="1" applyBorder="1" applyAlignment="1">
      <alignment horizontal="right" vertical="top"/>
    </xf>
    <xf numFmtId="1" fontId="2" fillId="7" borderId="5" xfId="3" applyNumberFormat="1" applyFont="1" applyFill="1" applyBorder="1" applyAlignment="1">
      <alignment horizontal="center" vertical="top"/>
    </xf>
    <xf numFmtId="3" fontId="2" fillId="8" borderId="14" xfId="0" applyNumberFormat="1" applyFont="1" applyFill="1" applyBorder="1" applyAlignment="1">
      <alignment horizontal="center" vertical="top" wrapText="1"/>
    </xf>
    <xf numFmtId="168" fontId="2" fillId="2" borderId="5" xfId="3" applyNumberFormat="1" applyFont="1" applyFill="1" applyBorder="1" applyAlignment="1">
      <alignment horizontal="center" vertical="top"/>
    </xf>
    <xf numFmtId="0" fontId="0" fillId="0" borderId="0" xfId="3" applyNumberFormat="1" applyFont="1" applyAlignment="1">
      <alignment vertical="center"/>
    </xf>
    <xf numFmtId="3" fontId="0" fillId="0" borderId="0" xfId="0" applyNumberFormat="1" applyFill="1" applyAlignment="1">
      <alignment vertical="center"/>
    </xf>
    <xf numFmtId="0" fontId="14" fillId="0" borderId="0" xfId="0" applyFont="1" applyAlignment="1">
      <alignment horizontal="left" vertical="center"/>
    </xf>
    <xf numFmtId="0" fontId="5" fillId="3" borderId="5" xfId="0" applyFont="1" applyFill="1" applyBorder="1" applyAlignment="1">
      <alignment horizontal="center" vertical="top" wrapText="1"/>
    </xf>
    <xf numFmtId="0" fontId="9" fillId="5" borderId="5" xfId="3" applyNumberFormat="1" applyFont="1" applyFill="1" applyBorder="1" applyAlignment="1">
      <alignment horizontal="center" vertical="top" wrapText="1"/>
    </xf>
    <xf numFmtId="0" fontId="2" fillId="0" borderId="3" xfId="3" applyNumberFormat="1" applyFont="1" applyFill="1" applyBorder="1" applyAlignment="1">
      <alignment horizontal="center" vertical="top" wrapText="1"/>
    </xf>
    <xf numFmtId="0" fontId="2" fillId="0" borderId="5" xfId="3" applyNumberFormat="1" applyFont="1" applyFill="1" applyBorder="1" applyAlignment="1">
      <alignment horizontal="left" vertical="top" wrapText="1"/>
    </xf>
    <xf numFmtId="0" fontId="2" fillId="0" borderId="5" xfId="3" applyNumberFormat="1" applyFont="1" applyFill="1" applyBorder="1" applyAlignment="1">
      <alignment horizontal="center" vertical="top" wrapText="1"/>
    </xf>
    <xf numFmtId="0" fontId="2" fillId="0" borderId="5" xfId="3" applyNumberFormat="1" applyFont="1" applyFill="1" applyBorder="1" applyAlignment="1">
      <alignment horizontal="center" vertical="top"/>
    </xf>
    <xf numFmtId="0" fontId="6" fillId="0" borderId="0" xfId="0" applyFont="1" applyAlignment="1">
      <alignment horizontal="center"/>
    </xf>
    <xf numFmtId="0" fontId="14" fillId="0" borderId="0" xfId="0" applyFont="1" applyAlignment="1">
      <alignment horizontal="left"/>
    </xf>
    <xf numFmtId="0" fontId="16" fillId="0" borderId="5" xfId="3" applyNumberFormat="1" applyFont="1" applyFill="1" applyBorder="1" applyAlignment="1">
      <alignment horizontal="justify" vertical="center"/>
    </xf>
    <xf numFmtId="9" fontId="16" fillId="0" borderId="5" xfId="3" applyNumberFormat="1" applyFont="1" applyFill="1" applyBorder="1" applyAlignment="1">
      <alignment horizontal="justify" vertical="center"/>
    </xf>
    <xf numFmtId="0" fontId="16" fillId="0" borderId="0" xfId="0" applyFont="1" applyFill="1" applyAlignment="1">
      <alignment horizontal="justify" vertical="center" wrapText="1"/>
    </xf>
    <xf numFmtId="0" fontId="9" fillId="0" borderId="10" xfId="0" applyFont="1" applyFill="1" applyBorder="1" applyAlignment="1">
      <alignment horizontal="justify" vertical="center" wrapText="1"/>
    </xf>
    <xf numFmtId="0" fontId="5" fillId="0" borderId="5" xfId="3" applyNumberFormat="1" applyFont="1" applyFill="1" applyBorder="1" applyAlignment="1">
      <alignment horizontal="justify" vertical="center" wrapText="1"/>
    </xf>
    <xf numFmtId="0" fontId="5" fillId="0" borderId="5" xfId="3" applyNumberFormat="1" applyFont="1" applyFill="1" applyBorder="1" applyAlignment="1">
      <alignment horizontal="justify" vertical="center"/>
    </xf>
    <xf numFmtId="0" fontId="5" fillId="0" borderId="5" xfId="3" applyNumberFormat="1" applyFont="1" applyFill="1" applyBorder="1" applyAlignment="1" applyProtection="1">
      <alignment horizontal="justify" vertical="center" wrapText="1"/>
      <protection locked="0"/>
    </xf>
    <xf numFmtId="0" fontId="2" fillId="7" borderId="5" xfId="3" applyNumberFormat="1" applyFont="1" applyFill="1" applyBorder="1" applyAlignment="1">
      <alignment horizontal="center" vertical="center" wrapText="1"/>
    </xf>
    <xf numFmtId="0" fontId="2" fillId="7" borderId="5" xfId="3" applyNumberFormat="1" applyFont="1" applyFill="1" applyBorder="1" applyAlignment="1">
      <alignment horizontal="center" vertical="center"/>
    </xf>
    <xf numFmtId="0" fontId="2" fillId="2" borderId="5" xfId="3" applyNumberFormat="1" applyFont="1" applyFill="1" applyBorder="1" applyAlignment="1">
      <alignment horizontal="justify" vertical="top"/>
    </xf>
    <xf numFmtId="0" fontId="2" fillId="7" borderId="5" xfId="3" applyNumberFormat="1" applyFont="1" applyFill="1" applyBorder="1" applyAlignment="1">
      <alignment horizontal="justify" vertical="top"/>
    </xf>
    <xf numFmtId="0" fontId="2" fillId="7" borderId="3" xfId="3" applyNumberFormat="1" applyFont="1" applyFill="1" applyBorder="1" applyAlignment="1">
      <alignment horizontal="center" vertical="center" wrapText="1"/>
    </xf>
    <xf numFmtId="0" fontId="2" fillId="2" borderId="5" xfId="3" applyNumberFormat="1" applyFont="1" applyFill="1" applyBorder="1" applyAlignment="1">
      <alignment horizontal="justify" vertical="center" wrapText="1"/>
    </xf>
    <xf numFmtId="0" fontId="2" fillId="2" borderId="5" xfId="3" applyNumberFormat="1" applyFont="1" applyFill="1" applyBorder="1" applyAlignment="1">
      <alignment vertical="center" wrapText="1"/>
    </xf>
    <xf numFmtId="0" fontId="2" fillId="7" borderId="2" xfId="3" applyNumberFormat="1" applyFont="1" applyFill="1" applyBorder="1" applyAlignment="1">
      <alignment vertical="top" wrapText="1"/>
    </xf>
    <xf numFmtId="0" fontId="2" fillId="2" borderId="3" xfId="3" applyNumberFormat="1" applyFont="1" applyFill="1" applyBorder="1" applyAlignment="1">
      <alignment horizontal="center" vertical="center" wrapText="1"/>
    </xf>
    <xf numFmtId="0" fontId="2" fillId="2" borderId="2" xfId="3" applyNumberFormat="1" applyFont="1" applyFill="1" applyBorder="1" applyAlignment="1">
      <alignment horizontal="center" vertical="center" wrapText="1"/>
    </xf>
    <xf numFmtId="2" fontId="2" fillId="7" borderId="5" xfId="3" applyNumberFormat="1" applyFont="1" applyFill="1" applyBorder="1" applyAlignment="1">
      <alignment horizontal="center" vertical="top"/>
    </xf>
    <xf numFmtId="3" fontId="2" fillId="2" borderId="5" xfId="3" applyNumberFormat="1" applyFont="1" applyFill="1" applyBorder="1" applyAlignment="1">
      <alignment horizontal="right" vertical="top"/>
    </xf>
    <xf numFmtId="2" fontId="2" fillId="8" borderId="11" xfId="0" applyNumberFormat="1" applyFont="1" applyFill="1" applyBorder="1" applyAlignment="1">
      <alignment horizontal="center" vertical="top"/>
    </xf>
    <xf numFmtId="3" fontId="2" fillId="0" borderId="5" xfId="3" applyNumberFormat="1" applyFont="1" applyFill="1" applyBorder="1" applyAlignment="1">
      <alignment horizontal="right" vertical="top"/>
    </xf>
    <xf numFmtId="1" fontId="2" fillId="8" borderId="11" xfId="0" applyNumberFormat="1" applyFont="1" applyFill="1" applyBorder="1" applyAlignment="1">
      <alignment horizontal="center" vertical="top" wrapText="1"/>
    </xf>
    <xf numFmtId="3" fontId="2" fillId="7" borderId="5" xfId="3" applyNumberFormat="1" applyFont="1" applyFill="1" applyBorder="1" applyAlignment="1">
      <alignment vertical="top"/>
    </xf>
    <xf numFmtId="1" fontId="2" fillId="8" borderId="5" xfId="0" applyNumberFormat="1" applyFont="1" applyFill="1" applyBorder="1" applyAlignment="1">
      <alignment horizontal="center" vertical="top"/>
    </xf>
    <xf numFmtId="0" fontId="2" fillId="8" borderId="5" xfId="0" applyFont="1" applyFill="1" applyBorder="1" applyAlignment="1">
      <alignment horizontal="center" vertical="top" wrapText="1"/>
    </xf>
    <xf numFmtId="1" fontId="2" fillId="7" borderId="5" xfId="3" applyNumberFormat="1" applyFont="1" applyFill="1" applyBorder="1" applyAlignment="1">
      <alignment horizontal="center" vertical="top" wrapText="1"/>
    </xf>
    <xf numFmtId="3" fontId="2" fillId="2" borderId="5" xfId="3" applyNumberFormat="1" applyFont="1" applyFill="1" applyBorder="1" applyAlignment="1">
      <alignment vertical="top"/>
    </xf>
    <xf numFmtId="168" fontId="2" fillId="8" borderId="11" xfId="3" applyNumberFormat="1" applyFont="1" applyFill="1" applyBorder="1" applyAlignment="1">
      <alignment horizontal="center" vertical="top"/>
    </xf>
    <xf numFmtId="3" fontId="2" fillId="7" borderId="5" xfId="3" applyNumberFormat="1" applyFont="1" applyFill="1" applyBorder="1" applyAlignment="1">
      <alignment horizontal="right" vertical="top"/>
    </xf>
    <xf numFmtId="3" fontId="2" fillId="7" borderId="5" xfId="0" applyNumberFormat="1" applyFont="1" applyFill="1" applyBorder="1" applyAlignment="1">
      <alignment horizontal="center" vertical="top"/>
    </xf>
    <xf numFmtId="3" fontId="2" fillId="2" borderId="5" xfId="0" applyNumberFormat="1" applyFont="1" applyFill="1" applyBorder="1" applyAlignment="1">
      <alignment horizontal="right" vertical="top"/>
    </xf>
    <xf numFmtId="3" fontId="2" fillId="2" borderId="5" xfId="0" applyNumberFormat="1" applyFont="1" applyFill="1" applyBorder="1" applyAlignment="1">
      <alignment horizontal="center" vertical="top"/>
    </xf>
    <xf numFmtId="1" fontId="2" fillId="0" borderId="11" xfId="0" applyNumberFormat="1" applyFont="1" applyFill="1" applyBorder="1" applyAlignment="1">
      <alignment horizontal="center" vertical="top"/>
    </xf>
    <xf numFmtId="168" fontId="2" fillId="0" borderId="5" xfId="3" applyNumberFormat="1" applyFont="1" applyFill="1" applyBorder="1" applyAlignment="1">
      <alignment horizontal="center" vertical="top"/>
    </xf>
    <xf numFmtId="3" fontId="2" fillId="2" borderId="1" xfId="3" applyNumberFormat="1" applyFont="1" applyFill="1" applyBorder="1" applyAlignment="1">
      <alignment horizontal="right" vertical="top"/>
    </xf>
    <xf numFmtId="168" fontId="2" fillId="2" borderId="1" xfId="3" applyNumberFormat="1" applyFont="1" applyFill="1" applyBorder="1" applyAlignment="1">
      <alignment horizontal="center" vertical="top"/>
    </xf>
    <xf numFmtId="1" fontId="2" fillId="0" borderId="14" xfId="0" applyNumberFormat="1" applyFont="1" applyFill="1" applyBorder="1" applyAlignment="1">
      <alignment horizontal="center" vertical="top"/>
    </xf>
    <xf numFmtId="0" fontId="2" fillId="0" borderId="1" xfId="3" applyNumberFormat="1" applyFont="1" applyFill="1" applyBorder="1" applyAlignment="1">
      <alignment vertical="top"/>
    </xf>
    <xf numFmtId="168" fontId="2" fillId="0" borderId="1" xfId="3" applyNumberFormat="1" applyFont="1" applyFill="1" applyBorder="1" applyAlignment="1">
      <alignment horizontal="center" vertical="top"/>
    </xf>
    <xf numFmtId="1" fontId="2" fillId="0" borderId="11" xfId="0" applyNumberFormat="1" applyFont="1" applyFill="1" applyBorder="1" applyAlignment="1">
      <alignment horizontal="center" vertical="top" wrapText="1"/>
    </xf>
    <xf numFmtId="168" fontId="2" fillId="0" borderId="11" xfId="3" applyNumberFormat="1" applyFont="1" applyFill="1" applyBorder="1" applyAlignment="1">
      <alignment horizontal="center" vertical="top" wrapText="1"/>
    </xf>
    <xf numFmtId="3" fontId="2" fillId="7" borderId="3" xfId="3" applyNumberFormat="1" applyFont="1" applyFill="1" applyBorder="1" applyAlignment="1">
      <alignment horizontal="center" vertical="top"/>
    </xf>
    <xf numFmtId="168" fontId="2" fillId="7" borderId="3" xfId="3" applyNumberFormat="1" applyFont="1" applyFill="1" applyBorder="1" applyAlignment="1">
      <alignment horizontal="center" vertical="top"/>
    </xf>
    <xf numFmtId="1" fontId="2" fillId="7" borderId="3" xfId="3" applyNumberFormat="1" applyFont="1" applyFill="1" applyBorder="1" applyAlignment="1">
      <alignment horizontal="center" vertical="top"/>
    </xf>
    <xf numFmtId="0" fontId="2" fillId="0" borderId="11" xfId="0" applyFont="1" applyFill="1" applyBorder="1" applyAlignment="1">
      <alignment horizontal="center" vertical="top"/>
    </xf>
    <xf numFmtId="1" fontId="2" fillId="0" borderId="5" xfId="0" applyNumberFormat="1" applyFont="1" applyFill="1" applyBorder="1" applyAlignment="1">
      <alignment horizontal="center" vertical="top"/>
    </xf>
    <xf numFmtId="0" fontId="2" fillId="0" borderId="5" xfId="0" applyFont="1" applyFill="1" applyBorder="1" applyAlignment="1">
      <alignment horizontal="center" vertical="top"/>
    </xf>
    <xf numFmtId="1" fontId="2" fillId="0" borderId="15" xfId="0" applyNumberFormat="1" applyFont="1" applyFill="1" applyBorder="1" applyAlignment="1">
      <alignment vertical="top" wrapText="1"/>
    </xf>
    <xf numFmtId="0" fontId="2" fillId="0" borderId="15" xfId="0" applyFont="1" applyFill="1" applyBorder="1" applyAlignment="1">
      <alignment horizontal="center" vertical="top" wrapText="1"/>
    </xf>
    <xf numFmtId="1" fontId="2" fillId="0" borderId="15"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1" fontId="2" fillId="0" borderId="15" xfId="0" applyNumberFormat="1" applyFont="1" applyBorder="1" applyAlignment="1">
      <alignment horizontal="center" vertical="top" wrapText="1"/>
    </xf>
    <xf numFmtId="3" fontId="2" fillId="7" borderId="5" xfId="0" applyNumberFormat="1" applyFont="1" applyFill="1" applyBorder="1" applyAlignment="1">
      <alignment vertical="top"/>
    </xf>
    <xf numFmtId="3" fontId="2" fillId="2" borderId="5" xfId="0" applyNumberFormat="1" applyFont="1" applyFill="1" applyBorder="1" applyAlignment="1">
      <alignment vertical="top"/>
    </xf>
    <xf numFmtId="1" fontId="2" fillId="11" borderId="11" xfId="0" applyNumberFormat="1" applyFont="1" applyFill="1" applyBorder="1" applyAlignment="1">
      <alignment horizontal="center" vertical="top" wrapText="1"/>
    </xf>
    <xf numFmtId="3" fontId="2" fillId="0" borderId="5" xfId="3" applyNumberFormat="1" applyFont="1" applyFill="1" applyBorder="1" applyAlignment="1">
      <alignment vertical="top"/>
    </xf>
    <xf numFmtId="3" fontId="2" fillId="9" borderId="11" xfId="0" applyNumberFormat="1" applyFont="1" applyFill="1" applyBorder="1" applyAlignment="1">
      <alignment horizontal="center" vertical="top" wrapText="1"/>
    </xf>
    <xf numFmtId="164" fontId="2" fillId="7" borderId="5" xfId="3" applyNumberFormat="1" applyFont="1" applyFill="1" applyBorder="1" applyAlignment="1">
      <alignment horizontal="center" vertical="top"/>
    </xf>
    <xf numFmtId="164" fontId="2" fillId="2" borderId="5" xfId="10" applyFont="1" applyFill="1" applyBorder="1" applyAlignment="1">
      <alignment vertical="top"/>
    </xf>
    <xf numFmtId="3" fontId="2" fillId="2" borderId="1" xfId="3" applyNumberFormat="1" applyFont="1" applyFill="1" applyBorder="1" applyAlignment="1">
      <alignment vertical="top"/>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0" fontId="2" fillId="0" borderId="5" xfId="0" applyFont="1" applyFill="1" applyBorder="1" applyAlignment="1">
      <alignment horizontal="center" vertical="top" wrapText="1"/>
    </xf>
    <xf numFmtId="168" fontId="2" fillId="2" borderId="1" xfId="3" applyNumberFormat="1" applyFont="1" applyFill="1" applyBorder="1" applyAlignment="1">
      <alignment vertical="top"/>
    </xf>
    <xf numFmtId="0" fontId="2" fillId="2" borderId="3" xfId="3" applyNumberFormat="1" applyFont="1" applyFill="1" applyBorder="1" applyAlignment="1">
      <alignment vertical="top"/>
    </xf>
    <xf numFmtId="3" fontId="2" fillId="2" borderId="3" xfId="3" applyNumberFormat="1" applyFont="1" applyFill="1" applyBorder="1" applyAlignment="1">
      <alignment vertical="top"/>
    </xf>
    <xf numFmtId="168" fontId="2" fillId="2" borderId="3" xfId="3" applyNumberFormat="1" applyFont="1" applyFill="1" applyBorder="1" applyAlignment="1">
      <alignment vertical="top"/>
    </xf>
    <xf numFmtId="2" fontId="2" fillId="0" borderId="11" xfId="0" applyNumberFormat="1" applyFont="1" applyFill="1" applyBorder="1" applyAlignment="1">
      <alignment horizontal="center" vertical="top" wrapText="1"/>
    </xf>
    <xf numFmtId="3" fontId="2" fillId="7" borderId="2" xfId="3" applyNumberFormat="1" applyFont="1" applyFill="1" applyBorder="1" applyAlignment="1">
      <alignment vertical="top"/>
    </xf>
    <xf numFmtId="168" fontId="2" fillId="7" borderId="2" xfId="3" applyNumberFormat="1" applyFont="1" applyFill="1" applyBorder="1" applyAlignment="1">
      <alignment vertical="top"/>
    </xf>
    <xf numFmtId="1" fontId="2" fillId="7" borderId="2" xfId="3" applyNumberFormat="1" applyFont="1" applyFill="1" applyBorder="1" applyAlignment="1">
      <alignment vertical="top" wrapText="1"/>
    </xf>
    <xf numFmtId="0" fontId="2" fillId="7" borderId="2" xfId="3" applyNumberFormat="1" applyFont="1" applyFill="1" applyBorder="1" applyAlignment="1">
      <alignment horizontal="center" vertical="top"/>
    </xf>
    <xf numFmtId="3" fontId="2" fillId="7" borderId="2" xfId="3" applyNumberFormat="1" applyFont="1" applyFill="1" applyBorder="1" applyAlignment="1">
      <alignment horizontal="center" vertical="top"/>
    </xf>
    <xf numFmtId="3" fontId="2" fillId="0" borderId="14" xfId="0" applyNumberFormat="1" applyFont="1" applyFill="1" applyBorder="1" applyAlignment="1">
      <alignment horizontal="center" vertical="top" wrapText="1"/>
    </xf>
    <xf numFmtId="3" fontId="2" fillId="7" borderId="3" xfId="3" applyNumberFormat="1" applyFont="1" applyFill="1" applyBorder="1" applyAlignment="1">
      <alignment vertical="top"/>
    </xf>
    <xf numFmtId="1" fontId="2" fillId="7" borderId="3" xfId="3" applyNumberFormat="1" applyFont="1" applyFill="1" applyBorder="1" applyAlignment="1">
      <alignment vertical="top" wrapText="1"/>
    </xf>
    <xf numFmtId="2" fontId="2" fillId="7" borderId="3" xfId="3" applyNumberFormat="1" applyFont="1" applyFill="1" applyBorder="1" applyAlignment="1">
      <alignment horizontal="center" vertical="top"/>
    </xf>
    <xf numFmtId="0" fontId="2" fillId="0" borderId="15" xfId="0" applyFont="1" applyFill="1" applyBorder="1" applyAlignment="1">
      <alignment horizontal="left" vertical="top" wrapText="1"/>
    </xf>
    <xf numFmtId="43" fontId="2" fillId="0" borderId="5" xfId="3" applyNumberFormat="1" applyFont="1" applyFill="1" applyBorder="1" applyAlignment="1">
      <alignment horizontal="center" vertical="top"/>
    </xf>
    <xf numFmtId="3" fontId="2" fillId="7" borderId="1" xfId="3" applyNumberFormat="1" applyFont="1" applyFill="1" applyBorder="1" applyAlignment="1">
      <alignment vertical="top"/>
    </xf>
    <xf numFmtId="168" fontId="2" fillId="7" borderId="1" xfId="3" applyNumberFormat="1" applyFont="1" applyFill="1" applyBorder="1" applyAlignment="1">
      <alignment vertical="top"/>
    </xf>
    <xf numFmtId="1" fontId="2" fillId="7" borderId="1" xfId="3" applyNumberFormat="1" applyFont="1" applyFill="1" applyBorder="1" applyAlignment="1">
      <alignment vertical="top"/>
    </xf>
    <xf numFmtId="168" fontId="2" fillId="7" borderId="1" xfId="3" applyNumberFormat="1" applyFont="1" applyFill="1" applyBorder="1" applyAlignment="1">
      <alignment horizontal="center" vertical="top"/>
    </xf>
    <xf numFmtId="0" fontId="2" fillId="7" borderId="1" xfId="3" applyNumberFormat="1" applyFont="1" applyFill="1" applyBorder="1" applyAlignment="1">
      <alignment horizontal="center" vertical="top"/>
    </xf>
    <xf numFmtId="0" fontId="2" fillId="2" borderId="3" xfId="3" applyNumberFormat="1" applyFont="1" applyFill="1" applyBorder="1" applyAlignment="1">
      <alignment horizontal="center" vertical="top"/>
    </xf>
    <xf numFmtId="3" fontId="2" fillId="2" borderId="3" xfId="3" applyNumberFormat="1" applyFont="1" applyFill="1" applyBorder="1" applyAlignment="1">
      <alignment horizontal="center" vertical="top"/>
    </xf>
    <xf numFmtId="168" fontId="2" fillId="2" borderId="3" xfId="3" applyNumberFormat="1" applyFont="1" applyFill="1" applyBorder="1" applyAlignment="1">
      <alignment horizontal="center" vertical="top"/>
    </xf>
    <xf numFmtId="2" fontId="2" fillId="0" borderId="11" xfId="0" applyNumberFormat="1" applyFont="1" applyFill="1" applyBorder="1" applyAlignment="1">
      <alignment horizontal="center" vertical="top"/>
    </xf>
    <xf numFmtId="43" fontId="2" fillId="0" borderId="11" xfId="3" applyFont="1" applyFill="1" applyBorder="1" applyAlignment="1">
      <alignment horizontal="center" vertical="top" wrapText="1"/>
    </xf>
    <xf numFmtId="43" fontId="2" fillId="0" borderId="14" xfId="3" applyFont="1" applyFill="1" applyBorder="1" applyAlignment="1">
      <alignment horizontal="center" vertical="top" wrapText="1"/>
    </xf>
    <xf numFmtId="43" fontId="2" fillId="0" borderId="11" xfId="3" applyFont="1" applyFill="1" applyBorder="1" applyAlignment="1">
      <alignment vertical="top" wrapText="1"/>
    </xf>
    <xf numFmtId="3" fontId="2" fillId="0" borderId="5" xfId="3" applyNumberFormat="1" applyFont="1" applyFill="1" applyBorder="1" applyAlignment="1">
      <alignment horizontal="center" vertical="top" wrapText="1"/>
    </xf>
    <xf numFmtId="3" fontId="2" fillId="0" borderId="5" xfId="3" applyNumberFormat="1" applyFont="1" applyFill="1" applyBorder="1" applyAlignment="1">
      <alignment horizontal="center" vertical="top"/>
    </xf>
    <xf numFmtId="0" fontId="2" fillId="8" borderId="5" xfId="0" applyFont="1" applyFill="1" applyBorder="1" applyAlignment="1">
      <alignment horizontal="center" vertical="top"/>
    </xf>
    <xf numFmtId="3" fontId="2" fillId="8" borderId="5" xfId="0" applyNumberFormat="1" applyFont="1" applyFill="1" applyBorder="1" applyAlignment="1">
      <alignment horizontal="center" vertical="top" wrapText="1"/>
    </xf>
    <xf numFmtId="3" fontId="2" fillId="8" borderId="13" xfId="0" applyNumberFormat="1" applyFont="1" applyFill="1" applyBorder="1" applyAlignment="1">
      <alignment horizontal="center" vertical="top" wrapText="1"/>
    </xf>
    <xf numFmtId="0" fontId="2" fillId="8" borderId="11" xfId="0" applyFont="1" applyFill="1" applyBorder="1" applyAlignment="1">
      <alignment horizontal="left" vertical="top" wrapText="1"/>
    </xf>
    <xf numFmtId="0" fontId="33" fillId="8" borderId="5" xfId="0" applyFont="1" applyFill="1" applyBorder="1" applyAlignment="1">
      <alignment horizontal="left" vertical="top" wrapText="1"/>
    </xf>
    <xf numFmtId="0" fontId="2" fillId="8" borderId="14"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0" borderId="11" xfId="0" applyFont="1" applyFill="1" applyBorder="1" applyAlignment="1">
      <alignment horizontal="left" vertical="top" wrapText="1"/>
    </xf>
    <xf numFmtId="1" fontId="2" fillId="0" borderId="5" xfId="2" applyNumberFormat="1" applyFont="1" applyFill="1" applyBorder="1" applyAlignment="1">
      <alignment horizontal="left" vertical="top" wrapText="1"/>
    </xf>
    <xf numFmtId="1" fontId="2" fillId="0" borderId="1" xfId="2" applyNumberFormat="1" applyFont="1" applyFill="1" applyBorder="1" applyAlignment="1">
      <alignment horizontal="left" vertical="top" wrapText="1"/>
    </xf>
    <xf numFmtId="0" fontId="2" fillId="7" borderId="3" xfId="3" applyNumberFormat="1" applyFont="1" applyFill="1" applyBorder="1" applyAlignment="1">
      <alignment horizontal="left" vertical="top" wrapText="1"/>
    </xf>
    <xf numFmtId="1" fontId="2" fillId="7" borderId="5" xfId="2" applyNumberFormat="1" applyFont="1" applyFill="1" applyBorder="1" applyAlignment="1">
      <alignment horizontal="left" vertical="top" wrapText="1"/>
    </xf>
    <xf numFmtId="0" fontId="39" fillId="7" borderId="5" xfId="3" applyNumberFormat="1" applyFont="1" applyFill="1" applyBorder="1" applyAlignment="1">
      <alignment horizontal="left" vertical="top" wrapText="1"/>
    </xf>
    <xf numFmtId="0" fontId="2" fillId="7" borderId="5" xfId="3" applyNumberFormat="1" applyFont="1" applyFill="1" applyBorder="1" applyAlignment="1">
      <alignment horizontal="left" vertical="top"/>
    </xf>
    <xf numFmtId="0" fontId="2" fillId="0" borderId="15" xfId="0" applyFont="1" applyBorder="1" applyAlignment="1">
      <alignment horizontal="left" vertical="top" wrapText="1"/>
    </xf>
    <xf numFmtId="0" fontId="2" fillId="0" borderId="14" xfId="0" applyFont="1" applyFill="1" applyBorder="1" applyAlignment="1">
      <alignment horizontal="left" vertical="top" wrapText="1"/>
    </xf>
    <xf numFmtId="0" fontId="20" fillId="7" borderId="2" xfId="3" applyNumberFormat="1" applyFont="1" applyFill="1" applyBorder="1" applyAlignment="1">
      <alignment horizontal="left" vertical="top" wrapText="1"/>
    </xf>
    <xf numFmtId="0" fontId="20" fillId="7" borderId="3" xfId="3" applyNumberFormat="1" applyFont="1" applyFill="1" applyBorder="1" applyAlignment="1">
      <alignment horizontal="left" vertical="top" wrapText="1"/>
    </xf>
    <xf numFmtId="0" fontId="2" fillId="7" borderId="1" xfId="3" applyNumberFormat="1" applyFont="1" applyFill="1" applyBorder="1" applyAlignment="1">
      <alignment horizontal="left" vertical="top" wrapText="1"/>
    </xf>
    <xf numFmtId="0" fontId="2" fillId="8" borderId="16" xfId="0" applyFont="1" applyFill="1" applyBorder="1" applyAlignment="1">
      <alignment horizontal="left" vertical="top" wrapText="1"/>
    </xf>
    <xf numFmtId="0" fontId="20" fillId="7" borderId="5" xfId="3" applyNumberFormat="1" applyFont="1" applyFill="1" applyBorder="1" applyAlignment="1">
      <alignment horizontal="left" vertical="top" wrapText="1"/>
    </xf>
    <xf numFmtId="0" fontId="2" fillId="10" borderId="12" xfId="0" applyFont="1" applyFill="1" applyBorder="1" applyAlignment="1">
      <alignment horizontal="left" vertical="top" wrapText="1"/>
    </xf>
    <xf numFmtId="0" fontId="2" fillId="0" borderId="5" xfId="3" applyNumberFormat="1" applyFont="1" applyFill="1" applyBorder="1" applyAlignment="1">
      <alignment vertical="top" wrapText="1"/>
    </xf>
    <xf numFmtId="0" fontId="35" fillId="0" borderId="5" xfId="3" applyNumberFormat="1" applyFont="1" applyFill="1" applyBorder="1" applyAlignment="1">
      <alignment vertical="top" wrapText="1"/>
    </xf>
    <xf numFmtId="0" fontId="35" fillId="0" borderId="5" xfId="3" applyNumberFormat="1" applyFont="1" applyFill="1" applyBorder="1" applyAlignment="1">
      <alignment vertical="top"/>
    </xf>
    <xf numFmtId="0" fontId="25" fillId="0" borderId="5" xfId="0" applyFont="1" applyFill="1" applyBorder="1" applyAlignment="1">
      <alignment horizontal="right" vertical="top"/>
    </xf>
    <xf numFmtId="0" fontId="17" fillId="0" borderId="5" xfId="3" applyNumberFormat="1" applyFont="1" applyFill="1" applyBorder="1" applyAlignment="1">
      <alignment vertical="top" wrapText="1"/>
    </xf>
    <xf numFmtId="0" fontId="35" fillId="0" borderId="5" xfId="3" applyNumberFormat="1" applyFont="1" applyFill="1" applyBorder="1" applyAlignment="1">
      <alignment horizontal="center" vertical="top"/>
    </xf>
    <xf numFmtId="168" fontId="35" fillId="0" borderId="5" xfId="3" applyNumberFormat="1" applyFont="1" applyFill="1" applyBorder="1" applyAlignment="1">
      <alignment vertical="top"/>
    </xf>
    <xf numFmtId="168" fontId="35" fillId="0" borderId="5" xfId="3" applyNumberFormat="1" applyFont="1" applyFill="1" applyBorder="1" applyAlignment="1">
      <alignment vertical="top" wrapText="1"/>
    </xf>
    <xf numFmtId="3" fontId="2" fillId="0" borderId="5" xfId="3" applyNumberFormat="1" applyFont="1" applyFill="1" applyBorder="1" applyAlignment="1">
      <alignment horizontal="center" vertical="top" wrapText="1"/>
    </xf>
    <xf numFmtId="0" fontId="0" fillId="0" borderId="5" xfId="0" applyFill="1" applyBorder="1" applyAlignment="1">
      <alignment vertical="top" wrapText="1"/>
    </xf>
    <xf numFmtId="3" fontId="25" fillId="0" borderId="5" xfId="0" applyNumberFormat="1" applyFont="1" applyFill="1" applyBorder="1" applyAlignment="1">
      <alignment horizontal="right" vertical="top"/>
    </xf>
    <xf numFmtId="1" fontId="0" fillId="0" borderId="5" xfId="0" applyNumberFormat="1" applyBorder="1" applyAlignment="1">
      <alignment vertical="top"/>
    </xf>
    <xf numFmtId="0" fontId="0" fillId="0" borderId="5" xfId="0" applyBorder="1" applyAlignment="1">
      <alignment vertical="top" wrapText="1"/>
    </xf>
    <xf numFmtId="0" fontId="0" fillId="0" borderId="5" xfId="0" applyBorder="1" applyAlignment="1">
      <alignment vertical="top"/>
    </xf>
    <xf numFmtId="3" fontId="35" fillId="0" borderId="5" xfId="3" applyNumberFormat="1" applyFont="1" applyFill="1" applyBorder="1" applyAlignment="1">
      <alignment vertical="top"/>
    </xf>
    <xf numFmtId="43" fontId="25" fillId="0" borderId="5" xfId="3" applyFont="1" applyFill="1" applyBorder="1" applyAlignment="1">
      <alignment horizontal="right" vertical="top"/>
    </xf>
    <xf numFmtId="0" fontId="5" fillId="0" borderId="5" xfId="0" applyFont="1" applyFill="1" applyBorder="1" applyAlignment="1">
      <alignment horizontal="center" vertical="top" wrapText="1"/>
    </xf>
    <xf numFmtId="1" fontId="5" fillId="0" borderId="5" xfId="0" applyNumberFormat="1" applyFont="1" applyFill="1" applyBorder="1" applyAlignment="1">
      <alignment horizontal="center" vertical="top"/>
    </xf>
    <xf numFmtId="0" fontId="9" fillId="0" borderId="5" xfId="0" applyFont="1" applyFill="1" applyBorder="1" applyAlignment="1">
      <alignment horizontal="left" vertical="top" wrapText="1"/>
    </xf>
    <xf numFmtId="3" fontId="2" fillId="0" borderId="5" xfId="0" applyNumberFormat="1" applyFont="1" applyFill="1" applyBorder="1" applyAlignment="1">
      <alignment horizontal="left" vertical="top"/>
    </xf>
    <xf numFmtId="1" fontId="36" fillId="0" borderId="5" xfId="0" applyNumberFormat="1" applyFont="1" applyBorder="1" applyAlignment="1">
      <alignment vertical="top"/>
    </xf>
    <xf numFmtId="3" fontId="0" fillId="0" borderId="5" xfId="0" applyNumberFormat="1" applyFont="1" applyBorder="1" applyAlignment="1">
      <alignment horizontal="right" vertical="top" wrapText="1"/>
    </xf>
    <xf numFmtId="0" fontId="0" fillId="0" borderId="5" xfId="0" applyFont="1" applyBorder="1" applyAlignment="1">
      <alignment horizontal="left" vertical="top" wrapText="1"/>
    </xf>
    <xf numFmtId="3" fontId="0" fillId="0" borderId="5" xfId="0" applyNumberFormat="1" applyFont="1" applyBorder="1" applyAlignment="1">
      <alignment horizontal="left" vertical="top" wrapText="1"/>
    </xf>
    <xf numFmtId="1" fontId="35" fillId="0" borderId="5" xfId="3" applyNumberFormat="1" applyFont="1" applyFill="1" applyBorder="1" applyAlignment="1">
      <alignment vertical="top"/>
    </xf>
    <xf numFmtId="0" fontId="2" fillId="0" borderId="5" xfId="3" quotePrefix="1" applyNumberFormat="1" applyFont="1" applyFill="1" applyBorder="1" applyAlignment="1">
      <alignment horizontal="center" vertical="top" wrapText="1"/>
    </xf>
    <xf numFmtId="0" fontId="2" fillId="0" borderId="2" xfId="3" applyNumberFormat="1" applyFont="1" applyFill="1" applyBorder="1" applyAlignment="1">
      <alignment vertical="top" wrapText="1"/>
    </xf>
    <xf numFmtId="3" fontId="2" fillId="0" borderId="5" xfId="3" quotePrefix="1" applyNumberFormat="1" applyFont="1" applyFill="1" applyBorder="1" applyAlignment="1">
      <alignment horizontal="center" vertical="top" wrapText="1"/>
    </xf>
    <xf numFmtId="0" fontId="2" fillId="0" borderId="3" xfId="3" applyNumberFormat="1" applyFont="1" applyFill="1" applyBorder="1" applyAlignment="1">
      <alignment vertical="top" wrapText="1"/>
    </xf>
    <xf numFmtId="9" fontId="2" fillId="0" borderId="5" xfId="3" quotePrefix="1" applyNumberFormat="1" applyFont="1" applyFill="1" applyBorder="1" applyAlignment="1">
      <alignment horizontal="center" vertical="top" wrapText="1"/>
    </xf>
    <xf numFmtId="9" fontId="2" fillId="0" borderId="5" xfId="3" applyNumberFormat="1" applyFont="1" applyFill="1" applyBorder="1" applyAlignment="1">
      <alignment horizontal="center" vertical="top" wrapText="1"/>
    </xf>
    <xf numFmtId="0" fontId="35" fillId="0" borderId="5" xfId="3" applyNumberFormat="1" applyFont="1" applyFill="1" applyBorder="1" applyAlignment="1">
      <alignment horizontal="center" vertical="top" wrapText="1"/>
    </xf>
    <xf numFmtId="9" fontId="35" fillId="0" borderId="5" xfId="3" applyNumberFormat="1" applyFont="1" applyFill="1" applyBorder="1" applyAlignment="1">
      <alignment vertical="top"/>
    </xf>
    <xf numFmtId="6" fontId="35" fillId="0" borderId="5" xfId="3" applyNumberFormat="1" applyFont="1" applyFill="1" applyBorder="1" applyAlignment="1">
      <alignment vertical="top"/>
    </xf>
    <xf numFmtId="1" fontId="35" fillId="0" borderId="5" xfId="3" applyNumberFormat="1" applyFont="1" applyFill="1" applyBorder="1" applyAlignment="1">
      <alignment vertical="top" wrapText="1"/>
    </xf>
    <xf numFmtId="0" fontId="25" fillId="0" borderId="5" xfId="0" applyFont="1" applyFill="1" applyBorder="1" applyAlignment="1">
      <alignment horizontal="right" vertical="top" wrapText="1"/>
    </xf>
    <xf numFmtId="168" fontId="1" fillId="0" borderId="5" xfId="3" applyNumberFormat="1" applyFont="1" applyFill="1" applyBorder="1" applyAlignment="1">
      <alignment vertical="top"/>
    </xf>
    <xf numFmtId="0" fontId="17" fillId="0" borderId="5" xfId="3" applyNumberFormat="1" applyFont="1" applyFill="1" applyBorder="1" applyAlignment="1">
      <alignment vertical="top"/>
    </xf>
    <xf numFmtId="42" fontId="1" fillId="0" borderId="5" xfId="16" applyFont="1" applyFill="1" applyBorder="1" applyAlignment="1">
      <alignment horizontal="center" vertical="top"/>
    </xf>
    <xf numFmtId="1" fontId="35" fillId="0" borderId="5" xfId="3" applyNumberFormat="1" applyFont="1" applyFill="1" applyBorder="1" applyAlignment="1">
      <alignment horizontal="center" vertical="top"/>
    </xf>
    <xf numFmtId="0" fontId="35" fillId="0" borderId="5" xfId="2" applyFont="1" applyFill="1" applyBorder="1" applyAlignment="1">
      <alignment horizontal="center" vertical="top" wrapText="1"/>
    </xf>
    <xf numFmtId="177" fontId="35" fillId="0" borderId="5" xfId="9" applyNumberFormat="1" applyFont="1" applyFill="1" applyBorder="1" applyAlignment="1">
      <alignment horizontal="center" vertical="top"/>
    </xf>
    <xf numFmtId="164" fontId="1" fillId="0" borderId="5" xfId="10" applyFont="1" applyFill="1" applyBorder="1" applyAlignment="1">
      <alignment horizontal="center" vertical="top"/>
    </xf>
    <xf numFmtId="3" fontId="17" fillId="0" borderId="5" xfId="3" applyNumberFormat="1" applyFont="1" applyFill="1" applyBorder="1" applyAlignment="1">
      <alignment vertical="top"/>
    </xf>
    <xf numFmtId="168" fontId="17" fillId="0" borderId="5" xfId="3" applyNumberFormat="1" applyFont="1" applyFill="1" applyBorder="1" applyAlignment="1">
      <alignment vertical="top"/>
    </xf>
    <xf numFmtId="168" fontId="17" fillId="2" borderId="5" xfId="3" applyNumberFormat="1" applyFont="1" applyFill="1" applyBorder="1" applyAlignment="1">
      <alignment vertical="top"/>
    </xf>
    <xf numFmtId="1" fontId="17" fillId="0" borderId="5" xfId="3" applyNumberFormat="1" applyFont="1" applyFill="1" applyBorder="1" applyAlignment="1">
      <alignment vertical="top"/>
    </xf>
    <xf numFmtId="0" fontId="2" fillId="0" borderId="5" xfId="3" applyNumberFormat="1" applyFont="1" applyFill="1" applyBorder="1" applyAlignment="1">
      <alignment horizontal="justify" vertical="top" wrapText="1"/>
    </xf>
    <xf numFmtId="0" fontId="37" fillId="0" borderId="5" xfId="0" applyFont="1" applyBorder="1" applyAlignment="1">
      <alignment vertical="top" wrapText="1"/>
    </xf>
    <xf numFmtId="3" fontId="35" fillId="0" borderId="5" xfId="3" applyNumberFormat="1" applyFont="1" applyFill="1" applyBorder="1" applyAlignment="1">
      <alignment vertical="top" wrapText="1"/>
    </xf>
    <xf numFmtId="0" fontId="8" fillId="3" borderId="5" xfId="0" applyFont="1" applyFill="1" applyBorder="1" applyAlignment="1">
      <alignment horizontal="center" vertical="top" wrapText="1"/>
    </xf>
    <xf numFmtId="0" fontId="0" fillId="0" borderId="0" xfId="3" applyNumberFormat="1" applyFont="1" applyAlignment="1">
      <alignment horizontal="center"/>
    </xf>
    <xf numFmtId="0" fontId="8" fillId="4" borderId="5" xfId="0" applyFont="1" applyFill="1" applyBorder="1" applyAlignment="1">
      <alignment horizontal="center" vertical="center" wrapText="1"/>
    </xf>
    <xf numFmtId="2" fontId="2" fillId="0" borderId="5" xfId="1" applyNumberFormat="1" applyFont="1" applyFill="1" applyBorder="1" applyAlignment="1">
      <alignment horizontal="center" vertical="top" wrapText="1"/>
    </xf>
    <xf numFmtId="0" fontId="40" fillId="0" borderId="5" xfId="3" applyNumberFormat="1" applyFont="1" applyFill="1" applyBorder="1" applyAlignment="1">
      <alignment horizontal="center" vertical="top" wrapText="1"/>
    </xf>
    <xf numFmtId="0" fontId="40" fillId="0" borderId="5" xfId="3" applyNumberFormat="1" applyFont="1" applyFill="1" applyBorder="1" applyAlignment="1">
      <alignment horizontal="center" vertical="top"/>
    </xf>
    <xf numFmtId="3" fontId="25" fillId="0" borderId="5" xfId="0" applyNumberFormat="1" applyFont="1" applyFill="1" applyBorder="1" applyAlignment="1">
      <alignment horizontal="center" vertical="top"/>
    </xf>
    <xf numFmtId="3" fontId="40" fillId="0" borderId="5" xfId="3" applyNumberFormat="1" applyFont="1" applyFill="1" applyBorder="1" applyAlignment="1">
      <alignment vertical="top"/>
    </xf>
    <xf numFmtId="0" fontId="40" fillId="0" borderId="5" xfId="3" applyNumberFormat="1" applyFont="1" applyFill="1" applyBorder="1" applyAlignment="1">
      <alignment vertical="top"/>
    </xf>
    <xf numFmtId="0" fontId="40" fillId="0" borderId="5" xfId="3" applyNumberFormat="1" applyFont="1" applyFill="1" applyBorder="1" applyAlignment="1">
      <alignment vertical="top" wrapText="1"/>
    </xf>
    <xf numFmtId="175" fontId="40" fillId="0" borderId="5" xfId="3" applyNumberFormat="1" applyFont="1" applyFill="1" applyBorder="1" applyAlignment="1">
      <alignment horizontal="center" vertical="top"/>
    </xf>
    <xf numFmtId="3" fontId="40" fillId="0" borderId="5" xfId="3" applyNumberFormat="1" applyFont="1" applyFill="1" applyBorder="1" applyAlignment="1">
      <alignment horizontal="center" vertical="top"/>
    </xf>
    <xf numFmtId="0" fontId="42" fillId="0" borderId="5" xfId="3" applyNumberFormat="1" applyFont="1" applyFill="1" applyBorder="1" applyAlignment="1">
      <alignment horizontal="center" vertical="top"/>
    </xf>
    <xf numFmtId="9" fontId="2" fillId="0" borderId="1" xfId="3" applyNumberFormat="1" applyFont="1" applyFill="1" applyBorder="1" applyAlignment="1">
      <alignment horizontal="center" vertical="top" wrapText="1"/>
    </xf>
    <xf numFmtId="9" fontId="40" fillId="0" borderId="5" xfId="3" applyNumberFormat="1" applyFont="1" applyFill="1" applyBorder="1" applyAlignment="1">
      <alignment horizontal="center" vertical="top"/>
    </xf>
    <xf numFmtId="0" fontId="40" fillId="0" borderId="5" xfId="3" applyNumberFormat="1" applyFont="1" applyFill="1" applyBorder="1" applyAlignment="1">
      <alignment horizontal="left" vertical="top" wrapText="1"/>
    </xf>
    <xf numFmtId="1" fontId="40" fillId="0" borderId="5" xfId="3" applyNumberFormat="1" applyFont="1" applyFill="1" applyBorder="1" applyAlignment="1">
      <alignment horizontal="center" vertical="top"/>
    </xf>
    <xf numFmtId="3" fontId="40" fillId="0" borderId="5" xfId="3" applyNumberFormat="1" applyFont="1" applyFill="1" applyBorder="1" applyAlignment="1">
      <alignment horizontal="center" vertical="top" wrapText="1"/>
    </xf>
    <xf numFmtId="2" fontId="2" fillId="0" borderId="5" xfId="3" applyNumberFormat="1" applyFont="1" applyFill="1" applyBorder="1" applyAlignment="1">
      <alignment horizontal="center" vertical="top" wrapText="1"/>
    </xf>
    <xf numFmtId="1" fontId="2" fillId="0" borderId="5" xfId="1" applyNumberFormat="1" applyFont="1" applyFill="1" applyBorder="1" applyAlignment="1">
      <alignment horizontal="center" vertical="top" wrapText="1"/>
    </xf>
    <xf numFmtId="168" fontId="40" fillId="0" borderId="5" xfId="3" applyNumberFormat="1" applyFont="1" applyFill="1" applyBorder="1" applyAlignment="1">
      <alignment horizontal="center" vertical="top"/>
    </xf>
    <xf numFmtId="168" fontId="40" fillId="0" borderId="5" xfId="3" applyNumberFormat="1" applyFont="1" applyFill="1" applyBorder="1" applyAlignment="1">
      <alignment vertical="top"/>
    </xf>
    <xf numFmtId="6" fontId="40" fillId="0" borderId="5" xfId="3" applyNumberFormat="1" applyFont="1" applyFill="1" applyBorder="1" applyAlignment="1">
      <alignment vertical="top"/>
    </xf>
    <xf numFmtId="0" fontId="44" fillId="0" borderId="5" xfId="3" applyNumberFormat="1" applyFont="1" applyFill="1" applyBorder="1" applyAlignment="1">
      <alignment horizontal="center" vertical="top"/>
    </xf>
    <xf numFmtId="0" fontId="40" fillId="0" borderId="0" xfId="3" applyNumberFormat="1" applyFont="1" applyFill="1" applyBorder="1" applyAlignment="1">
      <alignment vertical="top"/>
    </xf>
    <xf numFmtId="0" fontId="45" fillId="0" borderId="5" xfId="3" applyNumberFormat="1" applyFont="1" applyFill="1" applyBorder="1" applyAlignment="1">
      <alignment horizontal="center" vertical="top"/>
    </xf>
    <xf numFmtId="0" fontId="5" fillId="4" borderId="19" xfId="0" applyFont="1" applyFill="1" applyBorder="1" applyAlignment="1">
      <alignment horizontal="center" vertical="center" wrapText="1"/>
    </xf>
    <xf numFmtId="0" fontId="9" fillId="5" borderId="3" xfId="3" applyNumberFormat="1" applyFont="1" applyFill="1" applyBorder="1" applyAlignment="1">
      <alignment horizontal="center" vertical="center" wrapText="1"/>
    </xf>
    <xf numFmtId="0" fontId="2" fillId="3" borderId="5" xfId="3" applyNumberFormat="1" applyFont="1" applyFill="1" applyBorder="1" applyAlignment="1">
      <alignment vertical="top" wrapText="1"/>
    </xf>
    <xf numFmtId="0" fontId="0" fillId="3" borderId="5" xfId="3" applyNumberFormat="1" applyFont="1" applyFill="1" applyBorder="1" applyAlignment="1">
      <alignment vertical="top"/>
    </xf>
    <xf numFmtId="0" fontId="2" fillId="3" borderId="5" xfId="3" applyNumberFormat="1" applyFont="1" applyFill="1" applyBorder="1" applyAlignment="1">
      <alignment horizontal="center" vertical="top" wrapText="1"/>
    </xf>
    <xf numFmtId="0" fontId="16" fillId="3" borderId="5" xfId="3" applyNumberFormat="1" applyFont="1" applyFill="1" applyBorder="1" applyAlignment="1">
      <alignment horizontal="center" vertical="top" wrapText="1"/>
    </xf>
    <xf numFmtId="0" fontId="47" fillId="0" borderId="5" xfId="3" applyNumberFormat="1" applyFont="1" applyFill="1" applyBorder="1" applyAlignment="1">
      <alignment vertical="top" wrapText="1"/>
    </xf>
    <xf numFmtId="0" fontId="34" fillId="0" borderId="5" xfId="3" applyNumberFormat="1" applyFont="1" applyFill="1" applyBorder="1" applyAlignment="1">
      <alignment vertical="top" wrapText="1"/>
    </xf>
    <xf numFmtId="0" fontId="22" fillId="0" borderId="5" xfId="3" applyNumberFormat="1" applyFont="1" applyFill="1" applyBorder="1" applyAlignment="1">
      <alignment horizontal="center" vertical="top" wrapText="1"/>
    </xf>
    <xf numFmtId="0" fontId="3" fillId="0" borderId="5" xfId="3" applyNumberFormat="1" applyFont="1" applyFill="1" applyBorder="1" applyAlignment="1">
      <alignment horizontal="center" vertical="top"/>
    </xf>
    <xf numFmtId="0" fontId="47" fillId="0" borderId="5" xfId="3" applyNumberFormat="1" applyFont="1" applyFill="1" applyBorder="1" applyAlignment="1">
      <alignment horizontal="center" vertical="top" wrapText="1"/>
    </xf>
    <xf numFmtId="9" fontId="2" fillId="0" borderId="5" xfId="3" applyNumberFormat="1" applyFont="1" applyFill="1" applyBorder="1" applyAlignment="1">
      <alignment horizontal="center" vertical="top"/>
    </xf>
    <xf numFmtId="9" fontId="3" fillId="0" borderId="5" xfId="3" applyNumberFormat="1" applyFont="1" applyFill="1" applyBorder="1" applyAlignment="1">
      <alignment horizontal="center" vertical="top"/>
    </xf>
    <xf numFmtId="3" fontId="0" fillId="0" borderId="5" xfId="3" applyNumberFormat="1" applyFont="1" applyFill="1" applyBorder="1" applyAlignment="1">
      <alignment vertical="top"/>
    </xf>
    <xf numFmtId="0" fontId="30" fillId="0" borderId="3" xfId="3" applyNumberFormat="1" applyFont="1" applyFill="1" applyBorder="1" applyAlignment="1">
      <alignment vertical="top" wrapText="1"/>
    </xf>
    <xf numFmtId="42" fontId="2" fillId="0" borderId="5" xfId="4" applyFont="1" applyFill="1" applyBorder="1" applyAlignment="1">
      <alignment horizontal="center" vertical="top"/>
    </xf>
    <xf numFmtId="3" fontId="0" fillId="0" borderId="5" xfId="3" applyNumberFormat="1" applyFont="1" applyFill="1" applyBorder="1" applyAlignment="1">
      <alignment vertical="top" wrapText="1"/>
    </xf>
    <xf numFmtId="0" fontId="48" fillId="0" borderId="5" xfId="3" applyNumberFormat="1" applyFont="1" applyFill="1" applyBorder="1" applyAlignment="1">
      <alignment horizontal="center" vertical="top" wrapText="1"/>
    </xf>
    <xf numFmtId="3" fontId="3" fillId="0" borderId="5" xfId="0" applyNumberFormat="1" applyFont="1" applyFill="1" applyBorder="1" applyAlignment="1">
      <alignment horizontal="center" vertical="top"/>
    </xf>
    <xf numFmtId="0" fontId="49" fillId="0" borderId="5" xfId="3" applyNumberFormat="1" applyFont="1" applyFill="1" applyBorder="1" applyAlignment="1">
      <alignment horizontal="center" vertical="top" wrapText="1"/>
    </xf>
    <xf numFmtId="168" fontId="3" fillId="0" borderId="5" xfId="3" applyNumberFormat="1" applyFont="1" applyFill="1" applyBorder="1" applyAlignment="1">
      <alignment horizontal="center" vertical="top"/>
    </xf>
    <xf numFmtId="178" fontId="5" fillId="0" borderId="5" xfId="4" applyNumberFormat="1" applyFont="1" applyFill="1" applyBorder="1" applyAlignment="1">
      <alignment vertical="top"/>
    </xf>
    <xf numFmtId="0" fontId="39" fillId="0" borderId="5" xfId="3" applyNumberFormat="1" applyFont="1" applyFill="1" applyBorder="1" applyAlignment="1">
      <alignment vertical="top" wrapText="1"/>
    </xf>
    <xf numFmtId="1" fontId="39" fillId="0" borderId="5" xfId="3" applyNumberFormat="1" applyFont="1" applyFill="1" applyBorder="1" applyAlignment="1">
      <alignment vertical="top"/>
    </xf>
    <xf numFmtId="0" fontId="20" fillId="0" borderId="5" xfId="3" applyNumberFormat="1" applyFont="1" applyFill="1" applyBorder="1" applyAlignment="1">
      <alignment horizontal="center" vertical="top" wrapText="1"/>
    </xf>
    <xf numFmtId="0" fontId="3" fillId="0" borderId="5" xfId="3" applyNumberFormat="1" applyFont="1" applyFill="1" applyBorder="1" applyAlignment="1">
      <alignment vertical="top"/>
    </xf>
    <xf numFmtId="168" fontId="3" fillId="0" borderId="5" xfId="3" applyNumberFormat="1" applyFont="1" applyFill="1" applyBorder="1" applyAlignment="1">
      <alignment vertical="top"/>
    </xf>
    <xf numFmtId="42" fontId="3" fillId="0" borderId="5" xfId="4" applyFont="1" applyFill="1" applyBorder="1" applyAlignment="1">
      <alignment vertical="top"/>
    </xf>
    <xf numFmtId="42" fontId="5" fillId="0" borderId="5" xfId="4" applyFont="1" applyFill="1" applyBorder="1" applyAlignment="1">
      <alignment vertical="top"/>
    </xf>
    <xf numFmtId="3" fontId="3" fillId="0" borderId="5" xfId="3" applyNumberFormat="1" applyFont="1" applyFill="1" applyBorder="1" applyAlignment="1">
      <alignment horizontal="center" vertical="top"/>
    </xf>
    <xf numFmtId="3" fontId="2" fillId="0" borderId="5" xfId="0" applyNumberFormat="1" applyFont="1" applyFill="1" applyBorder="1" applyAlignment="1">
      <alignment horizontal="right" vertical="top"/>
    </xf>
    <xf numFmtId="42" fontId="3" fillId="0" borderId="5" xfId="4" applyFont="1" applyFill="1" applyBorder="1" applyAlignment="1">
      <alignment horizontal="center" vertical="top"/>
    </xf>
    <xf numFmtId="0" fontId="3" fillId="0" borderId="5" xfId="3" applyNumberFormat="1" applyFont="1" applyFill="1" applyBorder="1" applyAlignment="1">
      <alignment horizontal="center" vertical="top" wrapText="1"/>
    </xf>
    <xf numFmtId="42" fontId="49" fillId="0" borderId="5" xfId="4" applyFont="1" applyFill="1" applyBorder="1" applyAlignment="1">
      <alignment vertical="top"/>
    </xf>
    <xf numFmtId="42" fontId="3" fillId="0" borderId="5" xfId="3" applyNumberFormat="1" applyFont="1" applyFill="1" applyBorder="1" applyAlignment="1">
      <alignment horizontal="center" vertical="top"/>
    </xf>
    <xf numFmtId="42" fontId="3" fillId="0" borderId="5" xfId="3" applyNumberFormat="1" applyFont="1" applyFill="1" applyBorder="1" applyAlignment="1">
      <alignment vertical="top"/>
    </xf>
    <xf numFmtId="179" fontId="3" fillId="0" borderId="5" xfId="15" applyNumberFormat="1" applyFont="1" applyFill="1" applyBorder="1" applyAlignment="1">
      <alignment horizontal="center" vertical="top"/>
    </xf>
    <xf numFmtId="3" fontId="2" fillId="0" borderId="5" xfId="3" applyNumberFormat="1" applyFont="1" applyFill="1" applyBorder="1" applyAlignment="1">
      <alignment vertical="top" wrapText="1"/>
    </xf>
    <xf numFmtId="168" fontId="3" fillId="0" borderId="0" xfId="3" applyNumberFormat="1" applyFont="1" applyFill="1" applyAlignment="1">
      <alignment horizontal="center" vertical="top"/>
    </xf>
    <xf numFmtId="168" fontId="3" fillId="0" borderId="5" xfId="3" applyNumberFormat="1" applyFont="1" applyFill="1" applyBorder="1" applyAlignment="1">
      <alignment horizontal="center" vertical="top" wrapText="1"/>
    </xf>
    <xf numFmtId="3" fontId="3" fillId="0" borderId="5" xfId="0" applyNumberFormat="1" applyFont="1" applyFill="1" applyBorder="1" applyAlignment="1">
      <alignment horizontal="right" vertical="top"/>
    </xf>
    <xf numFmtId="0" fontId="51" fillId="0" borderId="5" xfId="0" applyFont="1" applyFill="1" applyBorder="1" applyAlignment="1">
      <alignment horizontal="center" vertical="top" wrapText="1"/>
    </xf>
    <xf numFmtId="0" fontId="51" fillId="0" borderId="0" xfId="0" applyFont="1" applyFill="1" applyAlignment="1">
      <alignment vertical="top" wrapText="1"/>
    </xf>
    <xf numFmtId="42" fontId="2" fillId="0" borderId="5" xfId="3" applyNumberFormat="1" applyFont="1" applyFill="1" applyBorder="1" applyAlignment="1">
      <alignment vertical="top"/>
    </xf>
    <xf numFmtId="3" fontId="3" fillId="0" borderId="5" xfId="3" applyNumberFormat="1" applyFont="1" applyFill="1" applyBorder="1" applyAlignment="1">
      <alignment vertical="top"/>
    </xf>
    <xf numFmtId="168" fontId="3" fillId="0" borderId="5" xfId="3" applyNumberFormat="1" applyFont="1" applyFill="1" applyBorder="1" applyAlignment="1">
      <alignment vertical="top" wrapText="1"/>
    </xf>
    <xf numFmtId="3" fontId="3" fillId="0" borderId="5" xfId="0" applyNumberFormat="1" applyFont="1" applyFill="1" applyBorder="1" applyAlignment="1">
      <alignment horizontal="center" vertical="top" wrapText="1"/>
    </xf>
    <xf numFmtId="42" fontId="5" fillId="0" borderId="5" xfId="4" applyFont="1" applyFill="1" applyBorder="1" applyAlignment="1">
      <alignment horizontal="center" vertical="top"/>
    </xf>
    <xf numFmtId="0" fontId="39" fillId="0" borderId="5" xfId="3" applyNumberFormat="1" applyFont="1" applyFill="1" applyBorder="1" applyAlignment="1">
      <alignment vertical="top"/>
    </xf>
    <xf numFmtId="0" fontId="39" fillId="0" borderId="5" xfId="3" applyNumberFormat="1" applyFont="1" applyFill="1" applyBorder="1" applyAlignment="1">
      <alignment horizontal="center" vertical="top" wrapText="1"/>
    </xf>
    <xf numFmtId="0" fontId="39" fillId="0" borderId="5" xfId="3" applyNumberFormat="1" applyFont="1" applyFill="1" applyBorder="1" applyAlignment="1">
      <alignment horizontal="center" vertical="top"/>
    </xf>
    <xf numFmtId="42" fontId="0" fillId="0" borderId="0" xfId="16" applyFont="1" applyAlignment="1">
      <alignment horizontal="center" vertical="center"/>
    </xf>
    <xf numFmtId="0" fontId="53" fillId="0" borderId="5" xfId="3" applyNumberFormat="1" applyFont="1" applyFill="1" applyBorder="1" applyAlignment="1">
      <alignment horizontal="center" vertical="top" wrapText="1"/>
    </xf>
    <xf numFmtId="0" fontId="30" fillId="0" borderId="5" xfId="12" applyNumberFormat="1" applyFont="1" applyFill="1" applyBorder="1" applyAlignment="1">
      <alignment horizontal="left" vertical="top" wrapText="1"/>
    </xf>
    <xf numFmtId="0" fontId="54" fillId="0" borderId="5" xfId="3" applyNumberFormat="1" applyFont="1" applyFill="1" applyBorder="1" applyAlignment="1">
      <alignment vertical="top" wrapText="1"/>
    </xf>
    <xf numFmtId="42" fontId="0" fillId="0" borderId="5" xfId="16" applyFont="1" applyFill="1" applyBorder="1" applyAlignment="1">
      <alignment horizontal="center" vertical="top"/>
    </xf>
    <xf numFmtId="42" fontId="0" fillId="0" borderId="5" xfId="16" applyFont="1" applyFill="1" applyBorder="1" applyAlignment="1">
      <alignment vertical="top"/>
    </xf>
    <xf numFmtId="0" fontId="30" fillId="0" borderId="5" xfId="3" applyNumberFormat="1" applyFont="1" applyFill="1" applyBorder="1" applyAlignment="1">
      <alignment horizontal="right" vertical="top" wrapText="1"/>
    </xf>
    <xf numFmtId="0" fontId="30" fillId="0" borderId="5" xfId="12" applyNumberFormat="1" applyFont="1" applyFill="1" applyBorder="1" applyAlignment="1">
      <alignment vertical="top" wrapText="1"/>
    </xf>
    <xf numFmtId="0" fontId="0" fillId="0" borderId="5" xfId="3" applyNumberFormat="1" applyFont="1" applyFill="1" applyBorder="1" applyAlignment="1">
      <alignment horizontal="left" vertical="top" wrapText="1"/>
    </xf>
    <xf numFmtId="0" fontId="0" fillId="0" borderId="1" xfId="3" applyNumberFormat="1" applyFont="1" applyFill="1" applyBorder="1" applyAlignment="1">
      <alignment vertical="top" wrapText="1"/>
    </xf>
    <xf numFmtId="180" fontId="0" fillId="0" borderId="5" xfId="3" applyNumberFormat="1" applyFont="1" applyFill="1" applyBorder="1" applyAlignment="1">
      <alignment vertical="top"/>
    </xf>
    <xf numFmtId="0" fontId="2" fillId="2" borderId="5" xfId="3" applyNumberFormat="1" applyFont="1" applyFill="1" applyBorder="1" applyAlignment="1">
      <alignment horizontal="left" vertical="top" wrapText="1"/>
    </xf>
    <xf numFmtId="3" fontId="2" fillId="0" borderId="5" xfId="3" applyNumberFormat="1" applyFont="1" applyFill="1" applyBorder="1" applyAlignment="1">
      <alignment horizontal="left" vertical="top" wrapText="1"/>
    </xf>
    <xf numFmtId="0" fontId="55" fillId="0" borderId="5" xfId="3" applyNumberFormat="1" applyFont="1" applyFill="1" applyBorder="1" applyAlignment="1">
      <alignment vertical="top" wrapText="1"/>
    </xf>
    <xf numFmtId="49" fontId="0" fillId="0" borderId="5" xfId="3" applyNumberFormat="1" applyFont="1" applyFill="1" applyBorder="1" applyAlignment="1">
      <alignment vertical="top"/>
    </xf>
    <xf numFmtId="0" fontId="22" fillId="0" borderId="5" xfId="3" applyNumberFormat="1" applyFont="1" applyFill="1" applyBorder="1" applyAlignment="1">
      <alignment vertical="top" wrapText="1"/>
    </xf>
    <xf numFmtId="0" fontId="5" fillId="2" borderId="5" xfId="3" applyNumberFormat="1" applyFont="1" applyFill="1" applyBorder="1" applyAlignment="1">
      <alignment horizontal="center" vertical="top" wrapText="1"/>
    </xf>
    <xf numFmtId="0" fontId="0" fillId="0" borderId="0" xfId="0" applyFill="1"/>
    <xf numFmtId="0" fontId="5" fillId="0" borderId="5" xfId="3" applyNumberFormat="1" applyFont="1" applyFill="1" applyBorder="1" applyAlignment="1">
      <alignment horizontal="center" vertical="top" wrapText="1"/>
    </xf>
    <xf numFmtId="9" fontId="0" fillId="0" borderId="5" xfId="3" applyNumberFormat="1" applyFont="1" applyFill="1" applyBorder="1" applyAlignment="1">
      <alignment horizontal="center" vertical="top" wrapText="1"/>
    </xf>
    <xf numFmtId="3" fontId="25" fillId="0" borderId="5" xfId="0" applyNumberFormat="1" applyFont="1" applyFill="1" applyBorder="1" applyAlignment="1">
      <alignment horizontal="center" vertical="top" wrapText="1"/>
    </xf>
    <xf numFmtId="49" fontId="0" fillId="0" borderId="5" xfId="3" applyNumberFormat="1" applyFont="1" applyFill="1" applyBorder="1" applyAlignment="1">
      <alignment horizontal="justify" vertical="top" wrapText="1"/>
    </xf>
    <xf numFmtId="0" fontId="0" fillId="0" borderId="0" xfId="0" applyFill="1" applyAlignment="1">
      <alignment vertical="top" wrapText="1"/>
    </xf>
    <xf numFmtId="0" fontId="25" fillId="0" borderId="5" xfId="0" applyFont="1" applyFill="1" applyBorder="1" applyAlignment="1">
      <alignment horizontal="center" vertical="top" wrapText="1"/>
    </xf>
    <xf numFmtId="181" fontId="0" fillId="0" borderId="5" xfId="3" applyNumberFormat="1" applyFont="1" applyFill="1" applyBorder="1" applyAlignment="1">
      <alignment horizontal="center" vertical="top" wrapText="1"/>
    </xf>
    <xf numFmtId="1" fontId="0" fillId="0" borderId="5" xfId="3" applyNumberFormat="1" applyFont="1" applyFill="1" applyBorder="1" applyAlignment="1">
      <alignment vertical="top" wrapText="1"/>
    </xf>
    <xf numFmtId="181" fontId="0" fillId="0" borderId="5" xfId="3" applyNumberFormat="1" applyFont="1" applyFill="1" applyBorder="1" applyAlignment="1">
      <alignment vertical="top" wrapText="1"/>
    </xf>
    <xf numFmtId="3" fontId="0" fillId="0" borderId="5" xfId="3" applyNumberFormat="1" applyFont="1" applyFill="1" applyBorder="1" applyAlignment="1">
      <alignment horizontal="center" vertical="top" wrapText="1"/>
    </xf>
    <xf numFmtId="1" fontId="0" fillId="0" borderId="5" xfId="3" applyNumberFormat="1" applyFont="1" applyFill="1" applyBorder="1" applyAlignment="1">
      <alignment horizontal="center" vertical="top" wrapText="1"/>
    </xf>
    <xf numFmtId="49" fontId="0" fillId="0" borderId="5" xfId="3" applyNumberFormat="1" applyFont="1" applyFill="1" applyBorder="1" applyAlignment="1">
      <alignment horizontal="center" vertical="top" wrapText="1"/>
    </xf>
    <xf numFmtId="175" fontId="0" fillId="0" borderId="5" xfId="3" applyNumberFormat="1" applyFont="1" applyFill="1" applyBorder="1" applyAlignment="1">
      <alignment horizontal="center" vertical="top" wrapText="1"/>
    </xf>
    <xf numFmtId="182" fontId="2" fillId="0" borderId="5" xfId="3" applyNumberFormat="1" applyFont="1" applyFill="1" applyBorder="1" applyAlignment="1">
      <alignment horizontal="center" vertical="top" wrapText="1"/>
    </xf>
    <xf numFmtId="0" fontId="33" fillId="0" borderId="5" xfId="3" applyNumberFormat="1" applyFont="1" applyFill="1" applyBorder="1" applyAlignment="1">
      <alignment horizontal="center" vertical="top" wrapText="1"/>
    </xf>
    <xf numFmtId="0" fontId="33" fillId="0" borderId="1" xfId="3" applyNumberFormat="1" applyFont="1" applyFill="1" applyBorder="1" applyAlignment="1">
      <alignment horizontal="center" vertical="top" wrapText="1"/>
    </xf>
    <xf numFmtId="0" fontId="20" fillId="2" borderId="0" xfId="3" applyNumberFormat="1" applyFont="1" applyFill="1" applyAlignment="1">
      <alignment horizontal="left" vertical="top"/>
    </xf>
    <xf numFmtId="0" fontId="22" fillId="0" borderId="0" xfId="3" applyNumberFormat="1" applyFont="1" applyAlignment="1">
      <alignment horizontal="left" vertical="top"/>
    </xf>
    <xf numFmtId="3" fontId="22" fillId="0" borderId="0" xfId="0" applyNumberFormat="1" applyFont="1" applyFill="1" applyAlignment="1">
      <alignment horizontal="left" vertical="top"/>
    </xf>
    <xf numFmtId="0" fontId="20" fillId="0" borderId="0" xfId="0" applyFont="1" applyAlignment="1">
      <alignment horizontal="left" vertical="top"/>
    </xf>
    <xf numFmtId="0" fontId="20" fillId="2" borderId="5" xfId="3" applyNumberFormat="1" applyFont="1" applyFill="1" applyBorder="1" applyAlignment="1">
      <alignment horizontal="left" vertical="top" wrapText="1"/>
    </xf>
    <xf numFmtId="0" fontId="20" fillId="2" borderId="1" xfId="3" applyNumberFormat="1" applyFont="1" applyFill="1" applyBorder="1" applyAlignment="1">
      <alignment horizontal="left" vertical="top" wrapText="1"/>
    </xf>
    <xf numFmtId="0" fontId="20" fillId="2" borderId="5" xfId="3" applyNumberFormat="1" applyFont="1" applyFill="1" applyBorder="1" applyAlignment="1">
      <alignment horizontal="left" vertical="top"/>
    </xf>
    <xf numFmtId="0" fontId="20" fillId="0" borderId="5" xfId="3" applyNumberFormat="1" applyFont="1" applyFill="1" applyBorder="1" applyAlignment="1">
      <alignment horizontal="left" vertical="top"/>
    </xf>
    <xf numFmtId="3" fontId="58" fillId="0" borderId="5" xfId="0" applyNumberFormat="1" applyFont="1" applyFill="1" applyBorder="1" applyAlignment="1">
      <alignment horizontal="left" vertical="top"/>
    </xf>
    <xf numFmtId="0" fontId="22" fillId="2" borderId="5" xfId="3" applyNumberFormat="1" applyFont="1" applyFill="1" applyBorder="1" applyAlignment="1">
      <alignment horizontal="center" vertical="top"/>
    </xf>
    <xf numFmtId="0" fontId="22" fillId="2" borderId="5" xfId="3" applyNumberFormat="1" applyFont="1" applyFill="1" applyBorder="1" applyAlignment="1">
      <alignment horizontal="left" vertical="top"/>
    </xf>
    <xf numFmtId="0" fontId="22" fillId="2" borderId="5" xfId="3" applyNumberFormat="1" applyFont="1" applyFill="1" applyBorder="1" applyAlignment="1">
      <alignment horizontal="left" vertical="top" wrapText="1"/>
    </xf>
    <xf numFmtId="0" fontId="58" fillId="0" borderId="0" xfId="0" applyFont="1" applyAlignment="1">
      <alignment horizontal="left" vertical="top" wrapText="1"/>
    </xf>
    <xf numFmtId="0" fontId="20" fillId="0" borderId="5" xfId="3" applyNumberFormat="1" applyFont="1" applyFill="1" applyBorder="1" applyAlignment="1">
      <alignment horizontal="left" vertical="top" wrapText="1"/>
    </xf>
    <xf numFmtId="179" fontId="22" fillId="0" borderId="20" xfId="15" applyNumberFormat="1" applyFont="1" applyFill="1" applyBorder="1" applyAlignment="1">
      <alignment horizontal="right" vertical="top"/>
    </xf>
    <xf numFmtId="174" fontId="20" fillId="0" borderId="5" xfId="3" applyNumberFormat="1" applyFont="1" applyFill="1" applyBorder="1" applyAlignment="1">
      <alignment horizontal="left" vertical="top" wrapText="1"/>
    </xf>
    <xf numFmtId="9" fontId="20" fillId="2" borderId="5" xfId="3" applyNumberFormat="1" applyFont="1" applyFill="1" applyBorder="1" applyAlignment="1">
      <alignment horizontal="left" vertical="top" wrapText="1"/>
    </xf>
    <xf numFmtId="9" fontId="20" fillId="0" borderId="5" xfId="3" applyNumberFormat="1" applyFont="1" applyFill="1" applyBorder="1" applyAlignment="1">
      <alignment horizontal="left" vertical="top" wrapText="1"/>
    </xf>
    <xf numFmtId="9" fontId="20" fillId="2" borderId="5" xfId="3" applyNumberFormat="1" applyFont="1" applyFill="1" applyBorder="1" applyAlignment="1">
      <alignment horizontal="left" vertical="top"/>
    </xf>
    <xf numFmtId="169" fontId="20" fillId="2" borderId="5" xfId="3" applyNumberFormat="1" applyFont="1" applyFill="1" applyBorder="1" applyAlignment="1">
      <alignment horizontal="left" vertical="top"/>
    </xf>
    <xf numFmtId="0" fontId="20" fillId="0" borderId="5" xfId="17" applyNumberFormat="1" applyFont="1" applyFill="1" applyBorder="1" applyAlignment="1">
      <alignment horizontal="left" vertical="top" wrapText="1"/>
    </xf>
    <xf numFmtId="0" fontId="20" fillId="2" borderId="5" xfId="17" applyNumberFormat="1" applyFont="1" applyFill="1" applyBorder="1" applyAlignment="1">
      <alignment horizontal="left" vertical="top" wrapText="1"/>
    </xf>
    <xf numFmtId="0" fontId="20" fillId="3" borderId="5" xfId="3" applyNumberFormat="1" applyFont="1" applyFill="1" applyBorder="1" applyAlignment="1">
      <alignment horizontal="left" vertical="top" wrapText="1"/>
    </xf>
    <xf numFmtId="0" fontId="20" fillId="6" borderId="5" xfId="17" applyNumberFormat="1" applyFont="1" applyFill="1" applyBorder="1" applyAlignment="1">
      <alignment horizontal="left" vertical="top" wrapText="1"/>
    </xf>
    <xf numFmtId="9" fontId="20" fillId="2" borderId="5" xfId="17" applyNumberFormat="1" applyFont="1" applyFill="1" applyBorder="1" applyAlignment="1">
      <alignment horizontal="left" vertical="top"/>
    </xf>
    <xf numFmtId="3" fontId="58" fillId="6" borderId="5" xfId="0" applyNumberFormat="1" applyFont="1" applyFill="1" applyBorder="1" applyAlignment="1">
      <alignment horizontal="left" vertical="top"/>
    </xf>
    <xf numFmtId="0" fontId="22" fillId="0" borderId="5" xfId="3" applyNumberFormat="1" applyFont="1" applyFill="1" applyBorder="1" applyAlignment="1">
      <alignment horizontal="center" vertical="top"/>
    </xf>
    <xf numFmtId="3" fontId="22" fillId="2" borderId="5" xfId="3" applyNumberFormat="1" applyFont="1" applyFill="1" applyBorder="1" applyAlignment="1">
      <alignment horizontal="left" vertical="top"/>
    </xf>
    <xf numFmtId="0" fontId="20" fillId="2" borderId="0" xfId="3" applyNumberFormat="1" applyFont="1" applyFill="1" applyAlignment="1">
      <alignment horizontal="left" vertical="top" wrapText="1"/>
    </xf>
    <xf numFmtId="0" fontId="20" fillId="6" borderId="5" xfId="3" applyNumberFormat="1" applyFont="1" applyFill="1" applyBorder="1" applyAlignment="1">
      <alignment horizontal="left" vertical="top" wrapText="1"/>
    </xf>
    <xf numFmtId="0" fontId="20" fillId="2" borderId="3" xfId="3" applyNumberFormat="1" applyFont="1" applyFill="1" applyBorder="1" applyAlignment="1">
      <alignment horizontal="left" vertical="top" wrapText="1"/>
    </xf>
    <xf numFmtId="0" fontId="20" fillId="2" borderId="3" xfId="3" applyNumberFormat="1" applyFont="1" applyFill="1" applyBorder="1" applyAlignment="1">
      <alignment horizontal="left" vertical="top"/>
    </xf>
    <xf numFmtId="3" fontId="20" fillId="2" borderId="5" xfId="3" applyNumberFormat="1" applyFont="1" applyFill="1" applyBorder="1" applyAlignment="1">
      <alignment horizontal="left" vertical="top" wrapText="1"/>
    </xf>
    <xf numFmtId="0" fontId="2" fillId="13" borderId="5" xfId="3" applyNumberFormat="1" applyFont="1" applyFill="1" applyBorder="1" applyAlignment="1">
      <alignment horizontal="center" vertical="top" wrapText="1"/>
    </xf>
    <xf numFmtId="3" fontId="20" fillId="2" borderId="5" xfId="3" applyNumberFormat="1" applyFont="1" applyFill="1" applyBorder="1" applyAlignment="1">
      <alignment horizontal="left" vertical="top"/>
    </xf>
    <xf numFmtId="0" fontId="20" fillId="2" borderId="4" xfId="3" applyNumberFormat="1" applyFont="1" applyFill="1" applyBorder="1" applyAlignment="1">
      <alignment horizontal="left" vertical="top" wrapText="1"/>
    </xf>
    <xf numFmtId="2" fontId="20" fillId="2" borderId="5" xfId="3" applyNumberFormat="1" applyFont="1" applyFill="1" applyBorder="1" applyAlignment="1">
      <alignment horizontal="left" vertical="top" wrapText="1"/>
    </xf>
    <xf numFmtId="0" fontId="57" fillId="3"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58" fillId="5" borderId="5" xfId="3" applyNumberFormat="1" applyFont="1" applyFill="1" applyBorder="1" applyAlignment="1">
      <alignment horizontal="center" vertical="center" wrapText="1"/>
    </xf>
    <xf numFmtId="0" fontId="35" fillId="0" borderId="0" xfId="0" applyFont="1" applyFill="1" applyAlignment="1">
      <alignment horizontal="center" vertical="top" wrapText="1"/>
    </xf>
    <xf numFmtId="0" fontId="35" fillId="0" borderId="5" xfId="0" applyFont="1" applyFill="1" applyBorder="1" applyAlignment="1">
      <alignment horizontal="center" vertical="top" wrapText="1"/>
    </xf>
    <xf numFmtId="183" fontId="63" fillId="0" borderId="5" xfId="0" applyNumberFormat="1" applyFont="1" applyFill="1" applyBorder="1" applyAlignment="1">
      <alignment horizontal="center" vertical="top" wrapText="1"/>
    </xf>
    <xf numFmtId="0" fontId="50" fillId="0" borderId="0" xfId="0" applyFont="1" applyFill="1" applyAlignment="1">
      <alignment vertical="top" wrapText="1"/>
    </xf>
    <xf numFmtId="0" fontId="25" fillId="0" borderId="0" xfId="0" applyFont="1" applyFill="1" applyAlignment="1">
      <alignment vertical="top" wrapText="1"/>
    </xf>
    <xf numFmtId="0" fontId="35" fillId="0" borderId="0" xfId="0" applyFont="1" applyFill="1" applyAlignment="1">
      <alignment horizontal="justify" vertical="top"/>
    </xf>
    <xf numFmtId="0" fontId="55" fillId="0" borderId="0" xfId="0" applyFont="1" applyFill="1" applyAlignment="1">
      <alignment horizontal="center" vertical="top" wrapText="1"/>
    </xf>
    <xf numFmtId="0" fontId="65" fillId="0" borderId="0" xfId="0" applyFont="1" applyFill="1" applyAlignment="1">
      <alignment horizontal="justify" vertical="top"/>
    </xf>
    <xf numFmtId="0" fontId="0" fillId="0" borderId="5" xfId="0" applyFill="1" applyBorder="1" applyAlignment="1">
      <alignment horizontal="center" vertical="top" wrapText="1"/>
    </xf>
    <xf numFmtId="0" fontId="55" fillId="0" borderId="0" xfId="0" applyFont="1" applyFill="1" applyAlignment="1">
      <alignment vertical="top" wrapText="1"/>
    </xf>
    <xf numFmtId="0" fontId="0" fillId="0" borderId="0" xfId="3" applyNumberFormat="1" applyFont="1" applyFill="1" applyAlignment="1">
      <alignment vertical="top" wrapText="1"/>
    </xf>
    <xf numFmtId="0" fontId="66" fillId="0" borderId="0" xfId="0" applyFont="1" applyFill="1" applyAlignment="1">
      <alignment horizontal="justify" vertical="top"/>
    </xf>
    <xf numFmtId="0" fontId="55" fillId="0" borderId="5" xfId="0" applyFont="1" applyFill="1" applyBorder="1" applyAlignment="1">
      <alignment horizontal="center" vertical="top" wrapText="1"/>
    </xf>
    <xf numFmtId="0" fontId="35" fillId="0" borderId="5" xfId="0" applyFont="1" applyFill="1" applyBorder="1" applyAlignment="1">
      <alignment horizontal="justify" vertical="top"/>
    </xf>
    <xf numFmtId="0" fontId="0" fillId="0" borderId="0" xfId="3" applyNumberFormat="1" applyFont="1" applyFill="1" applyAlignment="1">
      <alignment horizontal="center" vertical="top" wrapText="1"/>
    </xf>
    <xf numFmtId="0" fontId="35" fillId="0" borderId="5" xfId="0" applyFont="1" applyFill="1" applyBorder="1" applyAlignment="1">
      <alignment vertical="top" wrapText="1"/>
    </xf>
    <xf numFmtId="0" fontId="68" fillId="0" borderId="0" xfId="0" applyFont="1" applyFill="1" applyAlignment="1">
      <alignment horizontal="center" vertical="top" wrapText="1"/>
    </xf>
    <xf numFmtId="0" fontId="68" fillId="0" borderId="5" xfId="0" applyFont="1" applyFill="1" applyBorder="1" applyAlignment="1">
      <alignment horizontal="center" vertical="top" wrapText="1"/>
    </xf>
    <xf numFmtId="0" fontId="58" fillId="0" borderId="0" xfId="0" applyFont="1" applyAlignment="1">
      <alignment vertical="top" wrapText="1"/>
    </xf>
    <xf numFmtId="0" fontId="16" fillId="0" borderId="0" xfId="3" applyNumberFormat="1" applyFont="1"/>
    <xf numFmtId="176" fontId="1" fillId="0" borderId="0" xfId="3" applyNumberFormat="1" applyFont="1"/>
    <xf numFmtId="176" fontId="0" fillId="0" borderId="0" xfId="3" applyNumberFormat="1" applyFont="1"/>
    <xf numFmtId="0" fontId="16" fillId="0" borderId="0" xfId="3" applyNumberFormat="1" applyFont="1" applyAlignment="1">
      <alignment horizontal="center" vertical="center"/>
    </xf>
    <xf numFmtId="0" fontId="16" fillId="0" borderId="0" xfId="3" applyNumberFormat="1" applyFont="1" applyAlignment="1">
      <alignment horizontal="center" vertical="center" wrapText="1"/>
    </xf>
    <xf numFmtId="176" fontId="16" fillId="0" borderId="0" xfId="3" applyNumberFormat="1" applyFont="1" applyAlignment="1">
      <alignment horizontal="center" vertical="center"/>
    </xf>
    <xf numFmtId="0" fontId="20" fillId="2" borderId="0" xfId="3" applyNumberFormat="1" applyFont="1" applyFill="1"/>
    <xf numFmtId="0" fontId="20" fillId="2" borderId="0" xfId="3" applyNumberFormat="1" applyFont="1" applyFill="1" applyAlignment="1">
      <alignment vertical="center"/>
    </xf>
    <xf numFmtId="0" fontId="5" fillId="2" borderId="0" xfId="3" applyNumberFormat="1" applyFont="1" applyFill="1"/>
    <xf numFmtId="0" fontId="23" fillId="0" borderId="0" xfId="0" applyFont="1" applyAlignment="1">
      <alignment horizontal="center"/>
    </xf>
    <xf numFmtId="0" fontId="14" fillId="0" borderId="0" xfId="0" applyFont="1" applyAlignment="1">
      <alignment horizontal="center"/>
    </xf>
    <xf numFmtId="176" fontId="9" fillId="5" borderId="5" xfId="3" applyNumberFormat="1" applyFont="1" applyFill="1" applyBorder="1" applyAlignment="1">
      <alignment horizontal="center" vertical="center" wrapText="1"/>
    </xf>
    <xf numFmtId="0" fontId="2" fillId="2" borderId="6" xfId="3" applyNumberFormat="1" applyFont="1" applyFill="1" applyBorder="1" applyAlignment="1">
      <alignment vertical="top" wrapText="1"/>
    </xf>
    <xf numFmtId="0" fontId="2" fillId="2" borderId="18" xfId="3" applyNumberFormat="1" applyFont="1" applyFill="1" applyBorder="1" applyAlignment="1">
      <alignment vertical="top" wrapText="1"/>
    </xf>
    <xf numFmtId="0" fontId="2" fillId="2" borderId="19" xfId="3" applyNumberFormat="1" applyFont="1" applyFill="1" applyBorder="1" applyAlignment="1">
      <alignment vertical="top" wrapText="1"/>
    </xf>
    <xf numFmtId="0" fontId="2" fillId="2" borderId="7" xfId="3" applyNumberFormat="1" applyFont="1" applyFill="1" applyBorder="1" applyAlignment="1">
      <alignment vertical="top" wrapText="1"/>
    </xf>
    <xf numFmtId="0" fontId="20" fillId="2" borderId="1" xfId="3" applyNumberFormat="1" applyFont="1" applyFill="1" applyBorder="1" applyAlignment="1">
      <alignment vertical="top" wrapText="1"/>
    </xf>
    <xf numFmtId="0" fontId="20" fillId="2" borderId="4" xfId="3" applyNumberFormat="1" applyFont="1" applyFill="1" applyBorder="1" applyAlignment="1">
      <alignment vertical="top" wrapText="1"/>
    </xf>
    <xf numFmtId="0" fontId="20" fillId="2" borderId="5" xfId="3" applyNumberFormat="1" applyFont="1" applyFill="1" applyBorder="1" applyAlignment="1">
      <alignment vertical="top" wrapText="1"/>
    </xf>
    <xf numFmtId="176" fontId="25" fillId="0" borderId="5" xfId="0" applyNumberFormat="1" applyFont="1" applyFill="1" applyBorder="1" applyAlignment="1">
      <alignment horizontal="right" vertical="top"/>
    </xf>
    <xf numFmtId="0" fontId="16" fillId="0" borderId="5" xfId="3" applyNumberFormat="1" applyFont="1" applyFill="1" applyBorder="1" applyAlignment="1">
      <alignment horizontal="left" vertical="top" wrapText="1"/>
    </xf>
    <xf numFmtId="0" fontId="2" fillId="2" borderId="17" xfId="3" applyNumberFormat="1" applyFont="1" applyFill="1" applyBorder="1" applyAlignment="1">
      <alignment vertical="top" wrapText="1"/>
    </xf>
    <xf numFmtId="0" fontId="2" fillId="2" borderId="21" xfId="3" applyNumberFormat="1" applyFont="1" applyFill="1" applyBorder="1" applyAlignment="1">
      <alignment vertical="top" wrapText="1"/>
    </xf>
    <xf numFmtId="0" fontId="5" fillId="0" borderId="5" xfId="3" applyNumberFormat="1" applyFont="1" applyFill="1" applyBorder="1" applyAlignment="1">
      <alignment vertical="top" wrapText="1"/>
    </xf>
    <xf numFmtId="0" fontId="69" fillId="2" borderId="5" xfId="3" applyNumberFormat="1" applyFont="1" applyFill="1" applyBorder="1" applyAlignment="1">
      <alignment vertical="top" wrapText="1"/>
    </xf>
    <xf numFmtId="0" fontId="16" fillId="0" borderId="5" xfId="0" applyFont="1" applyFill="1" applyBorder="1" applyAlignment="1">
      <alignment vertical="top" wrapText="1"/>
    </xf>
    <xf numFmtId="0" fontId="2" fillId="2" borderId="22" xfId="3" applyNumberFormat="1" applyFont="1" applyFill="1" applyBorder="1" applyAlignment="1">
      <alignment vertical="top" wrapText="1"/>
    </xf>
    <xf numFmtId="0" fontId="20" fillId="2" borderId="19" xfId="3" applyNumberFormat="1" applyFont="1" applyFill="1" applyBorder="1" applyAlignment="1">
      <alignment vertical="top" wrapText="1"/>
    </xf>
    <xf numFmtId="176" fontId="25" fillId="0" borderId="1" xfId="0" applyNumberFormat="1" applyFont="1" applyFill="1" applyBorder="1" applyAlignment="1">
      <alignment horizontal="right" vertical="top"/>
    </xf>
    <xf numFmtId="0" fontId="2" fillId="2" borderId="18" xfId="3" applyNumberFormat="1" applyFont="1" applyFill="1" applyBorder="1" applyAlignment="1">
      <alignment horizontal="justify" vertical="top" wrapText="1"/>
    </xf>
    <xf numFmtId="0" fontId="2" fillId="2" borderId="0" xfId="3" applyNumberFormat="1" applyFont="1" applyFill="1" applyBorder="1" applyAlignment="1">
      <alignment vertical="top" wrapText="1"/>
    </xf>
    <xf numFmtId="0" fontId="2" fillId="14" borderId="6" xfId="3" applyNumberFormat="1" applyFont="1" applyFill="1" applyBorder="1" applyAlignment="1">
      <alignment horizontal="justify" vertical="top" wrapText="1"/>
    </xf>
    <xf numFmtId="0" fontId="2" fillId="14" borderId="7" xfId="3" applyNumberFormat="1" applyFont="1" applyFill="1" applyBorder="1" applyAlignment="1">
      <alignment vertical="top" wrapText="1"/>
    </xf>
    <xf numFmtId="0" fontId="20" fillId="14" borderId="7" xfId="3" applyNumberFormat="1" applyFont="1" applyFill="1" applyBorder="1" applyAlignment="1">
      <alignment vertical="top" wrapText="1"/>
    </xf>
    <xf numFmtId="176" fontId="25" fillId="14" borderId="7" xfId="0" applyNumberFormat="1" applyFont="1" applyFill="1" applyBorder="1" applyAlignment="1">
      <alignment horizontal="right" vertical="top"/>
    </xf>
    <xf numFmtId="0" fontId="2" fillId="2" borderId="23" xfId="3" applyNumberFormat="1" applyFont="1" applyFill="1" applyBorder="1" applyAlignment="1">
      <alignment vertical="top" wrapText="1"/>
    </xf>
    <xf numFmtId="0" fontId="2" fillId="2" borderId="24" xfId="3" applyNumberFormat="1" applyFont="1" applyFill="1" applyBorder="1" applyAlignment="1">
      <alignment vertical="top" wrapText="1"/>
    </xf>
    <xf numFmtId="0" fontId="20" fillId="2" borderId="3" xfId="3" applyNumberFormat="1" applyFont="1" applyFill="1" applyBorder="1" applyAlignment="1">
      <alignment vertical="top" wrapText="1"/>
    </xf>
    <xf numFmtId="176" fontId="25" fillId="0" borderId="3" xfId="0" applyNumberFormat="1" applyFont="1" applyFill="1" applyBorder="1" applyAlignment="1">
      <alignment horizontal="right" vertical="top"/>
    </xf>
    <xf numFmtId="0" fontId="34" fillId="0" borderId="3" xfId="3" applyNumberFormat="1" applyFont="1" applyFill="1" applyBorder="1" applyAlignment="1">
      <alignment vertical="top" wrapText="1"/>
    </xf>
    <xf numFmtId="0" fontId="5" fillId="0" borderId="5" xfId="0" applyFont="1" applyFill="1" applyBorder="1" applyAlignment="1">
      <alignment horizontal="left" vertical="top" wrapText="1"/>
    </xf>
    <xf numFmtId="0" fontId="16" fillId="0" borderId="5" xfId="3" applyNumberFormat="1" applyFont="1" applyFill="1" applyBorder="1" applyAlignment="1">
      <alignment vertical="top" wrapText="1"/>
    </xf>
    <xf numFmtId="0" fontId="16" fillId="0" borderId="1" xfId="3" applyNumberFormat="1" applyFont="1" applyFill="1" applyBorder="1" applyAlignment="1">
      <alignment vertical="top" wrapText="1"/>
    </xf>
    <xf numFmtId="0" fontId="16" fillId="14" borderId="7" xfId="3" applyNumberFormat="1" applyFont="1" applyFill="1" applyBorder="1" applyAlignment="1">
      <alignment vertical="top" wrapText="1"/>
    </xf>
    <xf numFmtId="0" fontId="16" fillId="0" borderId="5" xfId="0" applyFont="1" applyFill="1" applyBorder="1" applyAlignment="1">
      <alignment horizontal="left" vertical="top" wrapText="1"/>
    </xf>
    <xf numFmtId="0" fontId="2" fillId="2" borderId="2" xfId="3" applyNumberFormat="1" applyFont="1" applyFill="1" applyBorder="1" applyAlignment="1">
      <alignment horizontal="justify" vertical="top" wrapText="1"/>
    </xf>
    <xf numFmtId="176" fontId="25" fillId="0" borderId="2" xfId="0" applyNumberFormat="1" applyFont="1" applyFill="1" applyBorder="1" applyAlignment="1">
      <alignment horizontal="right" vertical="top"/>
    </xf>
    <xf numFmtId="0" fontId="34" fillId="0" borderId="2" xfId="3" applyNumberFormat="1" applyFont="1" applyFill="1" applyBorder="1" applyAlignment="1">
      <alignment vertical="top" wrapText="1"/>
    </xf>
    <xf numFmtId="0" fontId="59" fillId="2" borderId="3" xfId="3" applyNumberFormat="1" applyFont="1" applyFill="1" applyBorder="1" applyAlignment="1">
      <alignment vertical="top" wrapText="1"/>
    </xf>
    <xf numFmtId="0" fontId="0" fillId="2" borderId="2" xfId="3" applyNumberFormat="1" applyFont="1" applyFill="1" applyBorder="1" applyAlignment="1">
      <alignment vertical="top" wrapText="1"/>
    </xf>
    <xf numFmtId="0" fontId="20" fillId="2" borderId="2" xfId="3" applyNumberFormat="1" applyFont="1" applyFill="1" applyBorder="1" applyAlignment="1">
      <alignment vertical="top" wrapText="1"/>
    </xf>
    <xf numFmtId="0" fontId="16" fillId="0" borderId="5" xfId="11"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1" xfId="11" applyNumberFormat="1" applyFont="1" applyFill="1" applyBorder="1" applyAlignment="1">
      <alignment vertical="top" wrapText="1"/>
    </xf>
    <xf numFmtId="0" fontId="2" fillId="3" borderId="5" xfId="3" applyNumberFormat="1" applyFont="1" applyFill="1" applyBorder="1" applyAlignment="1">
      <alignment horizontal="justify" vertical="top" wrapText="1"/>
    </xf>
    <xf numFmtId="0" fontId="2" fillId="3" borderId="3" xfId="3" applyNumberFormat="1" applyFont="1" applyFill="1" applyBorder="1" applyAlignment="1">
      <alignment horizontal="justify" vertical="top" wrapText="1"/>
    </xf>
    <xf numFmtId="0" fontId="2" fillId="3" borderId="3" xfId="3" applyNumberFormat="1" applyFont="1" applyFill="1" applyBorder="1" applyAlignment="1">
      <alignment horizontal="center" vertical="top" wrapText="1"/>
    </xf>
    <xf numFmtId="0" fontId="20" fillId="3" borderId="1" xfId="3" applyNumberFormat="1" applyFont="1" applyFill="1" applyBorder="1" applyAlignment="1">
      <alignment horizontal="justify" vertical="top" wrapText="1"/>
    </xf>
    <xf numFmtId="0" fontId="20" fillId="3" borderId="5" xfId="3" applyNumberFormat="1" applyFont="1" applyFill="1" applyBorder="1" applyAlignment="1">
      <alignment vertical="top" wrapText="1"/>
    </xf>
    <xf numFmtId="176" fontId="25" fillId="3" borderId="5" xfId="0" applyNumberFormat="1" applyFont="1" applyFill="1" applyBorder="1" applyAlignment="1">
      <alignment horizontal="right" vertical="top"/>
    </xf>
    <xf numFmtId="176" fontId="2" fillId="0" borderId="5" xfId="3" applyNumberFormat="1" applyFont="1" applyFill="1" applyBorder="1" applyAlignment="1">
      <alignment horizontal="right" vertical="top" wrapText="1"/>
    </xf>
    <xf numFmtId="0" fontId="59" fillId="2" borderId="1" xfId="3" applyNumberFormat="1" applyFont="1" applyFill="1" applyBorder="1" applyAlignment="1">
      <alignment vertical="top" wrapText="1"/>
    </xf>
    <xf numFmtId="176" fontId="2" fillId="0" borderId="1" xfId="3" applyNumberFormat="1" applyFont="1" applyFill="1" applyBorder="1" applyAlignment="1">
      <alignment horizontal="right" vertical="top" wrapText="1"/>
    </xf>
    <xf numFmtId="0" fontId="59" fillId="0" borderId="1" xfId="3" applyNumberFormat="1" applyFont="1" applyFill="1" applyBorder="1" applyAlignment="1">
      <alignment vertical="top" wrapText="1"/>
    </xf>
    <xf numFmtId="0" fontId="2" fillId="14" borderId="7" xfId="3" applyNumberFormat="1" applyFont="1" applyFill="1" applyBorder="1" applyAlignment="1">
      <alignment horizontal="left" vertical="top" wrapText="1"/>
    </xf>
    <xf numFmtId="0" fontId="2" fillId="14" borderId="7" xfId="3" applyNumberFormat="1" applyFont="1" applyFill="1" applyBorder="1" applyAlignment="1">
      <alignment horizontal="center" vertical="top" wrapText="1"/>
    </xf>
    <xf numFmtId="176" fontId="2" fillId="14" borderId="7" xfId="3" applyNumberFormat="1" applyFont="1" applyFill="1" applyBorder="1" applyAlignment="1">
      <alignment horizontal="right" vertical="top" wrapText="1"/>
    </xf>
    <xf numFmtId="0" fontId="20" fillId="2" borderId="2" xfId="3" applyNumberFormat="1" applyFont="1" applyFill="1" applyBorder="1" applyAlignment="1">
      <alignment horizontal="left" vertical="top" wrapText="1"/>
    </xf>
    <xf numFmtId="0" fontId="20" fillId="2" borderId="2" xfId="3" applyNumberFormat="1" applyFont="1" applyFill="1" applyBorder="1" applyAlignment="1">
      <alignment horizontal="center" vertical="top" wrapText="1"/>
    </xf>
    <xf numFmtId="0" fontId="2" fillId="14" borderId="5" xfId="3" applyNumberFormat="1" applyFont="1" applyFill="1" applyBorder="1" applyAlignment="1">
      <alignment horizontal="justify" vertical="top" wrapText="1"/>
    </xf>
    <xf numFmtId="0" fontId="2" fillId="14" borderId="5" xfId="3" applyNumberFormat="1" applyFont="1" applyFill="1" applyBorder="1" applyAlignment="1">
      <alignment vertical="top" wrapText="1"/>
    </xf>
    <xf numFmtId="0" fontId="20" fillId="14" borderId="5" xfId="3" applyNumberFormat="1" applyFont="1" applyFill="1" applyBorder="1" applyAlignment="1">
      <alignment vertical="top" wrapText="1"/>
    </xf>
    <xf numFmtId="0" fontId="20" fillId="14" borderId="5" xfId="3" applyNumberFormat="1" applyFont="1" applyFill="1" applyBorder="1" applyAlignment="1">
      <alignment horizontal="center" vertical="top" wrapText="1"/>
    </xf>
    <xf numFmtId="176" fontId="25" fillId="14" borderId="5" xfId="0" applyNumberFormat="1" applyFont="1" applyFill="1" applyBorder="1" applyAlignment="1">
      <alignment horizontal="right" vertical="top"/>
    </xf>
    <xf numFmtId="0" fontId="2" fillId="2" borderId="17" xfId="3" applyNumberFormat="1" applyFont="1" applyFill="1" applyBorder="1" applyAlignment="1">
      <alignment horizontal="justify" vertical="top" wrapText="1"/>
    </xf>
    <xf numFmtId="0" fontId="2" fillId="2" borderId="7" xfId="3" applyNumberFormat="1" applyFont="1" applyFill="1" applyBorder="1" applyAlignment="1">
      <alignment horizontal="center" vertical="top" wrapText="1"/>
    </xf>
    <xf numFmtId="0" fontId="20" fillId="14" borderId="2" xfId="3" applyNumberFormat="1" applyFont="1" applyFill="1" applyBorder="1" applyAlignment="1">
      <alignment vertical="top" wrapText="1"/>
    </xf>
    <xf numFmtId="0" fontId="20" fillId="14" borderId="7" xfId="3" applyNumberFormat="1" applyFont="1" applyFill="1" applyBorder="1" applyAlignment="1">
      <alignment horizontal="center" vertical="top" wrapText="1"/>
    </xf>
    <xf numFmtId="0" fontId="20" fillId="2" borderId="3" xfId="3" applyNumberFormat="1" applyFont="1" applyFill="1" applyBorder="1" applyAlignment="1">
      <alignment horizontal="justify" vertical="top" wrapText="1"/>
    </xf>
    <xf numFmtId="176" fontId="2" fillId="0" borderId="3" xfId="3" applyNumberFormat="1" applyFont="1" applyFill="1" applyBorder="1" applyAlignment="1">
      <alignment horizontal="center" vertical="top" wrapText="1"/>
    </xf>
    <xf numFmtId="0" fontId="16" fillId="0" borderId="1" xfId="3" applyNumberFormat="1" applyFont="1" applyFill="1" applyBorder="1" applyAlignment="1">
      <alignment horizontal="left" vertical="top" wrapText="1"/>
    </xf>
    <xf numFmtId="176" fontId="2" fillId="0" borderId="5" xfId="3" applyNumberFormat="1" applyFont="1" applyFill="1" applyBorder="1" applyAlignment="1">
      <alignment horizontal="center" vertical="top" wrapText="1"/>
    </xf>
    <xf numFmtId="0" fontId="10" fillId="0" borderId="1" xfId="3" applyNumberFormat="1" applyFont="1" applyFill="1" applyBorder="1" applyAlignment="1">
      <alignment horizontal="left" vertical="top" wrapText="1"/>
    </xf>
    <xf numFmtId="176" fontId="2" fillId="0" borderId="1" xfId="3" applyNumberFormat="1" applyFont="1" applyFill="1" applyBorder="1" applyAlignment="1">
      <alignment horizontal="center" vertical="top" wrapText="1"/>
    </xf>
    <xf numFmtId="0" fontId="2" fillId="2" borderId="22" xfId="3" applyNumberFormat="1" applyFont="1" applyFill="1" applyBorder="1" applyAlignment="1">
      <alignment horizontal="center" vertical="top" wrapText="1"/>
    </xf>
    <xf numFmtId="0" fontId="20" fillId="14" borderId="7" xfId="3" applyNumberFormat="1" applyFont="1" applyFill="1" applyBorder="1" applyAlignment="1">
      <alignment horizontal="justify" vertical="top" wrapText="1"/>
    </xf>
    <xf numFmtId="176" fontId="2" fillId="14" borderId="7" xfId="3" applyNumberFormat="1" applyFont="1" applyFill="1" applyBorder="1" applyAlignment="1">
      <alignment horizontal="center" vertical="top" wrapText="1"/>
    </xf>
    <xf numFmtId="0" fontId="0" fillId="2" borderId="3" xfId="3" applyNumberFormat="1" applyFont="1" applyFill="1" applyBorder="1" applyAlignment="1">
      <alignment vertical="top" wrapText="1"/>
    </xf>
    <xf numFmtId="0" fontId="20" fillId="3" borderId="2" xfId="3" applyNumberFormat="1" applyFont="1" applyFill="1" applyBorder="1" applyAlignment="1">
      <alignment horizontal="center" vertical="top" wrapText="1"/>
    </xf>
    <xf numFmtId="0" fontId="20" fillId="3" borderId="5" xfId="3" applyNumberFormat="1" applyFont="1" applyFill="1" applyBorder="1" applyAlignment="1">
      <alignment horizontal="justify" vertical="top" wrapText="1"/>
    </xf>
    <xf numFmtId="0" fontId="20" fillId="2" borderId="5" xfId="3" applyNumberFormat="1" applyFont="1" applyFill="1" applyBorder="1" applyAlignment="1">
      <alignment horizontal="justify" vertical="top" wrapText="1"/>
    </xf>
    <xf numFmtId="0" fontId="9" fillId="0" borderId="5" xfId="0" applyFont="1" applyBorder="1" applyAlignment="1">
      <alignment vertical="top" wrapText="1"/>
    </xf>
    <xf numFmtId="0" fontId="2" fillId="14" borderId="5" xfId="3" applyNumberFormat="1" applyFont="1" applyFill="1" applyBorder="1" applyAlignment="1">
      <alignment horizontal="center" vertical="top" wrapText="1"/>
    </xf>
    <xf numFmtId="0" fontId="20" fillId="14" borderId="5" xfId="3" applyNumberFormat="1" applyFont="1" applyFill="1" applyBorder="1" applyAlignment="1">
      <alignment horizontal="justify" vertical="top" wrapText="1"/>
    </xf>
    <xf numFmtId="0" fontId="16" fillId="14" borderId="5" xfId="3" applyNumberFormat="1" applyFont="1" applyFill="1" applyBorder="1" applyAlignment="1">
      <alignment horizontal="left" vertical="top" wrapText="1"/>
    </xf>
    <xf numFmtId="0" fontId="9" fillId="2" borderId="5" xfId="0" applyFont="1" applyFill="1" applyBorder="1" applyAlignment="1">
      <alignment vertical="top" wrapText="1"/>
    </xf>
    <xf numFmtId="0" fontId="20" fillId="2" borderId="5" xfId="3" applyNumberFormat="1" applyFont="1" applyFill="1" applyBorder="1" applyAlignment="1">
      <alignment horizontal="center" vertical="top" wrapText="1"/>
    </xf>
    <xf numFmtId="0" fontId="20" fillId="14" borderId="5" xfId="3" applyNumberFormat="1" applyFont="1" applyFill="1" applyBorder="1" applyAlignment="1">
      <alignment horizontal="left" vertical="top" wrapText="1"/>
    </xf>
    <xf numFmtId="0" fontId="20" fillId="3" borderId="2" xfId="3" applyNumberFormat="1" applyFont="1" applyFill="1" applyBorder="1" applyAlignment="1">
      <alignment horizontal="left" vertical="top" wrapText="1"/>
    </xf>
    <xf numFmtId="0" fontId="33" fillId="0" borderId="5" xfId="18" applyFont="1" applyFill="1" applyBorder="1" applyAlignment="1">
      <alignment horizontal="left" vertical="top" wrapText="1"/>
    </xf>
    <xf numFmtId="0" fontId="5" fillId="0" borderId="5" xfId="11" applyNumberFormat="1" applyFont="1" applyFill="1" applyBorder="1" applyAlignment="1">
      <alignment vertical="top" wrapText="1"/>
    </xf>
    <xf numFmtId="0" fontId="20" fillId="2" borderId="5" xfId="3" applyNumberFormat="1" applyFont="1" applyFill="1" applyBorder="1" applyAlignment="1">
      <alignment horizontal="right" vertical="top" wrapText="1"/>
    </xf>
    <xf numFmtId="0" fontId="20" fillId="0" borderId="5" xfId="3" applyNumberFormat="1" applyFont="1" applyFill="1" applyBorder="1" applyAlignment="1">
      <alignment horizontal="right" vertical="top" wrapText="1"/>
    </xf>
    <xf numFmtId="0" fontId="5" fillId="2" borderId="5" xfId="3" applyNumberFormat="1" applyFont="1" applyFill="1" applyBorder="1" applyAlignment="1">
      <alignment horizontal="right" vertical="top" wrapText="1"/>
    </xf>
    <xf numFmtId="0" fontId="5" fillId="2" borderId="5" xfId="0" applyFont="1" applyFill="1" applyBorder="1" applyAlignment="1">
      <alignment horizontal="center" vertical="top" wrapText="1"/>
    </xf>
    <xf numFmtId="176" fontId="0" fillId="2" borderId="5" xfId="3" applyNumberFormat="1" applyFont="1" applyFill="1" applyBorder="1" applyAlignment="1">
      <alignment vertical="top"/>
    </xf>
    <xf numFmtId="0" fontId="16" fillId="0" borderId="5" xfId="3" applyNumberFormat="1" applyFont="1" applyFill="1" applyBorder="1" applyAlignment="1">
      <alignment horizontal="center" vertical="top"/>
    </xf>
    <xf numFmtId="0" fontId="16" fillId="0" borderId="5" xfId="3" applyNumberFormat="1" applyFont="1" applyFill="1" applyBorder="1" applyAlignment="1">
      <alignment horizontal="center" vertical="top" wrapText="1"/>
    </xf>
    <xf numFmtId="176" fontId="16" fillId="0" borderId="5" xfId="0" applyNumberFormat="1" applyFont="1" applyFill="1" applyBorder="1" applyAlignment="1">
      <alignment horizontal="center" vertical="top"/>
    </xf>
    <xf numFmtId="176" fontId="16" fillId="0" borderId="5" xfId="3" applyNumberFormat="1" applyFont="1" applyFill="1" applyBorder="1" applyAlignment="1">
      <alignment horizontal="center" vertical="top"/>
    </xf>
    <xf numFmtId="1" fontId="16" fillId="0" borderId="5" xfId="3" applyNumberFormat="1" applyFont="1" applyFill="1" applyBorder="1" applyAlignment="1">
      <alignment horizontal="center" vertical="top"/>
    </xf>
    <xf numFmtId="176" fontId="0" fillId="2" borderId="1" xfId="3" applyNumberFormat="1" applyFont="1" applyFill="1" applyBorder="1" applyAlignment="1">
      <alignment vertical="top"/>
    </xf>
    <xf numFmtId="0" fontId="16" fillId="0" borderId="1" xfId="3" applyNumberFormat="1" applyFont="1" applyFill="1" applyBorder="1" applyAlignment="1">
      <alignment horizontal="center" vertical="top"/>
    </xf>
    <xf numFmtId="0" fontId="16" fillId="0" borderId="1" xfId="3" applyNumberFormat="1" applyFont="1" applyFill="1" applyBorder="1" applyAlignment="1">
      <alignment horizontal="center" vertical="top" wrapText="1"/>
    </xf>
    <xf numFmtId="0" fontId="0" fillId="2" borderId="22" xfId="3" applyNumberFormat="1" applyFont="1" applyFill="1" applyBorder="1" applyAlignment="1">
      <alignment vertical="top"/>
    </xf>
    <xf numFmtId="0" fontId="20" fillId="14" borderId="7" xfId="3" applyNumberFormat="1" applyFont="1" applyFill="1" applyBorder="1" applyAlignment="1">
      <alignment horizontal="right" vertical="top" wrapText="1"/>
    </xf>
    <xf numFmtId="0" fontId="5" fillId="14" borderId="7" xfId="3" applyNumberFormat="1" applyFont="1" applyFill="1" applyBorder="1" applyAlignment="1">
      <alignment horizontal="right" vertical="top" wrapText="1"/>
    </xf>
    <xf numFmtId="0" fontId="5" fillId="14" borderId="7" xfId="0" applyFont="1" applyFill="1" applyBorder="1" applyAlignment="1">
      <alignment horizontal="center" vertical="top" wrapText="1"/>
    </xf>
    <xf numFmtId="0" fontId="0" fillId="14" borderId="7" xfId="3" applyNumberFormat="1" applyFont="1" applyFill="1" applyBorder="1" applyAlignment="1">
      <alignment vertical="top"/>
    </xf>
    <xf numFmtId="176" fontId="0" fillId="14" borderId="7" xfId="3" applyNumberFormat="1" applyFont="1" applyFill="1" applyBorder="1" applyAlignment="1">
      <alignment vertical="top"/>
    </xf>
    <xf numFmtId="0" fontId="16" fillId="14" borderId="7" xfId="3" applyNumberFormat="1" applyFont="1" applyFill="1" applyBorder="1" applyAlignment="1">
      <alignment vertical="top"/>
    </xf>
    <xf numFmtId="0" fontId="16" fillId="14" borderId="7" xfId="3" applyNumberFormat="1" applyFont="1" applyFill="1" applyBorder="1" applyAlignment="1">
      <alignment horizontal="center" vertical="top"/>
    </xf>
    <xf numFmtId="0" fontId="16" fillId="14" borderId="7" xfId="3" applyNumberFormat="1" applyFont="1" applyFill="1" applyBorder="1" applyAlignment="1">
      <alignment horizontal="center" vertical="top" wrapText="1"/>
    </xf>
    <xf numFmtId="176" fontId="16" fillId="14" borderId="7" xfId="0" applyNumberFormat="1" applyFont="1" applyFill="1" applyBorder="1" applyAlignment="1">
      <alignment horizontal="center" vertical="top"/>
    </xf>
    <xf numFmtId="0" fontId="20" fillId="2" borderId="3" xfId="3" applyNumberFormat="1" applyFont="1" applyFill="1" applyBorder="1" applyAlignment="1">
      <alignment horizontal="right" vertical="top" wrapText="1"/>
    </xf>
    <xf numFmtId="0" fontId="20" fillId="0" borderId="3" xfId="3" applyNumberFormat="1" applyFont="1" applyFill="1" applyBorder="1" applyAlignment="1">
      <alignment horizontal="right" vertical="top" wrapText="1"/>
    </xf>
    <xf numFmtId="0" fontId="5" fillId="2" borderId="3" xfId="3" applyNumberFormat="1" applyFont="1" applyFill="1" applyBorder="1" applyAlignment="1">
      <alignment horizontal="right" vertical="top" wrapText="1"/>
    </xf>
    <xf numFmtId="0" fontId="5" fillId="2" borderId="3" xfId="0" applyFont="1" applyFill="1" applyBorder="1" applyAlignment="1">
      <alignment horizontal="center" vertical="top" wrapText="1"/>
    </xf>
    <xf numFmtId="176" fontId="0" fillId="2" borderId="3" xfId="3" applyNumberFormat="1" applyFont="1" applyFill="1" applyBorder="1" applyAlignment="1">
      <alignment vertical="top"/>
    </xf>
    <xf numFmtId="0" fontId="16" fillId="0" borderId="3" xfId="3" applyNumberFormat="1" applyFont="1" applyFill="1" applyBorder="1" applyAlignment="1">
      <alignment horizontal="center" vertical="top"/>
    </xf>
    <xf numFmtId="0" fontId="16" fillId="0" borderId="3" xfId="3" applyNumberFormat="1" applyFont="1" applyFill="1" applyBorder="1" applyAlignment="1">
      <alignment horizontal="center" vertical="top" wrapText="1"/>
    </xf>
    <xf numFmtId="0" fontId="0" fillId="0" borderId="3" xfId="3" applyNumberFormat="1" applyFont="1" applyFill="1" applyBorder="1" applyAlignment="1">
      <alignment vertical="top"/>
    </xf>
    <xf numFmtId="1" fontId="16" fillId="0" borderId="3" xfId="3" applyNumberFormat="1" applyFont="1" applyFill="1" applyBorder="1" applyAlignment="1">
      <alignment horizontal="center" vertical="top"/>
    </xf>
    <xf numFmtId="176" fontId="16" fillId="0" borderId="1" xfId="0" applyNumberFormat="1" applyFont="1" applyFill="1" applyBorder="1" applyAlignment="1">
      <alignment horizontal="center" vertical="top"/>
    </xf>
    <xf numFmtId="176" fontId="16" fillId="14" borderId="7" xfId="3" applyNumberFormat="1" applyFont="1" applyFill="1" applyBorder="1" applyAlignment="1">
      <alignment horizontal="center" vertical="top"/>
    </xf>
    <xf numFmtId="0" fontId="0" fillId="14" borderId="5" xfId="3" applyNumberFormat="1" applyFont="1" applyFill="1" applyBorder="1" applyAlignment="1">
      <alignment horizontal="center" vertical="top" wrapText="1"/>
    </xf>
    <xf numFmtId="0" fontId="5" fillId="2" borderId="3" xfId="3" applyNumberFormat="1" applyFont="1" applyFill="1" applyBorder="1" applyAlignment="1">
      <alignment horizontal="center" vertical="top" wrapText="1"/>
    </xf>
    <xf numFmtId="0" fontId="0" fillId="2" borderId="2" xfId="3" applyNumberFormat="1" applyFont="1" applyFill="1" applyBorder="1" applyAlignment="1">
      <alignment vertical="top"/>
    </xf>
    <xf numFmtId="176" fontId="0" fillId="2" borderId="2" xfId="3" applyNumberFormat="1" applyFont="1" applyFill="1" applyBorder="1" applyAlignment="1">
      <alignment vertical="top"/>
    </xf>
    <xf numFmtId="0" fontId="16" fillId="0" borderId="2" xfId="3" applyNumberFormat="1" applyFont="1" applyFill="1" applyBorder="1" applyAlignment="1">
      <alignment horizontal="center" vertical="top"/>
    </xf>
    <xf numFmtId="0" fontId="16" fillId="0" borderId="2" xfId="3" applyNumberFormat="1" applyFont="1" applyFill="1" applyBorder="1" applyAlignment="1">
      <alignment horizontal="center" vertical="top" wrapText="1"/>
    </xf>
    <xf numFmtId="0" fontId="5" fillId="14" borderId="7" xfId="3" applyNumberFormat="1" applyFont="1" applyFill="1" applyBorder="1" applyAlignment="1">
      <alignment horizontal="center" vertical="top" wrapText="1"/>
    </xf>
    <xf numFmtId="9" fontId="5" fillId="2" borderId="3" xfId="3" applyNumberFormat="1" applyFont="1" applyFill="1" applyBorder="1" applyAlignment="1">
      <alignment horizontal="right" vertical="top" wrapText="1"/>
    </xf>
    <xf numFmtId="9" fontId="5" fillId="2" borderId="3" xfId="0" applyNumberFormat="1" applyFont="1" applyFill="1" applyBorder="1" applyAlignment="1">
      <alignment horizontal="center" vertical="top" wrapText="1"/>
    </xf>
    <xf numFmtId="176" fontId="16" fillId="0" borderId="3" xfId="0" applyNumberFormat="1" applyFont="1" applyFill="1" applyBorder="1" applyAlignment="1">
      <alignment horizontal="center" vertical="top"/>
    </xf>
    <xf numFmtId="0" fontId="0" fillId="0" borderId="2" xfId="3" applyNumberFormat="1" applyFont="1" applyFill="1" applyBorder="1" applyAlignment="1">
      <alignment vertical="top"/>
    </xf>
    <xf numFmtId="9" fontId="5" fillId="14" borderId="7" xfId="3" applyNumberFormat="1" applyFont="1" applyFill="1" applyBorder="1" applyAlignment="1">
      <alignment horizontal="right" vertical="top" wrapText="1"/>
    </xf>
    <xf numFmtId="9" fontId="5" fillId="14" borderId="7" xfId="0" applyNumberFormat="1" applyFont="1" applyFill="1" applyBorder="1" applyAlignment="1">
      <alignment horizontal="center" vertical="top" wrapText="1"/>
    </xf>
    <xf numFmtId="0" fontId="20" fillId="3" borderId="5" xfId="3" applyNumberFormat="1" applyFont="1" applyFill="1" applyBorder="1" applyAlignment="1">
      <alignment horizontal="right" vertical="top" wrapText="1"/>
    </xf>
    <xf numFmtId="0" fontId="5" fillId="3" borderId="5" xfId="3" applyNumberFormat="1" applyFont="1" applyFill="1" applyBorder="1" applyAlignment="1">
      <alignment horizontal="right" vertical="top" wrapText="1"/>
    </xf>
    <xf numFmtId="0" fontId="5" fillId="3" borderId="5" xfId="3" applyNumberFormat="1" applyFont="1" applyFill="1" applyBorder="1" applyAlignment="1">
      <alignment horizontal="center" vertical="top" wrapText="1"/>
    </xf>
    <xf numFmtId="176" fontId="0" fillId="3" borderId="5" xfId="3" applyNumberFormat="1" applyFont="1" applyFill="1" applyBorder="1" applyAlignment="1">
      <alignment vertical="top"/>
    </xf>
    <xf numFmtId="0" fontId="16" fillId="3" borderId="5" xfId="3" applyNumberFormat="1" applyFont="1" applyFill="1" applyBorder="1" applyAlignment="1">
      <alignment vertical="top"/>
    </xf>
    <xf numFmtId="0" fontId="16" fillId="3" borderId="5" xfId="3" applyNumberFormat="1" applyFont="1" applyFill="1" applyBorder="1" applyAlignment="1">
      <alignment horizontal="center" vertical="top"/>
    </xf>
    <xf numFmtId="176" fontId="16" fillId="3" borderId="5" xfId="3" applyNumberFormat="1" applyFont="1" applyFill="1" applyBorder="1" applyAlignment="1">
      <alignment horizontal="center" vertical="top"/>
    </xf>
    <xf numFmtId="0" fontId="20" fillId="2" borderId="1" xfId="3" applyNumberFormat="1" applyFont="1" applyFill="1" applyBorder="1" applyAlignment="1">
      <alignment horizontal="right" vertical="top" wrapText="1"/>
    </xf>
    <xf numFmtId="0" fontId="20" fillId="0" borderId="1" xfId="3" applyNumberFormat="1" applyFont="1" applyFill="1" applyBorder="1" applyAlignment="1">
      <alignment horizontal="right" vertical="top" wrapText="1"/>
    </xf>
    <xf numFmtId="0" fontId="5" fillId="2" borderId="1" xfId="3" applyNumberFormat="1" applyFont="1" applyFill="1" applyBorder="1" applyAlignment="1">
      <alignment horizontal="right" vertical="top" wrapText="1"/>
    </xf>
    <xf numFmtId="0" fontId="5" fillId="2" borderId="1" xfId="0" applyFont="1" applyFill="1" applyBorder="1" applyAlignment="1">
      <alignment horizontal="center" vertical="top" wrapText="1"/>
    </xf>
    <xf numFmtId="0" fontId="10" fillId="0" borderId="1" xfId="3" applyNumberFormat="1" applyFont="1" applyFill="1" applyBorder="1" applyAlignment="1">
      <alignment vertical="top"/>
    </xf>
    <xf numFmtId="0" fontId="10" fillId="0" borderId="1" xfId="3" applyNumberFormat="1" applyFont="1" applyFill="1" applyBorder="1" applyAlignment="1">
      <alignment horizontal="center" vertical="top"/>
    </xf>
    <xf numFmtId="0" fontId="10" fillId="0" borderId="1" xfId="3" applyNumberFormat="1" applyFont="1" applyFill="1" applyBorder="1" applyAlignment="1">
      <alignment horizontal="center" vertical="top" wrapText="1"/>
    </xf>
    <xf numFmtId="176" fontId="10" fillId="0" borderId="1" xfId="3" applyNumberFormat="1" applyFont="1" applyFill="1" applyBorder="1" applyAlignment="1">
      <alignment horizontal="center" vertical="top"/>
    </xf>
    <xf numFmtId="0" fontId="0" fillId="2" borderId="1" xfId="3" applyNumberFormat="1" applyFont="1" applyFill="1" applyBorder="1" applyAlignment="1">
      <alignment vertical="top" wrapText="1"/>
    </xf>
    <xf numFmtId="9" fontId="5" fillId="2" borderId="5" xfId="3" applyNumberFormat="1" applyFont="1" applyFill="1" applyBorder="1" applyAlignment="1">
      <alignment horizontal="right" vertical="top" wrapText="1"/>
    </xf>
    <xf numFmtId="9" fontId="5" fillId="2" borderId="5" xfId="3" applyNumberFormat="1" applyFont="1" applyFill="1" applyBorder="1" applyAlignment="1">
      <alignment horizontal="center" vertical="top" wrapText="1"/>
    </xf>
    <xf numFmtId="0" fontId="70" fillId="0" borderId="5" xfId="0" applyFont="1" applyBorder="1" applyAlignment="1">
      <alignment horizontal="justify" vertical="top" wrapText="1"/>
    </xf>
    <xf numFmtId="0" fontId="10" fillId="0" borderId="5" xfId="3" applyNumberFormat="1" applyFont="1" applyFill="1" applyBorder="1" applyAlignment="1">
      <alignment horizontal="center" vertical="top"/>
    </xf>
    <xf numFmtId="0" fontId="10" fillId="0" borderId="5" xfId="3" applyNumberFormat="1" applyFont="1" applyFill="1" applyBorder="1" applyAlignment="1">
      <alignment horizontal="center" vertical="top" wrapText="1"/>
    </xf>
    <xf numFmtId="0" fontId="20" fillId="14" borderId="5" xfId="3" applyNumberFormat="1" applyFont="1" applyFill="1" applyBorder="1" applyAlignment="1">
      <alignment horizontal="right" vertical="top" wrapText="1"/>
    </xf>
    <xf numFmtId="9" fontId="5" fillId="14" borderId="5" xfId="3" applyNumberFormat="1" applyFont="1" applyFill="1" applyBorder="1" applyAlignment="1">
      <alignment horizontal="right" vertical="top" wrapText="1"/>
    </xf>
    <xf numFmtId="9" fontId="5" fillId="14" borderId="5" xfId="3" applyNumberFormat="1" applyFont="1" applyFill="1" applyBorder="1" applyAlignment="1">
      <alignment horizontal="center" vertical="top" wrapText="1"/>
    </xf>
    <xf numFmtId="0" fontId="0" fillId="14" borderId="5" xfId="3" applyNumberFormat="1" applyFont="1" applyFill="1" applyBorder="1" applyAlignment="1">
      <alignment vertical="top"/>
    </xf>
    <xf numFmtId="176" fontId="0" fillId="14" borderId="5" xfId="3" applyNumberFormat="1" applyFont="1" applyFill="1" applyBorder="1" applyAlignment="1">
      <alignment vertical="top"/>
    </xf>
    <xf numFmtId="0" fontId="16" fillId="14" borderId="5" xfId="3" applyNumberFormat="1" applyFont="1" applyFill="1" applyBorder="1" applyAlignment="1">
      <alignment vertical="top"/>
    </xf>
    <xf numFmtId="0" fontId="16" fillId="14" borderId="5" xfId="3" applyNumberFormat="1" applyFont="1" applyFill="1" applyBorder="1" applyAlignment="1">
      <alignment horizontal="center" vertical="top"/>
    </xf>
    <xf numFmtId="0" fontId="16" fillId="14" borderId="5" xfId="3" applyNumberFormat="1" applyFont="1" applyFill="1" applyBorder="1" applyAlignment="1">
      <alignment horizontal="center" vertical="top" wrapText="1"/>
    </xf>
    <xf numFmtId="176" fontId="16" fillId="14" borderId="5" xfId="3" applyNumberFormat="1" applyFont="1" applyFill="1" applyBorder="1" applyAlignment="1">
      <alignment horizontal="center" vertical="top"/>
    </xf>
    <xf numFmtId="0" fontId="0" fillId="2" borderId="17" xfId="3" applyNumberFormat="1" applyFont="1" applyFill="1" applyBorder="1" applyAlignment="1">
      <alignment vertical="top"/>
    </xf>
    <xf numFmtId="0" fontId="71" fillId="0" borderId="25" xfId="0" applyFont="1" applyBorder="1" applyAlignment="1">
      <alignment horizontal="left" vertical="top" wrapText="1"/>
    </xf>
    <xf numFmtId="0" fontId="22" fillId="0" borderId="5" xfId="3" applyNumberFormat="1" applyFont="1" applyFill="1" applyBorder="1" applyAlignment="1">
      <alignment vertical="top"/>
    </xf>
    <xf numFmtId="0" fontId="0" fillId="2" borderId="0" xfId="3" applyNumberFormat="1" applyFont="1" applyFill="1" applyBorder="1" applyAlignment="1">
      <alignment vertical="top"/>
    </xf>
    <xf numFmtId="0" fontId="5" fillId="2" borderId="3" xfId="3" applyNumberFormat="1" applyFont="1" applyFill="1" applyBorder="1" applyAlignment="1">
      <alignment vertical="top" wrapText="1"/>
    </xf>
    <xf numFmtId="176" fontId="5" fillId="0" borderId="5" xfId="3" applyNumberFormat="1" applyFont="1" applyFill="1" applyBorder="1" applyAlignment="1">
      <alignment horizontal="center" vertical="top"/>
    </xf>
    <xf numFmtId="0" fontId="69" fillId="0" borderId="5" xfId="3" applyNumberFormat="1" applyFont="1" applyFill="1" applyBorder="1" applyAlignment="1">
      <alignment vertical="top" wrapText="1"/>
    </xf>
    <xf numFmtId="176" fontId="10" fillId="0" borderId="5" xfId="3" applyNumberFormat="1" applyFont="1" applyFill="1" applyBorder="1" applyAlignment="1">
      <alignment horizontal="center" vertical="top"/>
    </xf>
    <xf numFmtId="0" fontId="72" fillId="0" borderId="5" xfId="3" applyNumberFormat="1" applyFont="1" applyFill="1" applyBorder="1" applyAlignment="1">
      <alignment vertical="top" wrapText="1"/>
    </xf>
    <xf numFmtId="176" fontId="5" fillId="0" borderId="4" xfId="3" applyNumberFormat="1" applyFont="1" applyFill="1" applyBorder="1" applyAlignment="1">
      <alignment horizontal="center" vertical="top"/>
    </xf>
    <xf numFmtId="0" fontId="16" fillId="2" borderId="5" xfId="3" applyNumberFormat="1" applyFont="1" applyFill="1" applyBorder="1" applyAlignment="1">
      <alignment horizontal="center" vertical="top" wrapText="1"/>
    </xf>
    <xf numFmtId="0" fontId="16" fillId="2" borderId="5" xfId="3" applyNumberFormat="1" applyFont="1" applyFill="1" applyBorder="1" applyAlignment="1">
      <alignment horizontal="center" vertical="top"/>
    </xf>
    <xf numFmtId="176" fontId="16" fillId="2" borderId="5" xfId="15" applyNumberFormat="1" applyFont="1" applyFill="1" applyBorder="1" applyAlignment="1">
      <alignment horizontal="center" vertical="top"/>
    </xf>
    <xf numFmtId="176" fontId="16" fillId="0" borderId="5" xfId="15" applyNumberFormat="1" applyFont="1" applyFill="1" applyBorder="1" applyAlignment="1">
      <alignment horizontal="center" vertical="top"/>
    </xf>
    <xf numFmtId="0" fontId="5" fillId="14" borderId="7" xfId="3" applyNumberFormat="1" applyFont="1" applyFill="1" applyBorder="1" applyAlignment="1">
      <alignment vertical="top" wrapText="1"/>
    </xf>
    <xf numFmtId="9" fontId="5" fillId="2" borderId="3" xfId="3" applyNumberFormat="1" applyFont="1" applyFill="1" applyBorder="1" applyAlignment="1">
      <alignment vertical="top" wrapText="1"/>
    </xf>
    <xf numFmtId="0" fontId="16" fillId="0" borderId="3" xfId="3" applyNumberFormat="1" applyFont="1" applyFill="1" applyBorder="1" applyAlignment="1">
      <alignment vertical="top"/>
    </xf>
    <xf numFmtId="176" fontId="16" fillId="0" borderId="3" xfId="3" applyNumberFormat="1" applyFont="1" applyFill="1" applyBorder="1" applyAlignment="1">
      <alignment horizontal="center" vertical="top"/>
    </xf>
    <xf numFmtId="0" fontId="0" fillId="0" borderId="3" xfId="3" applyNumberFormat="1" applyFont="1" applyFill="1" applyBorder="1" applyAlignment="1">
      <alignment horizontal="center" vertical="top"/>
    </xf>
    <xf numFmtId="9" fontId="5" fillId="3" borderId="5" xfId="3" applyNumberFormat="1" applyFont="1" applyFill="1" applyBorder="1" applyAlignment="1">
      <alignment vertical="top" wrapText="1"/>
    </xf>
    <xf numFmtId="10" fontId="5" fillId="3" borderId="5" xfId="0" applyNumberFormat="1" applyFont="1" applyFill="1" applyBorder="1" applyAlignment="1">
      <alignment horizontal="center" vertical="top" wrapText="1"/>
    </xf>
    <xf numFmtId="0" fontId="5" fillId="2" borderId="5" xfId="3" applyNumberFormat="1" applyFont="1" applyFill="1" applyBorder="1" applyAlignment="1">
      <alignment vertical="top" wrapText="1"/>
    </xf>
    <xf numFmtId="0" fontId="5" fillId="14" borderId="5" xfId="3" applyNumberFormat="1" applyFont="1" applyFill="1" applyBorder="1" applyAlignment="1">
      <alignment vertical="top" wrapText="1"/>
    </xf>
    <xf numFmtId="0" fontId="5" fillId="14" borderId="5" xfId="0" applyFont="1" applyFill="1" applyBorder="1" applyAlignment="1">
      <alignment horizontal="center" vertical="top" wrapText="1"/>
    </xf>
    <xf numFmtId="1" fontId="16" fillId="14" borderId="5" xfId="3" applyNumberFormat="1" applyFont="1" applyFill="1" applyBorder="1" applyAlignment="1">
      <alignment horizontal="center" vertical="top"/>
    </xf>
    <xf numFmtId="0" fontId="5" fillId="14" borderId="5" xfId="3" applyNumberFormat="1" applyFont="1" applyFill="1" applyBorder="1" applyAlignment="1">
      <alignment horizontal="right" vertical="top" wrapText="1"/>
    </xf>
    <xf numFmtId="0" fontId="5" fillId="14" borderId="5" xfId="3" applyNumberFormat="1" applyFont="1" applyFill="1" applyBorder="1" applyAlignment="1">
      <alignment horizontal="center" vertical="top" wrapText="1"/>
    </xf>
    <xf numFmtId="0" fontId="5" fillId="3" borderId="5" xfId="3" applyNumberFormat="1" applyFont="1" applyFill="1" applyBorder="1" applyAlignment="1">
      <alignment vertical="top" wrapText="1"/>
    </xf>
    <xf numFmtId="3" fontId="5" fillId="2" borderId="5" xfId="3" applyNumberFormat="1" applyFont="1" applyFill="1" applyBorder="1" applyAlignment="1">
      <alignment vertical="top" wrapText="1"/>
    </xf>
    <xf numFmtId="1" fontId="16" fillId="0" borderId="5" xfId="0" applyNumberFormat="1" applyFont="1" applyFill="1" applyBorder="1" applyAlignment="1">
      <alignment horizontal="center" vertical="top"/>
    </xf>
    <xf numFmtId="3" fontId="5" fillId="14" borderId="7" xfId="3" applyNumberFormat="1" applyFont="1" applyFill="1" applyBorder="1" applyAlignment="1">
      <alignment vertical="top" wrapText="1"/>
    </xf>
    <xf numFmtId="3" fontId="5" fillId="2" borderId="3" xfId="3" applyNumberFormat="1" applyFont="1" applyFill="1" applyBorder="1" applyAlignment="1">
      <alignment vertical="top" wrapText="1"/>
    </xf>
    <xf numFmtId="176" fontId="16" fillId="2" borderId="0" xfId="3" applyNumberFormat="1" applyFont="1" applyFill="1" applyAlignment="1">
      <alignment horizontal="center" vertical="top"/>
    </xf>
    <xf numFmtId="0" fontId="16" fillId="0" borderId="5" xfId="0" applyFont="1" applyFill="1" applyBorder="1" applyAlignment="1">
      <alignment horizontal="center" vertical="top"/>
    </xf>
    <xf numFmtId="0" fontId="16" fillId="0" borderId="5" xfId="0" applyFont="1" applyFill="1" applyBorder="1" applyAlignment="1">
      <alignment horizontal="center" vertical="top" wrapText="1"/>
    </xf>
    <xf numFmtId="0" fontId="16" fillId="0" borderId="1" xfId="0" applyFont="1" applyFill="1" applyBorder="1" applyAlignment="1">
      <alignment horizontal="center" vertical="top"/>
    </xf>
    <xf numFmtId="0" fontId="2" fillId="0" borderId="5" xfId="3" applyNumberFormat="1" applyFont="1" applyFill="1" applyBorder="1" applyAlignment="1">
      <alignment horizontal="left" vertical="top" wrapText="1"/>
    </xf>
    <xf numFmtId="0" fontId="2" fillId="0" borderId="5" xfId="3" applyNumberFormat="1" applyFont="1" applyFill="1" applyBorder="1" applyAlignment="1">
      <alignment vertical="top"/>
    </xf>
    <xf numFmtId="0" fontId="2" fillId="0" borderId="5" xfId="3" applyNumberFormat="1" applyFont="1" applyFill="1" applyBorder="1" applyAlignment="1">
      <alignment horizontal="center" vertical="top" wrapText="1"/>
    </xf>
    <xf numFmtId="0" fontId="2" fillId="0" borderId="5" xfId="3" applyNumberFormat="1" applyFont="1" applyFill="1" applyBorder="1" applyAlignment="1">
      <alignment horizontal="center" vertical="top"/>
    </xf>
    <xf numFmtId="0" fontId="2" fillId="0" borderId="5" xfId="3" applyNumberFormat="1" applyFont="1" applyFill="1" applyBorder="1" applyAlignment="1">
      <alignment vertical="top" wrapText="1"/>
    </xf>
    <xf numFmtId="0" fontId="5" fillId="3" borderId="5" xfId="0" applyFont="1" applyFill="1" applyBorder="1" applyAlignment="1">
      <alignment horizontal="center" vertical="top" wrapText="1"/>
    </xf>
    <xf numFmtId="3" fontId="2" fillId="0" borderId="5" xfId="3" applyNumberFormat="1" applyFont="1" applyFill="1" applyBorder="1" applyAlignment="1">
      <alignment horizontal="center" vertical="top" wrapText="1"/>
    </xf>
    <xf numFmtId="0" fontId="46" fillId="3" borderId="5" xfId="0" applyFont="1" applyFill="1" applyBorder="1" applyAlignment="1">
      <alignment horizontal="center" vertical="center" wrapText="1"/>
    </xf>
    <xf numFmtId="0" fontId="74" fillId="5" borderId="5" xfId="3" applyNumberFormat="1" applyFont="1" applyFill="1" applyBorder="1" applyAlignment="1">
      <alignment horizontal="center" vertical="center" wrapText="1"/>
    </xf>
    <xf numFmtId="0" fontId="73" fillId="3" borderId="5" xfId="0" applyFont="1" applyFill="1" applyBorder="1" applyAlignment="1">
      <alignment horizontal="center" vertical="center" wrapText="1"/>
    </xf>
    <xf numFmtId="9" fontId="0" fillId="0" borderId="5" xfId="3" applyNumberFormat="1" applyFont="1" applyFill="1" applyBorder="1" applyAlignment="1">
      <alignment vertical="top"/>
    </xf>
    <xf numFmtId="3" fontId="25" fillId="0" borderId="5" xfId="0" applyNumberFormat="1" applyFont="1" applyBorder="1" applyAlignment="1">
      <alignment horizontal="right" vertical="top"/>
    </xf>
    <xf numFmtId="0" fontId="2" fillId="2" borderId="5" xfId="19" applyNumberFormat="1" applyFont="1" applyFill="1" applyBorder="1" applyAlignment="1">
      <alignment vertical="top" wrapText="1"/>
    </xf>
    <xf numFmtId="3" fontId="2" fillId="2" borderId="6" xfId="3" applyNumberFormat="1" applyFont="1" applyFill="1" applyBorder="1" applyAlignment="1">
      <alignment horizontal="center" vertical="top" wrapText="1"/>
    </xf>
    <xf numFmtId="3" fontId="2" fillId="2" borderId="6" xfId="3" applyNumberFormat="1" applyFont="1" applyFill="1" applyBorder="1" applyAlignment="1">
      <alignment horizontal="right" vertical="top" wrapText="1"/>
    </xf>
    <xf numFmtId="0" fontId="0" fillId="0" borderId="0" xfId="0" applyAlignment="1">
      <alignment wrapText="1"/>
    </xf>
    <xf numFmtId="0" fontId="25" fillId="0" borderId="5" xfId="0" applyFont="1" applyBorder="1" applyAlignment="1">
      <alignment horizontal="right" vertical="top"/>
    </xf>
    <xf numFmtId="4" fontId="25" fillId="0" borderId="5" xfId="0" applyNumberFormat="1" applyFont="1" applyBorder="1" applyAlignment="1">
      <alignment horizontal="right" vertical="top"/>
    </xf>
    <xf numFmtId="4" fontId="0" fillId="2" borderId="5" xfId="3" applyNumberFormat="1" applyFont="1" applyFill="1" applyBorder="1" applyAlignment="1">
      <alignment vertical="top"/>
    </xf>
    <xf numFmtId="42" fontId="0" fillId="0" borderId="0" xfId="16" applyFont="1" applyFill="1"/>
    <xf numFmtId="184" fontId="0" fillId="0" borderId="0" xfId="3" applyNumberFormat="1" applyFont="1"/>
    <xf numFmtId="42" fontId="2" fillId="0" borderId="5" xfId="16" applyFont="1" applyFill="1" applyBorder="1" applyAlignment="1">
      <alignment horizontal="right" vertical="top"/>
    </xf>
    <xf numFmtId="174" fontId="2" fillId="0" borderId="5" xfId="3" applyNumberFormat="1" applyFont="1" applyFill="1" applyBorder="1" applyAlignment="1">
      <alignment horizontal="center" vertical="top" wrapText="1"/>
    </xf>
    <xf numFmtId="4" fontId="2" fillId="0" borderId="5" xfId="3" applyNumberFormat="1" applyFont="1" applyFill="1" applyBorder="1" applyAlignment="1">
      <alignment horizontal="center" vertical="top" wrapText="1"/>
    </xf>
    <xf numFmtId="9" fontId="2" fillId="0" borderId="5" xfId="1" applyFont="1" applyFill="1" applyBorder="1" applyAlignment="1">
      <alignment horizontal="center" vertical="top" wrapText="1"/>
    </xf>
    <xf numFmtId="169" fontId="2" fillId="0" borderId="5" xfId="1" applyNumberFormat="1" applyFont="1" applyFill="1" applyBorder="1" applyAlignment="1">
      <alignment horizontal="center" vertical="top" wrapText="1"/>
    </xf>
    <xf numFmtId="42" fontId="2" fillId="0" borderId="5" xfId="16" applyFont="1" applyFill="1" applyBorder="1" applyAlignment="1">
      <alignment horizontal="center" vertical="top"/>
    </xf>
    <xf numFmtId="3" fontId="2" fillId="0" borderId="5" xfId="0" applyNumberFormat="1" applyFont="1" applyFill="1" applyBorder="1" applyAlignment="1">
      <alignment horizontal="center" vertical="top"/>
    </xf>
    <xf numFmtId="0" fontId="2" fillId="0" borderId="5" xfId="11" applyNumberFormat="1" applyFont="1" applyFill="1" applyBorder="1" applyAlignment="1">
      <alignment horizontal="center" vertical="top" wrapText="1"/>
    </xf>
    <xf numFmtId="3" fontId="2" fillId="0" borderId="5" xfId="0" applyNumberFormat="1" applyFont="1" applyFill="1" applyBorder="1" applyAlignment="1">
      <alignment horizontal="right" vertical="top" wrapText="1"/>
    </xf>
    <xf numFmtId="42" fontId="2" fillId="0" borderId="5" xfId="16" applyFont="1" applyFill="1" applyBorder="1" applyAlignment="1">
      <alignment horizontal="right" vertical="top" wrapText="1"/>
    </xf>
    <xf numFmtId="9" fontId="2" fillId="0" borderId="5" xfId="0" applyNumberFormat="1" applyFont="1" applyFill="1" applyBorder="1" applyAlignment="1">
      <alignment horizontal="center" vertical="top"/>
    </xf>
    <xf numFmtId="2" fontId="2" fillId="0" borderId="5" xfId="0" applyNumberFormat="1" applyFont="1" applyFill="1" applyBorder="1" applyAlignment="1">
      <alignment horizontal="center" vertical="top"/>
    </xf>
    <xf numFmtId="1" fontId="2" fillId="0" borderId="5" xfId="0" applyNumberFormat="1" applyFont="1" applyFill="1" applyBorder="1" applyAlignment="1">
      <alignment horizontal="center" vertical="top" wrapText="1"/>
    </xf>
    <xf numFmtId="9" fontId="2" fillId="0" borderId="5" xfId="0" applyNumberFormat="1" applyFont="1" applyFill="1" applyBorder="1" applyAlignment="1">
      <alignment horizontal="center" vertical="top" wrapText="1"/>
    </xf>
    <xf numFmtId="3" fontId="2" fillId="0" borderId="5" xfId="1" applyNumberFormat="1" applyFont="1" applyFill="1" applyBorder="1" applyAlignment="1">
      <alignment horizontal="center" vertical="top"/>
    </xf>
    <xf numFmtId="0" fontId="2" fillId="0" borderId="5" xfId="0" applyNumberFormat="1" applyFont="1" applyFill="1" applyBorder="1" applyAlignment="1">
      <alignment horizontal="center" vertical="top"/>
    </xf>
    <xf numFmtId="2" fontId="2" fillId="0" borderId="5" xfId="3" applyNumberFormat="1" applyFont="1" applyFill="1" applyBorder="1" applyAlignment="1">
      <alignment horizontal="center" vertical="top"/>
    </xf>
    <xf numFmtId="174" fontId="2" fillId="0" borderId="5" xfId="1" applyNumberFormat="1" applyFont="1" applyFill="1" applyBorder="1" applyAlignment="1">
      <alignment horizontal="center" vertical="top" wrapText="1"/>
    </xf>
    <xf numFmtId="1" fontId="2" fillId="0" borderId="5" xfId="3" applyNumberFormat="1" applyFont="1" applyFill="1" applyBorder="1" applyAlignment="1">
      <alignment horizontal="center" vertical="top" wrapText="1"/>
    </xf>
    <xf numFmtId="0" fontId="2" fillId="0" borderId="0" xfId="3" applyNumberFormat="1" applyFont="1" applyFill="1" applyAlignment="1">
      <alignment horizontal="center" vertical="top" wrapText="1"/>
    </xf>
    <xf numFmtId="4" fontId="2" fillId="0" borderId="5" xfId="3" applyNumberFormat="1" applyFont="1" applyFill="1" applyBorder="1" applyAlignment="1">
      <alignment horizontal="center" vertical="top"/>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3" fillId="5" borderId="1" xfId="3" applyNumberFormat="1" applyFont="1" applyFill="1" applyBorder="1" applyAlignment="1">
      <alignment horizontal="center" vertical="center" wrapText="1"/>
    </xf>
    <xf numFmtId="0" fontId="3" fillId="5" borderId="3" xfId="3" applyNumberFormat="1" applyFont="1" applyFill="1" applyBorder="1" applyAlignment="1">
      <alignment horizontal="center" vertical="center" wrapText="1"/>
    </xf>
    <xf numFmtId="0" fontId="5" fillId="3" borderId="1" xfId="0" applyFont="1" applyFill="1" applyBorder="1" applyAlignment="1">
      <alignment horizontal="justify" vertical="center"/>
    </xf>
    <xf numFmtId="0" fontId="5" fillId="3" borderId="3" xfId="0" applyFont="1" applyFill="1" applyBorder="1" applyAlignment="1">
      <alignment horizontal="justify"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0" borderId="5" xfId="3" applyNumberFormat="1" applyFont="1" applyFill="1" applyBorder="1" applyAlignment="1">
      <alignment horizontal="justify" vertical="center" wrapText="1"/>
    </xf>
    <xf numFmtId="0" fontId="2" fillId="0" borderId="5" xfId="3" applyNumberFormat="1" applyFont="1" applyFill="1" applyBorder="1" applyAlignment="1">
      <alignment horizontal="justify" vertical="center"/>
    </xf>
    <xf numFmtId="0" fontId="2" fillId="0" borderId="1" xfId="3" applyNumberFormat="1" applyFont="1" applyFill="1" applyBorder="1" applyAlignment="1">
      <alignment horizontal="justify" vertical="center" wrapText="1"/>
    </xf>
    <xf numFmtId="0" fontId="2" fillId="0" borderId="2" xfId="3" applyNumberFormat="1" applyFont="1" applyFill="1" applyBorder="1" applyAlignment="1">
      <alignment horizontal="justify" vertical="center" wrapText="1"/>
    </xf>
    <xf numFmtId="0" fontId="2" fillId="0" borderId="3" xfId="3" applyNumberFormat="1" applyFont="1" applyFill="1" applyBorder="1" applyAlignment="1">
      <alignment horizontal="justify" vertical="center" wrapText="1"/>
    </xf>
    <xf numFmtId="0" fontId="2" fillId="0" borderId="1" xfId="3" applyNumberFormat="1" applyFont="1" applyFill="1" applyBorder="1" applyAlignment="1">
      <alignment horizontal="justify" vertical="center"/>
    </xf>
    <xf numFmtId="0" fontId="2" fillId="0" borderId="2" xfId="3" applyNumberFormat="1" applyFont="1" applyFill="1" applyBorder="1" applyAlignment="1">
      <alignment horizontal="justify" vertical="center"/>
    </xf>
    <xf numFmtId="0" fontId="2" fillId="0" borderId="3" xfId="3" applyNumberFormat="1" applyFont="1" applyFill="1" applyBorder="1" applyAlignment="1">
      <alignment horizontal="justify"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7" fillId="0" borderId="0" xfId="0" applyFont="1" applyAlignment="1">
      <alignment horizontal="center" vertical="center"/>
    </xf>
    <xf numFmtId="0" fontId="3" fillId="3" borderId="1" xfId="3" applyNumberFormat="1" applyFont="1" applyFill="1" applyBorder="1" applyAlignment="1">
      <alignment horizontal="center" vertical="center" wrapText="1"/>
    </xf>
    <xf numFmtId="0" fontId="3" fillId="3" borderId="3" xfId="3" applyNumberFormat="1" applyFont="1" applyFill="1" applyBorder="1" applyAlignment="1">
      <alignment horizontal="center" vertical="center" wrapText="1"/>
    </xf>
    <xf numFmtId="0" fontId="14" fillId="0" borderId="0" xfId="0" applyFont="1" applyAlignment="1">
      <alignment horizontal="justify" vertical="center"/>
    </xf>
    <xf numFmtId="0" fontId="13" fillId="0" borderId="0" xfId="0" applyFont="1" applyAlignment="1">
      <alignment horizontal="justify" vertical="center"/>
    </xf>
    <xf numFmtId="0" fontId="0" fillId="0" borderId="0" xfId="0" applyAlignment="1">
      <alignment horizontal="justify" vertical="center"/>
    </xf>
    <xf numFmtId="0" fontId="13" fillId="0" borderId="0" xfId="0" applyFont="1" applyFill="1" applyAlignment="1">
      <alignment horizontal="justify" vertical="center"/>
    </xf>
    <xf numFmtId="0" fontId="0" fillId="0" borderId="0" xfId="0" applyFill="1" applyAlignment="1">
      <alignment horizontal="justify" vertical="center"/>
    </xf>
    <xf numFmtId="0" fontId="30" fillId="0" borderId="1" xfId="3" applyNumberFormat="1" applyFont="1" applyFill="1" applyBorder="1" applyAlignment="1">
      <alignment horizontal="center" vertical="top" wrapText="1"/>
    </xf>
    <xf numFmtId="0" fontId="30" fillId="0" borderId="2" xfId="3" applyNumberFormat="1" applyFont="1" applyFill="1" applyBorder="1" applyAlignment="1">
      <alignment horizontal="center" vertical="top" wrapText="1"/>
    </xf>
    <xf numFmtId="0" fontId="30" fillId="0" borderId="3" xfId="3" applyNumberFormat="1" applyFont="1" applyFill="1" applyBorder="1" applyAlignment="1">
      <alignment horizontal="center" vertical="top" wrapText="1"/>
    </xf>
    <xf numFmtId="0" fontId="30" fillId="0" borderId="5" xfId="3" applyNumberFormat="1" applyFont="1" applyFill="1" applyBorder="1" applyAlignment="1">
      <alignment horizontal="center" vertical="top" wrapText="1"/>
    </xf>
    <xf numFmtId="0" fontId="30" fillId="0" borderId="1" xfId="3" applyNumberFormat="1" applyFont="1" applyFill="1" applyBorder="1" applyAlignment="1">
      <alignment horizontal="left" vertical="top" wrapText="1"/>
    </xf>
    <xf numFmtId="0" fontId="30" fillId="0" borderId="2" xfId="3" applyNumberFormat="1" applyFont="1" applyFill="1" applyBorder="1" applyAlignment="1">
      <alignment horizontal="left" vertical="top" wrapText="1"/>
    </xf>
    <xf numFmtId="0" fontId="30" fillId="0" borderId="3" xfId="3"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3" applyNumberFormat="1" applyFont="1" applyFill="1" applyBorder="1" applyAlignment="1">
      <alignment horizontal="center" vertical="center" wrapText="1"/>
    </xf>
    <xf numFmtId="0" fontId="0" fillId="0" borderId="3" xfId="3" applyNumberFormat="1" applyFont="1" applyFill="1" applyBorder="1" applyAlignment="1">
      <alignment horizontal="center" vertical="center" wrapText="1"/>
    </xf>
    <xf numFmtId="0" fontId="0" fillId="0" borderId="1" xfId="3" applyNumberFormat="1" applyFont="1" applyFill="1" applyBorder="1" applyAlignment="1">
      <alignment horizontal="center" vertical="center"/>
    </xf>
    <xf numFmtId="0" fontId="0" fillId="0" borderId="3" xfId="3"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0" fontId="2" fillId="0" borderId="1" xfId="3" applyNumberFormat="1" applyFont="1" applyFill="1" applyBorder="1" applyAlignment="1">
      <alignment horizontal="center" vertical="top" wrapText="1"/>
    </xf>
    <xf numFmtId="0" fontId="2" fillId="0" borderId="3" xfId="3" applyNumberFormat="1" applyFont="1" applyFill="1" applyBorder="1" applyAlignment="1">
      <alignment horizontal="center" vertical="top" wrapText="1"/>
    </xf>
    <xf numFmtId="0" fontId="2" fillId="0" borderId="1" xfId="3" applyNumberFormat="1" applyFont="1" applyFill="1" applyBorder="1" applyAlignment="1">
      <alignment horizontal="center" vertical="center" wrapText="1"/>
    </xf>
    <xf numFmtId="0" fontId="2" fillId="0" borderId="3" xfId="3" applyNumberFormat="1" applyFont="1" applyFill="1" applyBorder="1" applyAlignment="1">
      <alignment horizontal="center" vertical="center" wrapText="1"/>
    </xf>
    <xf numFmtId="3" fontId="2" fillId="0" borderId="1" xfId="3" applyNumberFormat="1" applyFont="1" applyFill="1" applyBorder="1" applyAlignment="1">
      <alignment horizontal="center" vertical="center" wrapText="1"/>
    </xf>
    <xf numFmtId="3" fontId="2" fillId="0" borderId="3" xfId="3" applyNumberFormat="1" applyFont="1" applyFill="1" applyBorder="1" applyAlignment="1">
      <alignment horizontal="center" vertical="center" wrapText="1"/>
    </xf>
    <xf numFmtId="0" fontId="2" fillId="0" borderId="5" xfId="3" applyNumberFormat="1" applyFont="1" applyFill="1" applyBorder="1" applyAlignment="1">
      <alignment horizontal="left" vertical="top" wrapText="1"/>
    </xf>
    <xf numFmtId="0" fontId="2" fillId="0" borderId="5" xfId="3" applyNumberFormat="1" applyFont="1" applyFill="1" applyBorder="1" applyAlignment="1">
      <alignment vertical="top"/>
    </xf>
    <xf numFmtId="0" fontId="2" fillId="0" borderId="5" xfId="3" applyNumberFormat="1" applyFont="1" applyFill="1" applyBorder="1" applyAlignment="1">
      <alignment horizontal="center" vertical="top" wrapText="1"/>
    </xf>
    <xf numFmtId="0" fontId="2" fillId="0" borderId="5" xfId="3" applyNumberFormat="1" applyFont="1" applyFill="1" applyBorder="1" applyAlignment="1">
      <alignment horizontal="center" vertical="top"/>
    </xf>
    <xf numFmtId="0" fontId="2" fillId="0" borderId="5" xfId="3" applyNumberFormat="1" applyFont="1" applyFill="1" applyBorder="1" applyAlignment="1">
      <alignment horizontal="left" vertical="top"/>
    </xf>
    <xf numFmtId="0" fontId="2" fillId="0" borderId="2" xfId="3" applyNumberFormat="1" applyFont="1" applyFill="1" applyBorder="1" applyAlignment="1">
      <alignment horizontal="center" vertical="top" wrapText="1"/>
    </xf>
    <xf numFmtId="0" fontId="0" fillId="0" borderId="1" xfId="3" applyNumberFormat="1" applyFont="1" applyFill="1" applyBorder="1" applyAlignment="1">
      <alignment horizontal="left" vertical="center" wrapText="1"/>
    </xf>
    <xf numFmtId="0" fontId="0" fillId="0" borderId="3" xfId="3" applyNumberFormat="1"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1" fontId="0" fillId="0" borderId="1" xfId="3" applyNumberFormat="1" applyFont="1" applyFill="1" applyBorder="1" applyAlignment="1">
      <alignment horizontal="center" vertical="center"/>
    </xf>
    <xf numFmtId="1" fontId="0" fillId="0" borderId="3" xfId="3" applyNumberFormat="1" applyFont="1" applyFill="1" applyBorder="1" applyAlignment="1">
      <alignment horizontal="center" vertical="center"/>
    </xf>
    <xf numFmtId="0" fontId="2" fillId="5" borderId="1" xfId="3" applyNumberFormat="1" applyFont="1" applyFill="1" applyBorder="1" applyAlignment="1">
      <alignment horizontal="center" vertical="center" wrapText="1"/>
    </xf>
    <xf numFmtId="0" fontId="2" fillId="5" borderId="3" xfId="3" applyNumberFormat="1" applyFont="1" applyFill="1" applyBorder="1" applyAlignment="1">
      <alignment horizontal="center" vertical="center" wrapText="1"/>
    </xf>
    <xf numFmtId="0" fontId="2" fillId="3" borderId="1" xfId="3" applyNumberFormat="1" applyFont="1" applyFill="1" applyBorder="1" applyAlignment="1">
      <alignment horizontal="center" vertical="center" wrapText="1"/>
    </xf>
    <xf numFmtId="0" fontId="2" fillId="3" borderId="3" xfId="3"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Fill="1" applyAlignment="1">
      <alignment horizontal="center"/>
    </xf>
    <xf numFmtId="0" fontId="7" fillId="0" borderId="0" xfId="0" applyFont="1" applyAlignment="1">
      <alignment horizontal="center"/>
    </xf>
    <xf numFmtId="0" fontId="14" fillId="0" borderId="0" xfId="0" applyFont="1" applyAlignment="1">
      <alignment horizontal="left"/>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5" borderId="2" xfId="3" applyNumberFormat="1" applyFont="1" applyFill="1" applyBorder="1" applyAlignment="1">
      <alignment horizontal="center" vertical="center" wrapText="1"/>
    </xf>
    <xf numFmtId="0" fontId="2" fillId="2" borderId="5" xfId="3" applyNumberFormat="1" applyFont="1" applyFill="1" applyBorder="1" applyAlignment="1">
      <alignment horizontal="center" vertical="top" wrapText="1"/>
    </xf>
    <xf numFmtId="176" fontId="2" fillId="3" borderId="1" xfId="0" applyNumberFormat="1" applyFont="1" applyFill="1" applyBorder="1" applyAlignment="1">
      <alignment horizontal="center" vertical="center" wrapText="1"/>
    </xf>
    <xf numFmtId="176" fontId="2" fillId="3" borderId="3" xfId="0" applyNumberFormat="1" applyFont="1" applyFill="1" applyBorder="1" applyAlignment="1">
      <alignment horizontal="center" vertical="center" wrapText="1"/>
    </xf>
    <xf numFmtId="0" fontId="56" fillId="5" borderId="1" xfId="3" applyNumberFormat="1" applyFont="1" applyFill="1" applyBorder="1" applyAlignment="1">
      <alignment horizontal="center" vertical="center" wrapText="1"/>
    </xf>
    <xf numFmtId="0" fontId="56" fillId="5" borderId="2" xfId="3" applyNumberFormat="1" applyFont="1" applyFill="1" applyBorder="1" applyAlignment="1">
      <alignment horizontal="center" vertical="center" wrapText="1"/>
    </xf>
    <xf numFmtId="0" fontId="56" fillId="5" borderId="3" xfId="3" applyNumberFormat="1" applyFont="1" applyFill="1" applyBorder="1" applyAlignment="1">
      <alignment horizontal="center" vertical="center" wrapText="1"/>
    </xf>
    <xf numFmtId="0" fontId="2" fillId="2" borderId="5" xfId="3" applyNumberFormat="1" applyFont="1" applyFill="1" applyBorder="1" applyAlignment="1">
      <alignment horizontal="left" vertical="top"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wrapText="1"/>
    </xf>
    <xf numFmtId="0" fontId="46" fillId="5" borderId="1" xfId="3" applyNumberFormat="1" applyFont="1" applyFill="1" applyBorder="1" applyAlignment="1">
      <alignment horizontal="center" vertical="center" wrapText="1"/>
    </xf>
    <xf numFmtId="0" fontId="46" fillId="5" borderId="3" xfId="3" applyNumberFormat="1" applyFont="1" applyFill="1" applyBorder="1" applyAlignment="1">
      <alignment horizontal="center" vertical="center" wrapText="1"/>
    </xf>
    <xf numFmtId="0" fontId="2" fillId="2" borderId="1" xfId="3" applyNumberFormat="1" applyFont="1" applyFill="1" applyBorder="1" applyAlignment="1">
      <alignment horizontal="center" vertical="top" wrapText="1"/>
    </xf>
    <xf numFmtId="0" fontId="2" fillId="2" borderId="2" xfId="3" applyNumberFormat="1" applyFont="1" applyFill="1" applyBorder="1" applyAlignment="1">
      <alignment horizontal="center" vertical="top" wrapText="1"/>
    </xf>
    <xf numFmtId="0" fontId="2" fillId="2" borderId="3" xfId="3" applyNumberFormat="1" applyFont="1" applyFill="1" applyBorder="1" applyAlignment="1">
      <alignment horizontal="center" vertical="top" wrapText="1"/>
    </xf>
    <xf numFmtId="0" fontId="35" fillId="0" borderId="5" xfId="3" applyNumberFormat="1" applyFont="1" applyFill="1"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0" fontId="0" fillId="0" borderId="5" xfId="0" applyFill="1" applyBorder="1" applyAlignment="1">
      <alignment vertical="top" wrapText="1"/>
    </xf>
    <xf numFmtId="3" fontId="35" fillId="0" borderId="5" xfId="3" applyNumberFormat="1" applyFont="1" applyFill="1" applyBorder="1" applyAlignment="1">
      <alignment vertical="top" wrapText="1"/>
    </xf>
    <xf numFmtId="3" fontId="2" fillId="0" borderId="5" xfId="3" applyNumberFormat="1" applyFont="1" applyFill="1" applyBorder="1" applyAlignment="1">
      <alignment horizontal="center" vertical="top" wrapText="1"/>
    </xf>
    <xf numFmtId="0" fontId="8" fillId="3" borderId="5" xfId="0" applyFont="1" applyFill="1" applyBorder="1" applyAlignment="1">
      <alignment horizontal="center" vertical="top" wrapText="1"/>
    </xf>
    <xf numFmtId="0" fontId="5" fillId="3" borderId="5" xfId="0" applyFont="1" applyFill="1" applyBorder="1" applyAlignment="1">
      <alignment horizontal="center" vertical="top"/>
    </xf>
    <xf numFmtId="0" fontId="5" fillId="3" borderId="5" xfId="0" applyFont="1" applyFill="1" applyBorder="1" applyAlignment="1">
      <alignment horizontal="center" vertical="top" wrapText="1"/>
    </xf>
    <xf numFmtId="0" fontId="3" fillId="3" borderId="1" xfId="3" applyNumberFormat="1" applyFont="1" applyFill="1" applyBorder="1" applyAlignment="1">
      <alignment horizontal="center" vertical="top" wrapText="1"/>
    </xf>
    <xf numFmtId="0" fontId="3" fillId="3" borderId="3" xfId="3" applyNumberFormat="1" applyFont="1" applyFill="1" applyBorder="1" applyAlignment="1">
      <alignment horizontal="center" vertical="top" wrapText="1"/>
    </xf>
    <xf numFmtId="0" fontId="3" fillId="5" borderId="1" xfId="3" applyNumberFormat="1" applyFont="1" applyFill="1" applyBorder="1" applyAlignment="1">
      <alignment horizontal="center" vertical="top" wrapText="1"/>
    </xf>
    <xf numFmtId="0" fontId="3" fillId="5" borderId="3" xfId="3" applyNumberFormat="1" applyFont="1" applyFill="1" applyBorder="1" applyAlignment="1">
      <alignment horizontal="center" vertical="top" wrapText="1"/>
    </xf>
    <xf numFmtId="0" fontId="3" fillId="5" borderId="5" xfId="3" applyNumberFormat="1" applyFont="1" applyFill="1" applyBorder="1" applyAlignment="1">
      <alignment horizontal="center" vertical="top" wrapText="1"/>
    </xf>
    <xf numFmtId="0" fontId="14" fillId="0" borderId="0" xfId="0" applyFont="1" applyAlignment="1">
      <alignment horizontal="left" vertical="center"/>
    </xf>
    <xf numFmtId="0" fontId="2" fillId="0" borderId="5" xfId="3" applyNumberFormat="1" applyFont="1" applyFill="1" applyBorder="1" applyAlignment="1">
      <alignment horizontal="justify" vertical="top" wrapText="1"/>
    </xf>
    <xf numFmtId="0" fontId="2" fillId="0" borderId="5" xfId="3" applyNumberFormat="1" applyFont="1" applyFill="1" applyBorder="1" applyAlignment="1">
      <alignment vertical="top" wrapText="1"/>
    </xf>
    <xf numFmtId="0" fontId="2" fillId="0" borderId="1" xfId="3" applyNumberFormat="1" applyFont="1" applyFill="1" applyBorder="1" applyAlignment="1">
      <alignment horizontal="center" vertical="top"/>
    </xf>
    <xf numFmtId="0" fontId="2" fillId="0" borderId="3" xfId="3" applyNumberFormat="1" applyFont="1" applyFill="1" applyBorder="1" applyAlignment="1">
      <alignment horizontal="center" vertical="top"/>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6" fontId="40" fillId="0" borderId="1" xfId="3" applyNumberFormat="1" applyFont="1" applyFill="1" applyBorder="1" applyAlignment="1">
      <alignment horizontal="center" vertical="top"/>
    </xf>
    <xf numFmtId="6" fontId="40" fillId="0" borderId="2" xfId="3" applyNumberFormat="1" applyFont="1" applyFill="1" applyBorder="1" applyAlignment="1">
      <alignment horizontal="center" vertical="top"/>
    </xf>
    <xf numFmtId="6" fontId="40" fillId="0" borderId="3" xfId="3" applyNumberFormat="1" applyFont="1" applyFill="1" applyBorder="1" applyAlignment="1">
      <alignment horizontal="center" vertical="top"/>
    </xf>
    <xf numFmtId="0" fontId="40" fillId="0" borderId="1" xfId="3" applyNumberFormat="1" applyFont="1" applyFill="1" applyBorder="1" applyAlignment="1">
      <alignment horizontal="center" vertical="top" wrapText="1"/>
    </xf>
    <xf numFmtId="0" fontId="40" fillId="0" borderId="3" xfId="3" applyNumberFormat="1" applyFont="1" applyFill="1" applyBorder="1" applyAlignment="1">
      <alignment horizontal="center" vertical="top" wrapText="1"/>
    </xf>
    <xf numFmtId="0" fontId="40" fillId="0" borderId="1" xfId="3" applyNumberFormat="1" applyFont="1" applyFill="1" applyBorder="1" applyAlignment="1">
      <alignment horizontal="center" vertical="top"/>
    </xf>
    <xf numFmtId="0" fontId="40" fillId="0" borderId="3" xfId="3" applyNumberFormat="1" applyFont="1" applyFill="1" applyBorder="1" applyAlignment="1">
      <alignment horizontal="center" vertical="top"/>
    </xf>
    <xf numFmtId="3" fontId="25" fillId="0" borderId="1" xfId="0" applyNumberFormat="1" applyFont="1" applyFill="1" applyBorder="1" applyAlignment="1">
      <alignment horizontal="center" vertical="top"/>
    </xf>
    <xf numFmtId="3" fontId="25" fillId="0" borderId="3" xfId="0" applyNumberFormat="1" applyFont="1" applyFill="1" applyBorder="1" applyAlignment="1">
      <alignment horizontal="center" vertical="top"/>
    </xf>
    <xf numFmtId="3" fontId="40" fillId="0" borderId="1" xfId="3" applyNumberFormat="1" applyFont="1" applyFill="1" applyBorder="1" applyAlignment="1">
      <alignment horizontal="center" vertical="top" wrapText="1"/>
    </xf>
    <xf numFmtId="3" fontId="40" fillId="0" borderId="3" xfId="3" applyNumberFormat="1" applyFont="1" applyFill="1" applyBorder="1" applyAlignment="1">
      <alignment horizontal="center"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3" xfId="3" applyNumberFormat="1" applyFont="1" applyFill="1" applyBorder="1" applyAlignment="1">
      <alignment horizontal="left" vertical="top" wrapText="1"/>
    </xf>
    <xf numFmtId="0" fontId="2" fillId="0" borderId="2" xfId="3" applyNumberFormat="1" applyFont="1" applyFill="1" applyBorder="1" applyAlignment="1">
      <alignment horizontal="center" vertical="top"/>
    </xf>
    <xf numFmtId="0" fontId="46" fillId="4" borderId="1"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7" fillId="0" borderId="5" xfId="3" applyNumberFormat="1" applyFont="1" applyFill="1" applyBorder="1" applyAlignment="1">
      <alignment horizontal="center" vertical="top" wrapText="1"/>
    </xf>
    <xf numFmtId="0" fontId="30" fillId="0" borderId="5" xfId="3" applyNumberFormat="1" applyFont="1" applyFill="1" applyBorder="1" applyAlignment="1">
      <alignment horizontal="left" vertical="top" wrapText="1"/>
    </xf>
    <xf numFmtId="0" fontId="47" fillId="0" borderId="1" xfId="3" applyNumberFormat="1" applyFont="1" applyFill="1" applyBorder="1" applyAlignment="1">
      <alignment horizontal="center" vertical="top" wrapText="1"/>
    </xf>
    <xf numFmtId="0" fontId="47" fillId="0" borderId="2" xfId="3" applyNumberFormat="1" applyFont="1" applyFill="1" applyBorder="1" applyAlignment="1">
      <alignment horizontal="center" vertical="top" wrapText="1"/>
    </xf>
    <xf numFmtId="0" fontId="47" fillId="0" borderId="3" xfId="3" applyNumberFormat="1" applyFont="1" applyFill="1" applyBorder="1" applyAlignment="1">
      <alignment horizontal="center" vertical="top"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56" fillId="0" borderId="0" xfId="0" applyFont="1" applyAlignment="1">
      <alignment horizontal="center" vertical="top"/>
    </xf>
    <xf numFmtId="0" fontId="20" fillId="0" borderId="0" xfId="0" applyFont="1" applyAlignment="1">
      <alignment horizontal="center" vertical="top"/>
    </xf>
    <xf numFmtId="0" fontId="20" fillId="0" borderId="0" xfId="0" applyFont="1" applyAlignment="1">
      <alignment horizontal="left" vertical="top"/>
    </xf>
    <xf numFmtId="0" fontId="56" fillId="3" borderId="1" xfId="3" applyNumberFormat="1" applyFont="1" applyFill="1" applyBorder="1" applyAlignment="1">
      <alignment horizontal="center" vertical="center" wrapText="1"/>
    </xf>
    <xf numFmtId="0" fontId="56" fillId="3" borderId="3" xfId="3" applyNumberFormat="1"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57" fillId="3" borderId="3"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3" xfId="0" applyFont="1" applyFill="1" applyBorder="1" applyAlignment="1">
      <alignment horizontal="center" vertical="center"/>
    </xf>
    <xf numFmtId="0" fontId="20" fillId="2" borderId="1" xfId="3" applyNumberFormat="1" applyFont="1" applyFill="1" applyBorder="1" applyAlignment="1">
      <alignment horizontal="left" vertical="top" wrapText="1"/>
    </xf>
    <xf numFmtId="0" fontId="20" fillId="2" borderId="2" xfId="3" applyNumberFormat="1" applyFont="1" applyFill="1" applyBorder="1" applyAlignment="1">
      <alignment horizontal="left" vertical="top" wrapText="1"/>
    </xf>
    <xf numFmtId="0" fontId="20" fillId="2" borderId="3" xfId="3" applyNumberFormat="1" applyFont="1" applyFill="1" applyBorder="1" applyAlignment="1">
      <alignment horizontal="left" vertical="top" wrapText="1"/>
    </xf>
    <xf numFmtId="0" fontId="20" fillId="2" borderId="5" xfId="3" applyNumberFormat="1" applyFont="1" applyFill="1" applyBorder="1" applyAlignment="1">
      <alignment horizontal="left" vertical="top" wrapText="1"/>
    </xf>
    <xf numFmtId="0" fontId="57" fillId="3" borderId="6"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20" fillId="2" borderId="1" xfId="3" applyNumberFormat="1" applyFont="1" applyFill="1" applyBorder="1" applyAlignment="1">
      <alignment horizontal="left" vertical="top"/>
    </xf>
    <xf numFmtId="0" fontId="20" fillId="2" borderId="2" xfId="3" applyNumberFormat="1" applyFont="1" applyFill="1" applyBorder="1" applyAlignment="1">
      <alignment horizontal="left" vertical="top"/>
    </xf>
    <xf numFmtId="0" fontId="20" fillId="2" borderId="3" xfId="3" applyNumberFormat="1" applyFont="1" applyFill="1" applyBorder="1" applyAlignment="1">
      <alignment horizontal="left" vertical="top"/>
    </xf>
    <xf numFmtId="42" fontId="5" fillId="3" borderId="1" xfId="16" applyFont="1" applyFill="1" applyBorder="1" applyAlignment="1">
      <alignment horizontal="center" vertical="center" wrapText="1"/>
    </xf>
    <xf numFmtId="42" fontId="5" fillId="3" borderId="3" xfId="16" applyFont="1" applyFill="1" applyBorder="1" applyAlignment="1">
      <alignment horizontal="center" vertical="center" wrapText="1"/>
    </xf>
    <xf numFmtId="0" fontId="73" fillId="3" borderId="5" xfId="0" applyFont="1" applyFill="1" applyBorder="1" applyAlignment="1">
      <alignment horizontal="center" vertical="center" wrapText="1"/>
    </xf>
    <xf numFmtId="0" fontId="46" fillId="3" borderId="5" xfId="0" applyFont="1" applyFill="1" applyBorder="1" applyAlignment="1">
      <alignment horizontal="center" vertical="center"/>
    </xf>
    <xf numFmtId="0" fontId="76" fillId="3" borderId="5" xfId="0" applyFont="1" applyFill="1" applyBorder="1" applyAlignment="1">
      <alignment horizontal="center" vertical="center"/>
    </xf>
    <xf numFmtId="0" fontId="46" fillId="3" borderId="5"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76" fillId="3"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16" fillId="4" borderId="5" xfId="0" applyFont="1" applyFill="1" applyBorder="1" applyAlignment="1">
      <alignment horizontal="center" vertical="center"/>
    </xf>
    <xf numFmtId="0" fontId="2" fillId="2" borderId="5" xfId="3" applyNumberFormat="1" applyFont="1" applyFill="1" applyBorder="1" applyAlignment="1">
      <alignment horizontal="center" vertical="top"/>
    </xf>
    <xf numFmtId="0" fontId="5"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1" xfId="3" applyNumberFormat="1" applyFont="1" applyFill="1" applyBorder="1" applyAlignment="1">
      <alignment horizontal="center" vertical="top" wrapText="1"/>
    </xf>
    <xf numFmtId="0" fontId="2" fillId="5" borderId="1" xfId="3"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4" xfId="0" applyFont="1" applyFill="1" applyBorder="1" applyAlignment="1">
      <alignment horizontal="center" vertical="top" wrapText="1"/>
    </xf>
    <xf numFmtId="42" fontId="5" fillId="3" borderId="1" xfId="16"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4" xfId="0" applyFont="1" applyFill="1" applyBorder="1" applyAlignment="1">
      <alignment horizontal="center" vertical="top" wrapText="1"/>
    </xf>
    <xf numFmtId="0" fontId="8" fillId="4" borderId="1" xfId="0" applyFont="1" applyFill="1" applyBorder="1" applyAlignment="1">
      <alignment horizontal="center" vertical="top" wrapText="1"/>
    </xf>
    <xf numFmtId="0" fontId="5" fillId="4" borderId="1" xfId="0" applyFont="1" applyFill="1" applyBorder="1" applyAlignment="1">
      <alignment horizontal="center" vertical="top"/>
    </xf>
    <xf numFmtId="0" fontId="2" fillId="3" borderId="3" xfId="3" applyNumberFormat="1" applyFont="1" applyFill="1" applyBorder="1" applyAlignment="1">
      <alignment horizontal="center" vertical="top" wrapText="1"/>
    </xf>
    <xf numFmtId="0" fontId="2" fillId="5" borderId="3" xfId="3"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42" fontId="5" fillId="3" borderId="3" xfId="16" applyFont="1" applyFill="1" applyBorder="1" applyAlignment="1">
      <alignment horizontal="center" vertical="top" wrapText="1"/>
    </xf>
    <xf numFmtId="184" fontId="9" fillId="5" borderId="5" xfId="3" applyNumberFormat="1" applyFont="1" applyFill="1" applyBorder="1" applyAlignment="1">
      <alignment horizontal="center" vertical="top" wrapText="1"/>
    </xf>
    <xf numFmtId="0" fontId="5"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4" borderId="3" xfId="0" applyFont="1" applyFill="1" applyBorder="1" applyAlignment="1">
      <alignment horizontal="center" vertical="top"/>
    </xf>
    <xf numFmtId="0" fontId="2" fillId="0" borderId="5" xfId="11" applyNumberFormat="1" applyFont="1" applyFill="1" applyBorder="1" applyAlignment="1">
      <alignment horizontal="left" vertical="top" wrapText="1"/>
    </xf>
    <xf numFmtId="0" fontId="2" fillId="0" borderId="0" xfId="3" applyNumberFormat="1" applyFont="1" applyFill="1" applyAlignment="1">
      <alignment horizontal="left" vertical="top" wrapText="1"/>
    </xf>
    <xf numFmtId="0" fontId="2" fillId="0" borderId="5" xfId="11" applyNumberFormat="1" applyFont="1" applyFill="1" applyBorder="1" applyAlignment="1">
      <alignment vertical="top" wrapText="1"/>
    </xf>
    <xf numFmtId="0" fontId="5" fillId="0" borderId="5" xfId="0" applyFont="1" applyFill="1" applyBorder="1" applyAlignment="1">
      <alignment vertical="top" wrapText="1"/>
    </xf>
    <xf numFmtId="0" fontId="2" fillId="0" borderId="5" xfId="0" applyFont="1" applyFill="1" applyBorder="1" applyAlignment="1">
      <alignment vertical="top" wrapText="1"/>
    </xf>
    <xf numFmtId="169" fontId="2" fillId="0" borderId="5" xfId="3" applyNumberFormat="1" applyFont="1" applyFill="1" applyBorder="1" applyAlignment="1">
      <alignment horizontal="center" vertical="top"/>
    </xf>
    <xf numFmtId="10" fontId="2" fillId="0" borderId="5" xfId="3" applyNumberFormat="1" applyFont="1" applyFill="1" applyBorder="1" applyAlignment="1">
      <alignment horizontal="center" vertical="top"/>
    </xf>
    <xf numFmtId="170" fontId="2" fillId="0" borderId="5" xfId="3" applyNumberFormat="1" applyFont="1" applyFill="1" applyBorder="1" applyAlignment="1">
      <alignment horizontal="center" vertical="top"/>
    </xf>
    <xf numFmtId="0" fontId="81" fillId="0" borderId="0" xfId="0" applyFont="1" applyFill="1" applyAlignment="1">
      <alignment horizontal="center" vertical="top" wrapText="1"/>
    </xf>
    <xf numFmtId="0" fontId="2" fillId="0" borderId="26" xfId="0" applyFont="1" applyFill="1" applyBorder="1" applyAlignment="1">
      <alignment horizontal="justify" vertical="top" wrapText="1"/>
    </xf>
    <xf numFmtId="0" fontId="80" fillId="0" borderId="26"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5" fillId="0" borderId="28" xfId="0" applyFont="1" applyFill="1" applyBorder="1" applyAlignment="1">
      <alignment vertical="top" wrapText="1"/>
    </xf>
    <xf numFmtId="0" fontId="2" fillId="0" borderId="28" xfId="0" applyFont="1" applyFill="1" applyBorder="1" applyAlignment="1">
      <alignment vertical="top" wrapText="1"/>
    </xf>
    <xf numFmtId="0" fontId="82" fillId="0" borderId="0" xfId="0" applyFont="1" applyFill="1" applyAlignment="1">
      <alignment horizontal="justify" vertical="top"/>
    </xf>
    <xf numFmtId="0" fontId="80" fillId="0" borderId="28" xfId="0" applyFont="1" applyFill="1" applyBorder="1" applyAlignment="1">
      <alignment vertical="top" wrapText="1"/>
    </xf>
  </cellXfs>
  <cellStyles count="20">
    <cellStyle name="Énfasis5" xfId="17" builtinId="45"/>
    <cellStyle name="Hipervínculo" xfId="19" builtinId="8"/>
    <cellStyle name="Millares" xfId="3" builtinId="3"/>
    <cellStyle name="Millares [0]" xfId="10" builtinId="6"/>
    <cellStyle name="Millares 2" xfId="9"/>
    <cellStyle name="Millares 3" xfId="12"/>
    <cellStyle name="Millares 3 2" xfId="13"/>
    <cellStyle name="Millares 5" xfId="11"/>
    <cellStyle name="Moneda" xfId="15" builtinId="4"/>
    <cellStyle name="Moneda [0]" xfId="16" builtinId="7"/>
    <cellStyle name="Moneda [0] 2" xfId="4"/>
    <cellStyle name="Moneda 2" xfId="5"/>
    <cellStyle name="Moneda 3" xfId="8"/>
    <cellStyle name="Moneda 4" xfId="7"/>
    <cellStyle name="Normal" xfId="0" builtinId="0"/>
    <cellStyle name="Normal 14" xfId="6"/>
    <cellStyle name="Normal 2" xfId="2"/>
    <cellStyle name="Normal 3" xfId="14"/>
    <cellStyle name="Normal 3 2" xfId="18"/>
    <cellStyle name="Porcentaje" xfId="1" builtinId="5"/>
  </cellStyles>
  <dxfs count="3">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colors>
    <mruColors>
      <color rgb="FFFFFF00"/>
      <color rgb="FFFFFFCC"/>
      <color rgb="FFFDC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3.bin"/><Relationship Id="rId1" Type="http://schemas.openxmlformats.org/officeDocument/2006/relationships/hyperlink" Target="mailto:Secretari@%20de%20Hacienda,%20Jefe%20Oficina%20de%20Presupeusto" TargetMode="External"/><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52"/>
  <sheetViews>
    <sheetView tabSelected="1" zoomScale="70" zoomScaleNormal="70" workbookViewId="0">
      <selection activeCell="B17" sqref="B17"/>
    </sheetView>
  </sheetViews>
  <sheetFormatPr baseColWidth="10" defaultColWidth="11.42578125" defaultRowHeight="51.75" customHeight="1" x14ac:dyDescent="0.25"/>
  <cols>
    <col min="1" max="1" width="19.5703125" style="15" customWidth="1"/>
    <col min="2" max="2" width="25.42578125" style="15" customWidth="1"/>
    <col min="3" max="3" width="27.140625" style="15" customWidth="1"/>
    <col min="4" max="4" width="22.140625" style="15" customWidth="1"/>
    <col min="5" max="5" width="20" style="15" customWidth="1"/>
    <col min="6" max="6" width="24" style="15" customWidth="1"/>
    <col min="7" max="7" width="45.7109375" style="15" customWidth="1"/>
    <col min="8" max="8" width="57.85546875" style="15" customWidth="1"/>
    <col min="9" max="9" width="42.42578125" style="15" customWidth="1"/>
    <col min="10" max="12" width="19.42578125" style="15" customWidth="1"/>
    <col min="13" max="13" width="27.85546875" style="14" customWidth="1"/>
    <col min="14" max="14" width="42.5703125" style="14" customWidth="1"/>
    <col min="15" max="15" width="18.7109375" style="14" customWidth="1"/>
    <col min="16" max="16" width="20.42578125" style="14" customWidth="1"/>
    <col min="17" max="17" width="15.85546875" style="14" customWidth="1"/>
    <col min="18" max="18" width="18.42578125" style="14" customWidth="1"/>
    <col min="19" max="20" width="11.42578125" style="14"/>
    <col min="21" max="21" width="19.85546875" style="14" customWidth="1"/>
    <col min="22" max="22" width="18.5703125" style="14" customWidth="1"/>
    <col min="23" max="23" width="20.85546875" style="14" customWidth="1"/>
    <col min="24" max="27" width="11.42578125" style="14"/>
    <col min="28" max="28" width="18.140625" style="14" customWidth="1"/>
    <col min="29" max="32" width="11.42578125" style="14"/>
    <col min="33" max="33" width="13.5703125" style="14" customWidth="1"/>
    <col min="34" max="34" width="18.85546875" style="14" customWidth="1"/>
    <col min="35" max="35" width="58.5703125" style="14" customWidth="1"/>
    <col min="36" max="36" width="27" style="14" customWidth="1"/>
    <col min="37" max="37" width="19.42578125" style="14" customWidth="1"/>
    <col min="38" max="38" width="20.42578125" style="14" customWidth="1"/>
    <col min="39" max="39" width="21" style="14" customWidth="1"/>
    <col min="40" max="51" width="6.7109375" style="14" customWidth="1"/>
    <col min="52" max="52" width="13.7109375" style="14" customWidth="1"/>
    <col min="53" max="53" width="15.5703125" style="14" customWidth="1"/>
    <col min="54" max="16384" width="11.42578125" style="14"/>
  </cols>
  <sheetData>
    <row r="1" spans="1:53" ht="24.75" customHeight="1" x14ac:dyDescent="0.25">
      <c r="A1" s="911" t="s">
        <v>481</v>
      </c>
      <c r="B1" s="911"/>
      <c r="C1" s="911"/>
      <c r="D1" s="911"/>
      <c r="E1" s="911"/>
      <c r="F1" s="911"/>
      <c r="G1" s="911"/>
      <c r="H1" s="911"/>
      <c r="I1" s="911"/>
      <c r="J1" s="911"/>
      <c r="K1" s="911"/>
      <c r="L1" s="911"/>
    </row>
    <row r="2" spans="1:53" ht="28.5" customHeight="1" x14ac:dyDescent="0.25">
      <c r="A2" s="912" t="s">
        <v>482</v>
      </c>
      <c r="B2" s="912"/>
      <c r="C2" s="912"/>
      <c r="D2" s="912"/>
      <c r="E2" s="912"/>
      <c r="F2" s="912"/>
      <c r="G2" s="912"/>
      <c r="H2" s="912"/>
      <c r="I2" s="912"/>
      <c r="J2" s="912"/>
      <c r="K2" s="912"/>
      <c r="L2" s="912"/>
    </row>
    <row r="3" spans="1:53" ht="17.25" customHeight="1" x14ac:dyDescent="0.25">
      <c r="A3" s="90"/>
      <c r="B3" s="91"/>
      <c r="C3" s="91"/>
      <c r="D3" s="91"/>
      <c r="E3" s="91"/>
      <c r="F3" s="91"/>
      <c r="G3" s="91"/>
      <c r="H3" s="91"/>
      <c r="I3" s="91"/>
      <c r="J3" s="91"/>
      <c r="K3" s="91"/>
      <c r="L3" s="91"/>
    </row>
    <row r="4" spans="1:53" ht="37.5" customHeight="1" x14ac:dyDescent="0.25">
      <c r="A4" s="913" t="s">
        <v>483</v>
      </c>
      <c r="B4" s="913"/>
      <c r="C4" s="913"/>
      <c r="D4" s="913"/>
      <c r="E4" s="913"/>
      <c r="F4" s="913"/>
      <c r="G4" s="913"/>
      <c r="H4" s="913"/>
      <c r="I4" s="913"/>
      <c r="J4" s="913"/>
      <c r="K4" s="913"/>
      <c r="L4" s="913"/>
    </row>
    <row r="5" spans="1:53" ht="30" customHeight="1" x14ac:dyDescent="0.25">
      <c r="A5" s="911" t="s">
        <v>528</v>
      </c>
      <c r="B5" s="911"/>
      <c r="C5" s="911"/>
      <c r="D5" s="911"/>
      <c r="E5" s="911"/>
      <c r="F5" s="911"/>
      <c r="G5" s="911"/>
      <c r="H5" s="911"/>
      <c r="I5" s="911"/>
      <c r="J5" s="911"/>
      <c r="K5" s="911"/>
      <c r="L5" s="911"/>
    </row>
    <row r="6" spans="1:53" ht="37.5" customHeight="1" x14ac:dyDescent="0.25">
      <c r="A6" s="92"/>
      <c r="B6" s="92"/>
      <c r="C6" s="92"/>
      <c r="D6" s="92"/>
      <c r="E6" s="92"/>
      <c r="F6" s="92"/>
      <c r="G6" s="92"/>
      <c r="H6" s="92"/>
      <c r="I6" s="92"/>
      <c r="J6" s="92"/>
      <c r="K6" s="92"/>
      <c r="L6" s="92"/>
    </row>
    <row r="7" spans="1:53" ht="38.25" customHeight="1" x14ac:dyDescent="0.25">
      <c r="A7" s="916" t="s">
        <v>547</v>
      </c>
      <c r="B7" s="916"/>
      <c r="C7" s="916"/>
      <c r="D7" s="916"/>
      <c r="E7" s="916"/>
      <c r="F7" s="916"/>
      <c r="G7" s="916"/>
      <c r="H7" s="916"/>
      <c r="I7" s="916"/>
      <c r="J7" s="916"/>
      <c r="K7" s="916"/>
      <c r="L7" s="916"/>
      <c r="M7" s="916"/>
    </row>
    <row r="8" spans="1:53" ht="21.75" customHeight="1" x14ac:dyDescent="0.25">
      <c r="A8" s="17"/>
      <c r="B8" s="17"/>
      <c r="C8" s="17"/>
      <c r="D8" s="17"/>
      <c r="E8" s="17"/>
      <c r="F8" s="16"/>
      <c r="G8" s="16"/>
      <c r="H8" s="16"/>
      <c r="I8" s="16"/>
      <c r="J8" s="16"/>
      <c r="K8" s="16"/>
      <c r="L8" s="16"/>
      <c r="M8" s="16"/>
    </row>
    <row r="9" spans="1:53" ht="17.25" hidden="1" customHeight="1" x14ac:dyDescent="0.25">
      <c r="A9" s="916" t="s">
        <v>548</v>
      </c>
      <c r="B9" s="916"/>
      <c r="C9" s="916"/>
      <c r="D9" s="916"/>
      <c r="E9" s="916"/>
      <c r="F9" s="916"/>
      <c r="G9" s="916"/>
      <c r="H9" s="916"/>
      <c r="I9" s="916"/>
      <c r="J9" s="916"/>
      <c r="K9" s="916"/>
      <c r="L9" s="916"/>
      <c r="M9" s="916"/>
    </row>
    <row r="10" spans="1:53" ht="10.5" hidden="1" customHeight="1" x14ac:dyDescent="0.25">
      <c r="A10" s="16"/>
      <c r="B10" s="16"/>
      <c r="C10" s="16"/>
      <c r="D10" s="16"/>
      <c r="E10" s="16"/>
      <c r="F10" s="16"/>
      <c r="G10" s="16"/>
      <c r="H10" s="16"/>
      <c r="I10" s="16"/>
      <c r="J10" s="16"/>
      <c r="K10" s="16"/>
      <c r="L10" s="16"/>
    </row>
    <row r="11" spans="1:53" ht="14.25" hidden="1" customHeight="1" x14ac:dyDescent="0.25"/>
    <row r="12" spans="1:53" ht="51.75" customHeight="1" x14ac:dyDescent="0.25">
      <c r="A12" s="914" t="s">
        <v>62</v>
      </c>
      <c r="B12" s="914" t="s">
        <v>63</v>
      </c>
      <c r="C12" s="894" t="s">
        <v>0</v>
      </c>
      <c r="D12" s="894" t="s">
        <v>1</v>
      </c>
      <c r="E12" s="894" t="s">
        <v>2</v>
      </c>
      <c r="F12" s="894" t="s">
        <v>3</v>
      </c>
      <c r="G12" s="894" t="s">
        <v>64</v>
      </c>
      <c r="H12" s="894" t="s">
        <v>65</v>
      </c>
      <c r="I12" s="894" t="s">
        <v>66</v>
      </c>
      <c r="J12" s="894" t="s">
        <v>67</v>
      </c>
      <c r="K12" s="894" t="s">
        <v>480</v>
      </c>
      <c r="L12" s="894" t="s">
        <v>521</v>
      </c>
      <c r="M12" s="889" t="s">
        <v>529</v>
      </c>
      <c r="N12" s="891" t="s">
        <v>66</v>
      </c>
      <c r="O12" s="893"/>
      <c r="P12" s="889" t="s">
        <v>532</v>
      </c>
      <c r="Q12" s="891" t="s">
        <v>484</v>
      </c>
      <c r="R12" s="892"/>
      <c r="S12" s="892"/>
      <c r="T12" s="892"/>
      <c r="U12" s="892"/>
      <c r="V12" s="892"/>
      <c r="W12" s="892"/>
      <c r="X12" s="892"/>
      <c r="Y12" s="892"/>
      <c r="Z12" s="892"/>
      <c r="AA12" s="892"/>
      <c r="AB12" s="892"/>
      <c r="AC12" s="892"/>
      <c r="AD12" s="892"/>
      <c r="AE12" s="892"/>
      <c r="AF12" s="893"/>
      <c r="AG12" s="889" t="s">
        <v>485</v>
      </c>
      <c r="AH12" s="889" t="s">
        <v>531</v>
      </c>
      <c r="AI12" s="889" t="s">
        <v>562</v>
      </c>
      <c r="AJ12" s="889" t="s">
        <v>511</v>
      </c>
      <c r="AK12" s="889" t="s">
        <v>486</v>
      </c>
      <c r="AL12" s="889" t="s">
        <v>535</v>
      </c>
      <c r="AM12" s="889" t="s">
        <v>487</v>
      </c>
      <c r="AN12" s="900" t="s">
        <v>524</v>
      </c>
      <c r="AO12" s="901"/>
      <c r="AP12" s="901"/>
      <c r="AQ12" s="901"/>
      <c r="AR12" s="901"/>
      <c r="AS12" s="901"/>
      <c r="AT12" s="901"/>
      <c r="AU12" s="901"/>
      <c r="AV12" s="901"/>
      <c r="AW12" s="901"/>
      <c r="AX12" s="901"/>
      <c r="AY12" s="902"/>
      <c r="AZ12" s="898" t="s">
        <v>512</v>
      </c>
      <c r="BA12" s="896" t="s">
        <v>488</v>
      </c>
    </row>
    <row r="13" spans="1:53" ht="63.75" customHeight="1" thickBot="1" x14ac:dyDescent="0.3">
      <c r="A13" s="915"/>
      <c r="B13" s="915"/>
      <c r="C13" s="895"/>
      <c r="D13" s="895"/>
      <c r="E13" s="895"/>
      <c r="F13" s="895"/>
      <c r="G13" s="895"/>
      <c r="H13" s="895"/>
      <c r="I13" s="895"/>
      <c r="J13" s="895"/>
      <c r="K13" s="895"/>
      <c r="L13" s="895"/>
      <c r="M13" s="890"/>
      <c r="N13" s="93" t="s">
        <v>489</v>
      </c>
      <c r="O13" s="93" t="s">
        <v>530</v>
      </c>
      <c r="P13" s="890"/>
      <c r="Q13" s="94" t="s">
        <v>490</v>
      </c>
      <c r="R13" s="94" t="s">
        <v>533</v>
      </c>
      <c r="S13" s="94" t="s">
        <v>491</v>
      </c>
      <c r="T13" s="94" t="s">
        <v>492</v>
      </c>
      <c r="U13" s="94" t="s">
        <v>522</v>
      </c>
      <c r="V13" s="94" t="s">
        <v>493</v>
      </c>
      <c r="W13" s="94" t="s">
        <v>494</v>
      </c>
      <c r="X13" s="94" t="s">
        <v>495</v>
      </c>
      <c r="Y13" s="94" t="s">
        <v>496</v>
      </c>
      <c r="Z13" s="94" t="s">
        <v>497</v>
      </c>
      <c r="AA13" s="94" t="s">
        <v>523</v>
      </c>
      <c r="AB13" s="94" t="s">
        <v>534</v>
      </c>
      <c r="AC13" s="94" t="s">
        <v>498</v>
      </c>
      <c r="AD13" s="94" t="s">
        <v>499</v>
      </c>
      <c r="AE13" s="94" t="s">
        <v>500</v>
      </c>
      <c r="AF13" s="94" t="s">
        <v>501</v>
      </c>
      <c r="AG13" s="890"/>
      <c r="AH13" s="890"/>
      <c r="AI13" s="890"/>
      <c r="AJ13" s="890"/>
      <c r="AK13" s="890"/>
      <c r="AL13" s="890"/>
      <c r="AM13" s="890"/>
      <c r="AN13" s="95" t="s">
        <v>502</v>
      </c>
      <c r="AO13" s="95" t="s">
        <v>503</v>
      </c>
      <c r="AP13" s="95" t="s">
        <v>504</v>
      </c>
      <c r="AQ13" s="95" t="s">
        <v>505</v>
      </c>
      <c r="AR13" s="95" t="s">
        <v>504</v>
      </c>
      <c r="AS13" s="95" t="s">
        <v>506</v>
      </c>
      <c r="AT13" s="95" t="s">
        <v>506</v>
      </c>
      <c r="AU13" s="95" t="s">
        <v>505</v>
      </c>
      <c r="AV13" s="95" t="s">
        <v>507</v>
      </c>
      <c r="AW13" s="95" t="s">
        <v>508</v>
      </c>
      <c r="AX13" s="95" t="s">
        <v>509</v>
      </c>
      <c r="AY13" s="95" t="s">
        <v>510</v>
      </c>
      <c r="AZ13" s="899"/>
      <c r="BA13" s="897"/>
    </row>
    <row r="14" spans="1:53" s="20" customFormat="1" ht="132.75" customHeight="1" thickBot="1" x14ac:dyDescent="0.3">
      <c r="A14" s="2" t="s">
        <v>438</v>
      </c>
      <c r="B14" s="2" t="s">
        <v>4</v>
      </c>
      <c r="C14" s="2" t="s">
        <v>68</v>
      </c>
      <c r="D14" s="2" t="s">
        <v>264</v>
      </c>
      <c r="E14" s="1">
        <v>0</v>
      </c>
      <c r="F14" s="2" t="s">
        <v>5</v>
      </c>
      <c r="G14" s="903" t="s">
        <v>69</v>
      </c>
      <c r="H14" s="2" t="s">
        <v>265</v>
      </c>
      <c r="I14" s="2" t="s">
        <v>266</v>
      </c>
      <c r="J14" s="1">
        <v>0</v>
      </c>
      <c r="K14" s="1" t="s">
        <v>527</v>
      </c>
      <c r="L14" s="1">
        <v>42</v>
      </c>
      <c r="M14" s="1">
        <v>42</v>
      </c>
      <c r="N14" s="2" t="s">
        <v>266</v>
      </c>
      <c r="O14" s="21">
        <v>42</v>
      </c>
      <c r="P14" s="18">
        <v>138915</v>
      </c>
      <c r="Q14" s="21">
        <v>0</v>
      </c>
      <c r="R14" s="21">
        <v>0</v>
      </c>
      <c r="S14" s="21">
        <v>0</v>
      </c>
      <c r="T14" s="21">
        <v>0</v>
      </c>
      <c r="U14" s="18">
        <v>138915</v>
      </c>
      <c r="V14" s="21">
        <v>0</v>
      </c>
      <c r="W14" s="21">
        <v>0</v>
      </c>
      <c r="X14" s="21">
        <v>0</v>
      </c>
      <c r="Y14" s="21">
        <v>0</v>
      </c>
      <c r="Z14" s="21">
        <v>0</v>
      </c>
      <c r="AA14" s="21">
        <v>0</v>
      </c>
      <c r="AB14" s="21">
        <v>0</v>
      </c>
      <c r="AC14" s="21">
        <v>0</v>
      </c>
      <c r="AD14" s="21">
        <v>0</v>
      </c>
      <c r="AE14" s="21">
        <v>0</v>
      </c>
      <c r="AF14" s="21">
        <v>0</v>
      </c>
      <c r="AG14" s="10" t="s">
        <v>543</v>
      </c>
      <c r="AH14" s="10" t="s">
        <v>949</v>
      </c>
      <c r="AI14" s="75" t="s">
        <v>546</v>
      </c>
      <c r="AJ14" s="2" t="s">
        <v>544</v>
      </c>
      <c r="AK14" s="33">
        <v>1426938</v>
      </c>
      <c r="AL14" s="18">
        <v>138915</v>
      </c>
      <c r="AM14" s="2" t="s">
        <v>542</v>
      </c>
      <c r="AN14" s="21"/>
      <c r="AO14" s="21" t="s">
        <v>536</v>
      </c>
      <c r="AP14" s="21" t="s">
        <v>536</v>
      </c>
      <c r="AQ14" s="21" t="s">
        <v>536</v>
      </c>
      <c r="AR14" s="21" t="s">
        <v>536</v>
      </c>
      <c r="AS14" s="21" t="s">
        <v>536</v>
      </c>
      <c r="AT14" s="21" t="s">
        <v>536</v>
      </c>
      <c r="AU14" s="21" t="s">
        <v>536</v>
      </c>
      <c r="AV14" s="21" t="s">
        <v>536</v>
      </c>
      <c r="AW14" s="21" t="s">
        <v>536</v>
      </c>
      <c r="AX14" s="21" t="s">
        <v>536</v>
      </c>
      <c r="AY14" s="21" t="s">
        <v>536</v>
      </c>
      <c r="AZ14" s="19" t="s">
        <v>635</v>
      </c>
      <c r="BA14" s="10" t="s">
        <v>630</v>
      </c>
    </row>
    <row r="15" spans="1:53" s="20" customFormat="1" ht="110.25" customHeight="1" thickBot="1" x14ac:dyDescent="0.3">
      <c r="A15" s="2" t="s">
        <v>438</v>
      </c>
      <c r="B15" s="2" t="s">
        <v>4</v>
      </c>
      <c r="C15" s="903" t="s">
        <v>6</v>
      </c>
      <c r="D15" s="903" t="s">
        <v>267</v>
      </c>
      <c r="E15" s="904">
        <v>0</v>
      </c>
      <c r="F15" s="2" t="s">
        <v>5</v>
      </c>
      <c r="G15" s="903"/>
      <c r="H15" s="2" t="s">
        <v>268</v>
      </c>
      <c r="I15" s="2" t="s">
        <v>269</v>
      </c>
      <c r="J15" s="1">
        <v>0</v>
      </c>
      <c r="K15" s="1" t="s">
        <v>526</v>
      </c>
      <c r="L15" s="58">
        <v>1</v>
      </c>
      <c r="M15" s="58">
        <v>0.25</v>
      </c>
      <c r="N15" s="2" t="s">
        <v>269</v>
      </c>
      <c r="O15" s="36">
        <v>0.28000000000000003</v>
      </c>
      <c r="P15" s="18">
        <v>121550</v>
      </c>
      <c r="Q15" s="21">
        <v>0</v>
      </c>
      <c r="R15" s="21">
        <v>0</v>
      </c>
      <c r="S15" s="21">
        <v>0</v>
      </c>
      <c r="T15" s="21">
        <v>0</v>
      </c>
      <c r="U15" s="18">
        <v>121550</v>
      </c>
      <c r="V15" s="21">
        <v>0</v>
      </c>
      <c r="W15" s="21">
        <v>0</v>
      </c>
      <c r="X15" s="21">
        <v>0</v>
      </c>
      <c r="Y15" s="21">
        <v>0</v>
      </c>
      <c r="Z15" s="21">
        <v>0</v>
      </c>
      <c r="AA15" s="21">
        <v>0</v>
      </c>
      <c r="AB15" s="21">
        <v>0</v>
      </c>
      <c r="AC15" s="21">
        <v>0</v>
      </c>
      <c r="AD15" s="21">
        <v>0</v>
      </c>
      <c r="AE15" s="21">
        <v>0</v>
      </c>
      <c r="AF15" s="21">
        <v>0</v>
      </c>
      <c r="AG15" s="10" t="s">
        <v>543</v>
      </c>
      <c r="AH15" s="10" t="s">
        <v>949</v>
      </c>
      <c r="AI15" s="75" t="s">
        <v>546</v>
      </c>
      <c r="AJ15" s="2" t="s">
        <v>544</v>
      </c>
      <c r="AK15" s="33">
        <v>1426938</v>
      </c>
      <c r="AL15" s="18">
        <v>121550</v>
      </c>
      <c r="AM15" s="2" t="s">
        <v>537</v>
      </c>
      <c r="AN15" s="21"/>
      <c r="AO15" s="21" t="s">
        <v>536</v>
      </c>
      <c r="AP15" s="21" t="s">
        <v>536</v>
      </c>
      <c r="AQ15" s="21" t="s">
        <v>536</v>
      </c>
      <c r="AR15" s="21" t="s">
        <v>536</v>
      </c>
      <c r="AS15" s="21" t="s">
        <v>536</v>
      </c>
      <c r="AT15" s="21" t="s">
        <v>536</v>
      </c>
      <c r="AU15" s="21" t="s">
        <v>536</v>
      </c>
      <c r="AV15" s="21" t="s">
        <v>536</v>
      </c>
      <c r="AW15" s="21" t="s">
        <v>536</v>
      </c>
      <c r="AX15" s="21" t="s">
        <v>536</v>
      </c>
      <c r="AY15" s="21" t="s">
        <v>536</v>
      </c>
      <c r="AZ15" s="19" t="s">
        <v>635</v>
      </c>
      <c r="BA15" s="10" t="s">
        <v>630</v>
      </c>
    </row>
    <row r="16" spans="1:53" s="20" customFormat="1" ht="91.5" customHeight="1" thickBot="1" x14ac:dyDescent="0.3">
      <c r="A16" s="2" t="s">
        <v>438</v>
      </c>
      <c r="B16" s="2" t="s">
        <v>4</v>
      </c>
      <c r="C16" s="903"/>
      <c r="D16" s="903"/>
      <c r="E16" s="904"/>
      <c r="F16" s="2" t="s">
        <v>5</v>
      </c>
      <c r="G16" s="903"/>
      <c r="H16" s="2" t="s">
        <v>270</v>
      </c>
      <c r="I16" s="2" t="s">
        <v>271</v>
      </c>
      <c r="J16" s="1">
        <v>0</v>
      </c>
      <c r="K16" s="1" t="s">
        <v>526</v>
      </c>
      <c r="L16" s="58">
        <v>1</v>
      </c>
      <c r="M16" s="58">
        <v>0.25</v>
      </c>
      <c r="N16" s="2" t="s">
        <v>271</v>
      </c>
      <c r="O16" s="36">
        <v>0.75</v>
      </c>
      <c r="P16" s="18">
        <v>35539</v>
      </c>
      <c r="Q16" s="21">
        <v>0</v>
      </c>
      <c r="R16" s="21">
        <v>0</v>
      </c>
      <c r="S16" s="21">
        <v>0</v>
      </c>
      <c r="T16" s="21">
        <v>0</v>
      </c>
      <c r="U16" s="18">
        <v>35539</v>
      </c>
      <c r="V16" s="21">
        <v>0</v>
      </c>
      <c r="W16" s="21">
        <v>0</v>
      </c>
      <c r="X16" s="21">
        <v>0</v>
      </c>
      <c r="Y16" s="21">
        <v>0</v>
      </c>
      <c r="Z16" s="21">
        <v>0</v>
      </c>
      <c r="AA16" s="21">
        <v>0</v>
      </c>
      <c r="AB16" s="21">
        <v>0</v>
      </c>
      <c r="AC16" s="21">
        <v>0</v>
      </c>
      <c r="AD16" s="21">
        <v>0</v>
      </c>
      <c r="AE16" s="21">
        <v>0</v>
      </c>
      <c r="AF16" s="21">
        <v>0</v>
      </c>
      <c r="AG16" s="10" t="s">
        <v>543</v>
      </c>
      <c r="AH16" s="10" t="s">
        <v>949</v>
      </c>
      <c r="AI16" s="75" t="s">
        <v>546</v>
      </c>
      <c r="AJ16" s="2" t="s">
        <v>544</v>
      </c>
      <c r="AK16" s="33">
        <v>1426938</v>
      </c>
      <c r="AL16" s="18">
        <v>35539</v>
      </c>
      <c r="AM16" s="2" t="s">
        <v>538</v>
      </c>
      <c r="AN16" s="21"/>
      <c r="AO16" s="21" t="s">
        <v>536</v>
      </c>
      <c r="AP16" s="21" t="s">
        <v>536</v>
      </c>
      <c r="AQ16" s="21" t="s">
        <v>536</v>
      </c>
      <c r="AR16" s="21" t="s">
        <v>536</v>
      </c>
      <c r="AS16" s="21" t="s">
        <v>536</v>
      </c>
      <c r="AT16" s="21" t="s">
        <v>536</v>
      </c>
      <c r="AU16" s="21" t="s">
        <v>536</v>
      </c>
      <c r="AV16" s="21" t="s">
        <v>536</v>
      </c>
      <c r="AW16" s="21" t="s">
        <v>536</v>
      </c>
      <c r="AX16" s="21" t="s">
        <v>536</v>
      </c>
      <c r="AY16" s="21" t="s">
        <v>536</v>
      </c>
      <c r="AZ16" s="19" t="s">
        <v>635</v>
      </c>
      <c r="BA16" s="10" t="s">
        <v>630</v>
      </c>
    </row>
    <row r="17" spans="1:53" s="20" customFormat="1" ht="81" customHeight="1" thickBot="1" x14ac:dyDescent="0.3">
      <c r="A17" s="2" t="s">
        <v>438</v>
      </c>
      <c r="B17" s="2" t="s">
        <v>4</v>
      </c>
      <c r="C17" s="903"/>
      <c r="D17" s="903"/>
      <c r="E17" s="904"/>
      <c r="F17" s="2" t="s">
        <v>5</v>
      </c>
      <c r="G17" s="903"/>
      <c r="H17" s="2" t="s">
        <v>70</v>
      </c>
      <c r="I17" s="2" t="s">
        <v>272</v>
      </c>
      <c r="J17" s="1">
        <v>0</v>
      </c>
      <c r="K17" s="1" t="s">
        <v>526</v>
      </c>
      <c r="L17" s="1">
        <v>8</v>
      </c>
      <c r="M17" s="1">
        <v>2</v>
      </c>
      <c r="N17" s="2" t="s">
        <v>272</v>
      </c>
      <c r="O17" s="21">
        <v>5</v>
      </c>
      <c r="P17" s="18">
        <v>34729</v>
      </c>
      <c r="Q17" s="21">
        <v>0</v>
      </c>
      <c r="R17" s="21">
        <v>0</v>
      </c>
      <c r="S17" s="21">
        <v>0</v>
      </c>
      <c r="T17" s="21">
        <v>0</v>
      </c>
      <c r="U17" s="18">
        <v>34729</v>
      </c>
      <c r="V17" s="21">
        <v>0</v>
      </c>
      <c r="W17" s="21">
        <v>0</v>
      </c>
      <c r="X17" s="21">
        <v>0</v>
      </c>
      <c r="Y17" s="21">
        <v>0</v>
      </c>
      <c r="Z17" s="21">
        <v>0</v>
      </c>
      <c r="AA17" s="21">
        <v>0</v>
      </c>
      <c r="AB17" s="21">
        <v>0</v>
      </c>
      <c r="AC17" s="21">
        <v>0</v>
      </c>
      <c r="AD17" s="21">
        <v>0</v>
      </c>
      <c r="AE17" s="21">
        <v>0</v>
      </c>
      <c r="AF17" s="21">
        <v>0</v>
      </c>
      <c r="AG17" s="10" t="s">
        <v>543</v>
      </c>
      <c r="AH17" s="10" t="s">
        <v>949</v>
      </c>
      <c r="AI17" s="75" t="s">
        <v>546</v>
      </c>
      <c r="AJ17" s="2" t="s">
        <v>544</v>
      </c>
      <c r="AK17" s="33">
        <v>1426938</v>
      </c>
      <c r="AL17" s="18">
        <v>34729</v>
      </c>
      <c r="AM17" s="2" t="s">
        <v>539</v>
      </c>
      <c r="AN17" s="21"/>
      <c r="AO17" s="21" t="s">
        <v>536</v>
      </c>
      <c r="AP17" s="21" t="s">
        <v>536</v>
      </c>
      <c r="AQ17" s="21" t="s">
        <v>536</v>
      </c>
      <c r="AR17" s="21" t="s">
        <v>536</v>
      </c>
      <c r="AS17" s="21" t="s">
        <v>536</v>
      </c>
      <c r="AT17" s="21" t="s">
        <v>536</v>
      </c>
      <c r="AU17" s="21" t="s">
        <v>536</v>
      </c>
      <c r="AV17" s="21" t="s">
        <v>536</v>
      </c>
      <c r="AW17" s="21" t="s">
        <v>536</v>
      </c>
      <c r="AX17" s="21" t="s">
        <v>536</v>
      </c>
      <c r="AY17" s="21" t="s">
        <v>536</v>
      </c>
      <c r="AZ17" s="19" t="s">
        <v>635</v>
      </c>
      <c r="BA17" s="10" t="s">
        <v>630</v>
      </c>
    </row>
    <row r="18" spans="1:53" s="20" customFormat="1" ht="78.75" customHeight="1" thickBot="1" x14ac:dyDescent="0.3">
      <c r="A18" s="2" t="s">
        <v>438</v>
      </c>
      <c r="B18" s="2" t="s">
        <v>4</v>
      </c>
      <c r="C18" s="2" t="s">
        <v>7</v>
      </c>
      <c r="D18" s="2" t="s">
        <v>273</v>
      </c>
      <c r="E18" s="1">
        <v>0</v>
      </c>
      <c r="F18" s="2" t="s">
        <v>5</v>
      </c>
      <c r="G18" s="903"/>
      <c r="H18" s="2" t="s">
        <v>439</v>
      </c>
      <c r="I18" s="2" t="s">
        <v>471</v>
      </c>
      <c r="J18" s="1">
        <v>0</v>
      </c>
      <c r="K18" s="1" t="s">
        <v>526</v>
      </c>
      <c r="L18" s="58">
        <v>1</v>
      </c>
      <c r="M18" s="58">
        <v>0.28999999999999998</v>
      </c>
      <c r="N18" s="2" t="s">
        <v>471</v>
      </c>
      <c r="O18" s="36">
        <v>0.56999999999999995</v>
      </c>
      <c r="P18" s="18">
        <v>44221</v>
      </c>
      <c r="Q18" s="21">
        <v>0</v>
      </c>
      <c r="R18" s="21">
        <v>0</v>
      </c>
      <c r="S18" s="21">
        <v>0</v>
      </c>
      <c r="T18" s="21">
        <v>0</v>
      </c>
      <c r="U18" s="18">
        <v>44221</v>
      </c>
      <c r="V18" s="21">
        <v>0</v>
      </c>
      <c r="W18" s="21">
        <v>0</v>
      </c>
      <c r="X18" s="21">
        <v>0</v>
      </c>
      <c r="Y18" s="21">
        <v>0</v>
      </c>
      <c r="Z18" s="21">
        <v>0</v>
      </c>
      <c r="AA18" s="21">
        <v>0</v>
      </c>
      <c r="AB18" s="21">
        <v>0</v>
      </c>
      <c r="AC18" s="21">
        <v>0</v>
      </c>
      <c r="AD18" s="21">
        <v>0</v>
      </c>
      <c r="AE18" s="21">
        <v>0</v>
      </c>
      <c r="AF18" s="21">
        <v>0</v>
      </c>
      <c r="AG18" s="10" t="s">
        <v>543</v>
      </c>
      <c r="AH18" s="10" t="s">
        <v>949</v>
      </c>
      <c r="AI18" s="75" t="s">
        <v>546</v>
      </c>
      <c r="AJ18" s="2" t="s">
        <v>544</v>
      </c>
      <c r="AK18" s="33">
        <v>1119347</v>
      </c>
      <c r="AL18" s="18">
        <v>44221</v>
      </c>
      <c r="AM18" s="2" t="s">
        <v>540</v>
      </c>
      <c r="AN18" s="21"/>
      <c r="AO18" s="21" t="s">
        <v>536</v>
      </c>
      <c r="AP18" s="21" t="s">
        <v>536</v>
      </c>
      <c r="AQ18" s="21" t="s">
        <v>536</v>
      </c>
      <c r="AR18" s="21" t="s">
        <v>536</v>
      </c>
      <c r="AS18" s="21" t="s">
        <v>536</v>
      </c>
      <c r="AT18" s="21" t="s">
        <v>536</v>
      </c>
      <c r="AU18" s="21" t="s">
        <v>536</v>
      </c>
      <c r="AV18" s="21" t="s">
        <v>536</v>
      </c>
      <c r="AW18" s="21" t="s">
        <v>536</v>
      </c>
      <c r="AX18" s="21" t="s">
        <v>536</v>
      </c>
      <c r="AY18" s="21" t="s">
        <v>536</v>
      </c>
      <c r="AZ18" s="19" t="s">
        <v>635</v>
      </c>
      <c r="BA18" s="10" t="s">
        <v>631</v>
      </c>
    </row>
    <row r="19" spans="1:53" s="20" customFormat="1" ht="69.75" customHeight="1" thickBot="1" x14ac:dyDescent="0.3">
      <c r="A19" s="2" t="s">
        <v>438</v>
      </c>
      <c r="B19" s="2" t="s">
        <v>4</v>
      </c>
      <c r="C19" s="2" t="s">
        <v>71</v>
      </c>
      <c r="D19" s="2" t="s">
        <v>274</v>
      </c>
      <c r="E19" s="1">
        <v>0</v>
      </c>
      <c r="F19" s="2" t="s">
        <v>5</v>
      </c>
      <c r="G19" s="903"/>
      <c r="H19" s="1" t="s">
        <v>275</v>
      </c>
      <c r="I19" s="2" t="s">
        <v>276</v>
      </c>
      <c r="J19" s="1">
        <v>0</v>
      </c>
      <c r="K19" s="1" t="s">
        <v>527</v>
      </c>
      <c r="L19" s="58">
        <v>0.8</v>
      </c>
      <c r="M19" s="58">
        <v>0.8</v>
      </c>
      <c r="N19" s="2" t="s">
        <v>276</v>
      </c>
      <c r="O19" s="58">
        <v>0.8</v>
      </c>
      <c r="P19" s="18">
        <v>347404</v>
      </c>
      <c r="Q19" s="21">
        <v>0</v>
      </c>
      <c r="R19" s="21">
        <v>0</v>
      </c>
      <c r="S19" s="21">
        <v>0</v>
      </c>
      <c r="T19" s="21">
        <v>0</v>
      </c>
      <c r="U19" s="18">
        <v>347404</v>
      </c>
      <c r="V19" s="21">
        <v>0</v>
      </c>
      <c r="W19" s="21">
        <v>0</v>
      </c>
      <c r="X19" s="21">
        <v>0</v>
      </c>
      <c r="Y19" s="21">
        <v>0</v>
      </c>
      <c r="Z19" s="21">
        <v>0</v>
      </c>
      <c r="AA19" s="21">
        <v>0</v>
      </c>
      <c r="AB19" s="21">
        <v>0</v>
      </c>
      <c r="AC19" s="21">
        <v>0</v>
      </c>
      <c r="AD19" s="21">
        <v>0</v>
      </c>
      <c r="AE19" s="21">
        <v>0</v>
      </c>
      <c r="AF19" s="21">
        <v>0</v>
      </c>
      <c r="AG19" s="10" t="s">
        <v>543</v>
      </c>
      <c r="AH19" s="10" t="s">
        <v>949</v>
      </c>
      <c r="AI19" s="75" t="s">
        <v>546</v>
      </c>
      <c r="AJ19" s="2" t="s">
        <v>544</v>
      </c>
      <c r="AK19" s="33">
        <v>1426938</v>
      </c>
      <c r="AL19" s="18">
        <v>347404</v>
      </c>
      <c r="AM19" s="2" t="s">
        <v>632</v>
      </c>
      <c r="AN19" s="21" t="s">
        <v>536</v>
      </c>
      <c r="AO19" s="21" t="s">
        <v>536</v>
      </c>
      <c r="AP19" s="21" t="s">
        <v>536</v>
      </c>
      <c r="AQ19" s="21" t="s">
        <v>536</v>
      </c>
      <c r="AR19" s="21" t="s">
        <v>536</v>
      </c>
      <c r="AS19" s="21" t="s">
        <v>536</v>
      </c>
      <c r="AT19" s="21" t="s">
        <v>536</v>
      </c>
      <c r="AU19" s="21" t="s">
        <v>536</v>
      </c>
      <c r="AV19" s="21" t="s">
        <v>536</v>
      </c>
      <c r="AW19" s="21" t="s">
        <v>536</v>
      </c>
      <c r="AX19" s="21" t="s">
        <v>536</v>
      </c>
      <c r="AY19" s="21" t="s">
        <v>536</v>
      </c>
      <c r="AZ19" s="19" t="s">
        <v>635</v>
      </c>
      <c r="BA19" s="10" t="s">
        <v>630</v>
      </c>
    </row>
    <row r="20" spans="1:53" s="20" customFormat="1" ht="81.75" customHeight="1" thickBot="1" x14ac:dyDescent="0.3">
      <c r="A20" s="2" t="s">
        <v>438</v>
      </c>
      <c r="B20" s="2" t="s">
        <v>4</v>
      </c>
      <c r="C20" s="2" t="s">
        <v>8</v>
      </c>
      <c r="D20" s="2" t="s">
        <v>277</v>
      </c>
      <c r="E20" s="1">
        <v>1</v>
      </c>
      <c r="F20" s="2" t="s">
        <v>5</v>
      </c>
      <c r="G20" s="903"/>
      <c r="H20" s="2" t="s">
        <v>443</v>
      </c>
      <c r="I20" s="2" t="s">
        <v>278</v>
      </c>
      <c r="J20" s="1">
        <v>1</v>
      </c>
      <c r="K20" s="1" t="s">
        <v>527</v>
      </c>
      <c r="L20" s="58">
        <v>1</v>
      </c>
      <c r="M20" s="58">
        <v>1</v>
      </c>
      <c r="N20" s="2" t="s">
        <v>278</v>
      </c>
      <c r="O20" s="58">
        <v>1</v>
      </c>
      <c r="P20" s="18">
        <v>85086</v>
      </c>
      <c r="Q20" s="21">
        <v>0</v>
      </c>
      <c r="R20" s="21">
        <v>0</v>
      </c>
      <c r="S20" s="21">
        <v>0</v>
      </c>
      <c r="T20" s="21">
        <v>0</v>
      </c>
      <c r="U20" s="18">
        <v>85086</v>
      </c>
      <c r="V20" s="21">
        <v>0</v>
      </c>
      <c r="W20" s="21">
        <v>0</v>
      </c>
      <c r="X20" s="21">
        <v>0</v>
      </c>
      <c r="Y20" s="21">
        <v>0</v>
      </c>
      <c r="Z20" s="21">
        <v>0</v>
      </c>
      <c r="AA20" s="21">
        <v>0</v>
      </c>
      <c r="AB20" s="21">
        <v>0</v>
      </c>
      <c r="AC20" s="21">
        <v>0</v>
      </c>
      <c r="AD20" s="21">
        <v>0</v>
      </c>
      <c r="AE20" s="21">
        <v>0</v>
      </c>
      <c r="AF20" s="21">
        <v>0</v>
      </c>
      <c r="AG20" s="10" t="s">
        <v>543</v>
      </c>
      <c r="AH20" s="10" t="s">
        <v>949</v>
      </c>
      <c r="AI20" s="75" t="s">
        <v>546</v>
      </c>
      <c r="AJ20" s="2" t="s">
        <v>544</v>
      </c>
      <c r="AK20" s="33">
        <v>1426938</v>
      </c>
      <c r="AL20" s="18">
        <v>85086</v>
      </c>
      <c r="AM20" s="2" t="s">
        <v>545</v>
      </c>
      <c r="AN20" s="21"/>
      <c r="AO20" s="21" t="s">
        <v>536</v>
      </c>
      <c r="AP20" s="21" t="s">
        <v>536</v>
      </c>
      <c r="AQ20" s="21" t="s">
        <v>536</v>
      </c>
      <c r="AR20" s="21" t="s">
        <v>536</v>
      </c>
      <c r="AS20" s="21" t="s">
        <v>536</v>
      </c>
      <c r="AT20" s="21" t="s">
        <v>536</v>
      </c>
      <c r="AU20" s="21" t="s">
        <v>536</v>
      </c>
      <c r="AV20" s="21" t="s">
        <v>536</v>
      </c>
      <c r="AW20" s="21" t="s">
        <v>536</v>
      </c>
      <c r="AX20" s="21" t="s">
        <v>536</v>
      </c>
      <c r="AY20" s="21" t="s">
        <v>536</v>
      </c>
      <c r="AZ20" s="19" t="s">
        <v>635</v>
      </c>
      <c r="BA20" s="10" t="s">
        <v>630</v>
      </c>
    </row>
    <row r="21" spans="1:53" s="23" customFormat="1" ht="77.25" customHeight="1" x14ac:dyDescent="0.25">
      <c r="A21" s="2" t="s">
        <v>438</v>
      </c>
      <c r="B21" s="2" t="s">
        <v>4</v>
      </c>
      <c r="C21" s="2" t="s">
        <v>72</v>
      </c>
      <c r="D21" s="2" t="s">
        <v>279</v>
      </c>
      <c r="E21" s="1">
        <v>0</v>
      </c>
      <c r="F21" s="2" t="s">
        <v>5</v>
      </c>
      <c r="G21" s="903"/>
      <c r="H21" s="2" t="s">
        <v>280</v>
      </c>
      <c r="I21" s="2" t="s">
        <v>281</v>
      </c>
      <c r="J21" s="1">
        <v>0</v>
      </c>
      <c r="K21" s="1" t="s">
        <v>526</v>
      </c>
      <c r="L21" s="1">
        <v>42</v>
      </c>
      <c r="M21" s="1">
        <v>13</v>
      </c>
      <c r="N21" s="2" t="s">
        <v>281</v>
      </c>
      <c r="O21" s="1">
        <v>29</v>
      </c>
      <c r="P21" s="18">
        <v>44221</v>
      </c>
      <c r="Q21" s="21">
        <v>0</v>
      </c>
      <c r="R21" s="21">
        <v>0</v>
      </c>
      <c r="S21" s="21">
        <v>0</v>
      </c>
      <c r="T21" s="21">
        <v>0</v>
      </c>
      <c r="U21" s="18">
        <v>44221</v>
      </c>
      <c r="V21" s="21">
        <v>0</v>
      </c>
      <c r="W21" s="21">
        <v>0</v>
      </c>
      <c r="X21" s="21">
        <v>0</v>
      </c>
      <c r="Y21" s="21">
        <v>0</v>
      </c>
      <c r="Z21" s="21">
        <v>0</v>
      </c>
      <c r="AA21" s="21">
        <v>0</v>
      </c>
      <c r="AB21" s="21">
        <v>0</v>
      </c>
      <c r="AC21" s="21">
        <v>0</v>
      </c>
      <c r="AD21" s="21">
        <v>0</v>
      </c>
      <c r="AE21" s="21">
        <v>0</v>
      </c>
      <c r="AF21" s="21">
        <v>0</v>
      </c>
      <c r="AG21" s="10" t="s">
        <v>543</v>
      </c>
      <c r="AH21" s="10" t="s">
        <v>949</v>
      </c>
      <c r="AI21" s="75" t="s">
        <v>546</v>
      </c>
      <c r="AJ21" s="2" t="s">
        <v>544</v>
      </c>
      <c r="AK21" s="33">
        <v>1426938</v>
      </c>
      <c r="AL21" s="18">
        <v>44221</v>
      </c>
      <c r="AM21" s="2" t="s">
        <v>541</v>
      </c>
      <c r="AN21" s="22"/>
      <c r="AO21" s="1" t="s">
        <v>536</v>
      </c>
      <c r="AP21" s="1" t="s">
        <v>536</v>
      </c>
      <c r="AQ21" s="1" t="s">
        <v>536</v>
      </c>
      <c r="AR21" s="1" t="s">
        <v>536</v>
      </c>
      <c r="AS21" s="1" t="s">
        <v>536</v>
      </c>
      <c r="AT21" s="1" t="s">
        <v>536</v>
      </c>
      <c r="AU21" s="1" t="s">
        <v>536</v>
      </c>
      <c r="AV21" s="1" t="s">
        <v>536</v>
      </c>
      <c r="AW21" s="1" t="s">
        <v>536</v>
      </c>
      <c r="AX21" s="1" t="s">
        <v>536</v>
      </c>
      <c r="AY21" s="1" t="s">
        <v>536</v>
      </c>
      <c r="AZ21" s="19" t="s">
        <v>635</v>
      </c>
      <c r="BA21" s="10" t="s">
        <v>630</v>
      </c>
    </row>
    <row r="22" spans="1:53" s="25" customFormat="1" ht="51.75" customHeight="1" x14ac:dyDescent="0.25">
      <c r="A22" s="2" t="s">
        <v>438</v>
      </c>
      <c r="B22" s="2" t="s">
        <v>4</v>
      </c>
      <c r="C22" s="2" t="s">
        <v>73</v>
      </c>
      <c r="D22" s="2" t="s">
        <v>74</v>
      </c>
      <c r="E22" s="1">
        <v>0</v>
      </c>
      <c r="F22" s="2" t="s">
        <v>5</v>
      </c>
      <c r="G22" s="903"/>
      <c r="H22" s="2" t="s">
        <v>282</v>
      </c>
      <c r="I22" s="2" t="s">
        <v>283</v>
      </c>
      <c r="J22" s="2">
        <v>0</v>
      </c>
      <c r="K22" s="1" t="s">
        <v>526</v>
      </c>
      <c r="L22" s="6">
        <v>13000</v>
      </c>
      <c r="M22" s="2">
        <v>0</v>
      </c>
      <c r="N22" s="2" t="s">
        <v>283</v>
      </c>
      <c r="O22" s="21">
        <v>13732</v>
      </c>
      <c r="P22" s="24">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10" t="s">
        <v>543</v>
      </c>
      <c r="AH22" s="10" t="s">
        <v>633</v>
      </c>
      <c r="AI22" s="298">
        <v>0</v>
      </c>
      <c r="AJ22" s="21">
        <v>0</v>
      </c>
      <c r="AK22" s="21">
        <v>0</v>
      </c>
      <c r="AL22" s="21">
        <v>0</v>
      </c>
      <c r="AM22" s="21">
        <v>0</v>
      </c>
      <c r="AN22" s="21">
        <v>0</v>
      </c>
      <c r="AO22" s="21">
        <v>0</v>
      </c>
      <c r="AP22" s="21">
        <v>0</v>
      </c>
      <c r="AQ22" s="21">
        <v>0</v>
      </c>
      <c r="AR22" s="21">
        <v>0</v>
      </c>
      <c r="AS22" s="21">
        <v>0</v>
      </c>
      <c r="AT22" s="21">
        <v>0</v>
      </c>
      <c r="AU22" s="21">
        <v>0</v>
      </c>
      <c r="AV22" s="21">
        <v>0</v>
      </c>
      <c r="AW22" s="21">
        <v>0</v>
      </c>
      <c r="AX22" s="21">
        <v>0</v>
      </c>
      <c r="AY22" s="21">
        <v>0</v>
      </c>
      <c r="AZ22" s="10" t="s">
        <v>636</v>
      </c>
      <c r="BA22" s="10" t="s">
        <v>634</v>
      </c>
    </row>
    <row r="23" spans="1:53" s="20" customFormat="1" ht="153" x14ac:dyDescent="0.25">
      <c r="A23" s="2" t="s">
        <v>438</v>
      </c>
      <c r="B23" s="2" t="s">
        <v>4</v>
      </c>
      <c r="C23" s="903" t="s">
        <v>75</v>
      </c>
      <c r="D23" s="903" t="s">
        <v>284</v>
      </c>
      <c r="E23" s="903" t="s">
        <v>76</v>
      </c>
      <c r="F23" s="2" t="s">
        <v>9</v>
      </c>
      <c r="G23" s="903" t="s">
        <v>10</v>
      </c>
      <c r="H23" s="2" t="s">
        <v>285</v>
      </c>
      <c r="I23" s="2" t="s">
        <v>286</v>
      </c>
      <c r="J23" s="2" t="s">
        <v>77</v>
      </c>
      <c r="K23" s="2" t="s">
        <v>526</v>
      </c>
      <c r="L23" s="59">
        <v>5.0000000000000001E-3</v>
      </c>
      <c r="M23" s="60">
        <v>1.25E-3</v>
      </c>
      <c r="N23" s="2" t="s">
        <v>286</v>
      </c>
      <c r="O23" s="26">
        <v>2.8999999999999998E-3</v>
      </c>
      <c r="P23" s="18">
        <v>234558</v>
      </c>
      <c r="Q23" s="21">
        <v>0</v>
      </c>
      <c r="R23" s="21">
        <v>0</v>
      </c>
      <c r="S23" s="21">
        <v>0</v>
      </c>
      <c r="T23" s="21">
        <v>0</v>
      </c>
      <c r="U23" s="18">
        <v>234557</v>
      </c>
      <c r="V23" s="21">
        <v>0</v>
      </c>
      <c r="W23" s="21">
        <v>0</v>
      </c>
      <c r="X23" s="21">
        <v>0</v>
      </c>
      <c r="Y23" s="21">
        <v>0</v>
      </c>
      <c r="Z23" s="21">
        <v>0</v>
      </c>
      <c r="AA23" s="21">
        <v>0</v>
      </c>
      <c r="AB23" s="21">
        <v>0</v>
      </c>
      <c r="AC23" s="21">
        <v>0</v>
      </c>
      <c r="AD23" s="21">
        <v>0</v>
      </c>
      <c r="AE23" s="21">
        <v>0</v>
      </c>
      <c r="AF23" s="21">
        <v>0</v>
      </c>
      <c r="AG23" s="41" t="s">
        <v>637</v>
      </c>
      <c r="AH23" s="10" t="s">
        <v>949</v>
      </c>
      <c r="AI23" s="27" t="s">
        <v>2019</v>
      </c>
      <c r="AJ23" s="27" t="s">
        <v>638</v>
      </c>
      <c r="AK23" s="61">
        <v>825104</v>
      </c>
      <c r="AL23" s="18">
        <v>234557</v>
      </c>
      <c r="AM23" s="27" t="s">
        <v>639</v>
      </c>
      <c r="AN23" s="21"/>
      <c r="AO23" s="21" t="s">
        <v>536</v>
      </c>
      <c r="AP23" s="21" t="s">
        <v>536</v>
      </c>
      <c r="AQ23" s="21" t="s">
        <v>536</v>
      </c>
      <c r="AR23" s="21" t="s">
        <v>536</v>
      </c>
      <c r="AS23" s="21" t="s">
        <v>536</v>
      </c>
      <c r="AT23" s="21" t="s">
        <v>536</v>
      </c>
      <c r="AU23" s="21" t="s">
        <v>536</v>
      </c>
      <c r="AV23" s="21" t="s">
        <v>536</v>
      </c>
      <c r="AW23" s="21" t="s">
        <v>536</v>
      </c>
      <c r="AX23" s="21" t="s">
        <v>536</v>
      </c>
      <c r="AY23" s="21" t="s">
        <v>536</v>
      </c>
      <c r="AZ23" s="27" t="s">
        <v>653</v>
      </c>
      <c r="BA23" s="27" t="s">
        <v>640</v>
      </c>
    </row>
    <row r="24" spans="1:53" s="20" customFormat="1" ht="140.25" x14ac:dyDescent="0.25">
      <c r="A24" s="2" t="s">
        <v>438</v>
      </c>
      <c r="B24" s="2" t="s">
        <v>4</v>
      </c>
      <c r="C24" s="903"/>
      <c r="D24" s="903"/>
      <c r="E24" s="903"/>
      <c r="F24" s="2" t="s">
        <v>9</v>
      </c>
      <c r="G24" s="903"/>
      <c r="H24" s="2" t="s">
        <v>287</v>
      </c>
      <c r="I24" s="2" t="s">
        <v>288</v>
      </c>
      <c r="J24" s="2" t="s">
        <v>78</v>
      </c>
      <c r="K24" s="2" t="s">
        <v>526</v>
      </c>
      <c r="L24" s="59">
        <v>5.0000000000000001E-3</v>
      </c>
      <c r="M24" s="60">
        <v>1.25E-3</v>
      </c>
      <c r="N24" s="2" t="s">
        <v>288</v>
      </c>
      <c r="O24" s="26">
        <v>2.7000000000000001E-3</v>
      </c>
      <c r="P24" s="18">
        <v>57881</v>
      </c>
      <c r="Q24" s="21">
        <v>0</v>
      </c>
      <c r="R24" s="21">
        <v>0</v>
      </c>
      <c r="S24" s="21">
        <v>0</v>
      </c>
      <c r="T24" s="21">
        <v>0</v>
      </c>
      <c r="U24" s="18">
        <v>57881</v>
      </c>
      <c r="V24" s="21">
        <v>0</v>
      </c>
      <c r="W24" s="21">
        <v>0</v>
      </c>
      <c r="X24" s="21">
        <v>0</v>
      </c>
      <c r="Y24" s="21">
        <v>0</v>
      </c>
      <c r="Z24" s="21">
        <v>0</v>
      </c>
      <c r="AA24" s="21">
        <v>0</v>
      </c>
      <c r="AB24" s="21">
        <v>0</v>
      </c>
      <c r="AC24" s="21">
        <v>0</v>
      </c>
      <c r="AD24" s="21">
        <v>0</v>
      </c>
      <c r="AE24" s="21">
        <v>0</v>
      </c>
      <c r="AF24" s="21">
        <v>0</v>
      </c>
      <c r="AG24" s="41" t="s">
        <v>637</v>
      </c>
      <c r="AH24" s="10" t="s">
        <v>949</v>
      </c>
      <c r="AI24" s="27" t="s">
        <v>2019</v>
      </c>
      <c r="AJ24" s="27" t="s">
        <v>638</v>
      </c>
      <c r="AK24" s="61">
        <v>825104</v>
      </c>
      <c r="AL24" s="18">
        <v>57881</v>
      </c>
      <c r="AM24" s="27" t="s">
        <v>641</v>
      </c>
      <c r="AN24" s="21"/>
      <c r="AO24" s="21" t="s">
        <v>536</v>
      </c>
      <c r="AP24" s="21" t="s">
        <v>536</v>
      </c>
      <c r="AQ24" s="21" t="s">
        <v>536</v>
      </c>
      <c r="AR24" s="21" t="s">
        <v>536</v>
      </c>
      <c r="AS24" s="21" t="s">
        <v>536</v>
      </c>
      <c r="AT24" s="21" t="s">
        <v>536</v>
      </c>
      <c r="AU24" s="21" t="s">
        <v>536</v>
      </c>
      <c r="AV24" s="21" t="s">
        <v>536</v>
      </c>
      <c r="AW24" s="21" t="s">
        <v>536</v>
      </c>
      <c r="AX24" s="21" t="s">
        <v>536</v>
      </c>
      <c r="AY24" s="21" t="s">
        <v>536</v>
      </c>
      <c r="AZ24" s="27" t="s">
        <v>653</v>
      </c>
      <c r="BA24" s="27" t="s">
        <v>640</v>
      </c>
    </row>
    <row r="25" spans="1:53" s="20" customFormat="1" ht="140.25" x14ac:dyDescent="0.25">
      <c r="A25" s="2" t="s">
        <v>438</v>
      </c>
      <c r="B25" s="2" t="s">
        <v>4</v>
      </c>
      <c r="C25" s="903"/>
      <c r="D25" s="903"/>
      <c r="E25" s="903"/>
      <c r="F25" s="2" t="s">
        <v>9</v>
      </c>
      <c r="G25" s="903"/>
      <c r="H25" s="2" t="s">
        <v>289</v>
      </c>
      <c r="I25" s="2" t="s">
        <v>290</v>
      </c>
      <c r="J25" s="2" t="s">
        <v>79</v>
      </c>
      <c r="K25" s="2" t="s">
        <v>526</v>
      </c>
      <c r="L25" s="59">
        <v>3.0000000000000001E-3</v>
      </c>
      <c r="M25" s="60">
        <v>7.5000000000000002E-4</v>
      </c>
      <c r="N25" s="2" t="s">
        <v>290</v>
      </c>
      <c r="O25" s="26">
        <v>1.6999999999999999E-3</v>
      </c>
      <c r="P25" s="18">
        <v>81034</v>
      </c>
      <c r="Q25" s="21">
        <v>0</v>
      </c>
      <c r="R25" s="21">
        <v>0</v>
      </c>
      <c r="S25" s="21">
        <v>0</v>
      </c>
      <c r="T25" s="21">
        <v>0</v>
      </c>
      <c r="U25" s="18">
        <v>81033</v>
      </c>
      <c r="V25" s="21">
        <v>0</v>
      </c>
      <c r="W25" s="21">
        <v>0</v>
      </c>
      <c r="X25" s="21">
        <v>0</v>
      </c>
      <c r="Y25" s="21">
        <v>0</v>
      </c>
      <c r="Z25" s="21">
        <v>0</v>
      </c>
      <c r="AA25" s="21">
        <v>0</v>
      </c>
      <c r="AB25" s="21">
        <v>0</v>
      </c>
      <c r="AC25" s="21">
        <v>0</v>
      </c>
      <c r="AD25" s="21">
        <v>0</v>
      </c>
      <c r="AE25" s="21">
        <v>0</v>
      </c>
      <c r="AF25" s="21">
        <v>0</v>
      </c>
      <c r="AG25" s="41" t="s">
        <v>637</v>
      </c>
      <c r="AH25" s="10" t="s">
        <v>949</v>
      </c>
      <c r="AI25" s="27" t="s">
        <v>2019</v>
      </c>
      <c r="AJ25" s="27" t="s">
        <v>638</v>
      </c>
      <c r="AK25" s="61">
        <v>825104</v>
      </c>
      <c r="AL25" s="18">
        <v>81033</v>
      </c>
      <c r="AM25" s="27" t="s">
        <v>642</v>
      </c>
      <c r="AN25" s="21"/>
      <c r="AO25" s="21" t="s">
        <v>536</v>
      </c>
      <c r="AP25" s="21" t="s">
        <v>536</v>
      </c>
      <c r="AQ25" s="21" t="s">
        <v>536</v>
      </c>
      <c r="AR25" s="21" t="s">
        <v>536</v>
      </c>
      <c r="AS25" s="21" t="s">
        <v>536</v>
      </c>
      <c r="AT25" s="21" t="s">
        <v>536</v>
      </c>
      <c r="AU25" s="21" t="s">
        <v>536</v>
      </c>
      <c r="AV25" s="21" t="s">
        <v>536</v>
      </c>
      <c r="AW25" s="21" t="s">
        <v>536</v>
      </c>
      <c r="AX25" s="21" t="s">
        <v>536</v>
      </c>
      <c r="AY25" s="21" t="s">
        <v>536</v>
      </c>
      <c r="AZ25" s="27" t="s">
        <v>653</v>
      </c>
      <c r="BA25" s="27" t="s">
        <v>640</v>
      </c>
    </row>
    <row r="26" spans="1:53" s="20" customFormat="1" ht="140.25" x14ac:dyDescent="0.25">
      <c r="A26" s="2" t="s">
        <v>438</v>
      </c>
      <c r="B26" s="2" t="s">
        <v>4</v>
      </c>
      <c r="C26" s="903"/>
      <c r="D26" s="903"/>
      <c r="E26" s="903"/>
      <c r="F26" s="2" t="s">
        <v>9</v>
      </c>
      <c r="G26" s="903"/>
      <c r="H26" s="2" t="s">
        <v>291</v>
      </c>
      <c r="I26" s="2" t="s">
        <v>292</v>
      </c>
      <c r="J26" s="2" t="s">
        <v>80</v>
      </c>
      <c r="K26" s="2" t="s">
        <v>526</v>
      </c>
      <c r="L26" s="59">
        <v>3.0000000000000001E-3</v>
      </c>
      <c r="M26" s="60">
        <v>7.5000000000000002E-4</v>
      </c>
      <c r="N26" s="2" t="s">
        <v>292</v>
      </c>
      <c r="O26" s="26">
        <v>6.7000000000000002E-3</v>
      </c>
      <c r="P26" s="18">
        <v>104186</v>
      </c>
      <c r="Q26" s="21">
        <v>0</v>
      </c>
      <c r="R26" s="21">
        <v>0</v>
      </c>
      <c r="S26" s="21">
        <v>0</v>
      </c>
      <c r="T26" s="21">
        <v>0</v>
      </c>
      <c r="U26" s="18">
        <v>104186</v>
      </c>
      <c r="V26" s="21">
        <v>0</v>
      </c>
      <c r="W26" s="21">
        <v>0</v>
      </c>
      <c r="X26" s="21">
        <v>0</v>
      </c>
      <c r="Y26" s="21">
        <v>0</v>
      </c>
      <c r="Z26" s="21">
        <v>0</v>
      </c>
      <c r="AA26" s="21">
        <v>0</v>
      </c>
      <c r="AB26" s="21">
        <v>0</v>
      </c>
      <c r="AC26" s="21">
        <v>0</v>
      </c>
      <c r="AD26" s="21">
        <v>0</v>
      </c>
      <c r="AE26" s="21">
        <v>0</v>
      </c>
      <c r="AF26" s="21">
        <v>0</v>
      </c>
      <c r="AG26" s="41" t="s">
        <v>637</v>
      </c>
      <c r="AH26" s="10" t="s">
        <v>949</v>
      </c>
      <c r="AI26" s="27" t="s">
        <v>2019</v>
      </c>
      <c r="AJ26" s="27" t="s">
        <v>638</v>
      </c>
      <c r="AK26" s="61">
        <v>825104</v>
      </c>
      <c r="AL26" s="18">
        <v>104186</v>
      </c>
      <c r="AM26" s="27" t="s">
        <v>643</v>
      </c>
      <c r="AN26" s="21"/>
      <c r="AO26" s="21" t="s">
        <v>536</v>
      </c>
      <c r="AP26" s="21" t="s">
        <v>536</v>
      </c>
      <c r="AQ26" s="21" t="s">
        <v>536</v>
      </c>
      <c r="AR26" s="21" t="s">
        <v>536</v>
      </c>
      <c r="AS26" s="21" t="s">
        <v>536</v>
      </c>
      <c r="AT26" s="21" t="s">
        <v>536</v>
      </c>
      <c r="AU26" s="21" t="s">
        <v>536</v>
      </c>
      <c r="AV26" s="21" t="s">
        <v>536</v>
      </c>
      <c r="AW26" s="21" t="s">
        <v>536</v>
      </c>
      <c r="AX26" s="21" t="s">
        <v>536</v>
      </c>
      <c r="AY26" s="21" t="s">
        <v>536</v>
      </c>
      <c r="AZ26" s="27" t="s">
        <v>653</v>
      </c>
      <c r="BA26" s="27" t="s">
        <v>640</v>
      </c>
    </row>
    <row r="27" spans="1:53" s="20" customFormat="1" ht="140.25" x14ac:dyDescent="0.25">
      <c r="A27" s="2" t="s">
        <v>438</v>
      </c>
      <c r="B27" s="2" t="s">
        <v>4</v>
      </c>
      <c r="C27" s="903"/>
      <c r="D27" s="903"/>
      <c r="E27" s="903"/>
      <c r="F27" s="2" t="s">
        <v>9</v>
      </c>
      <c r="G27" s="903"/>
      <c r="H27" s="2" t="s">
        <v>293</v>
      </c>
      <c r="I27" s="2" t="s">
        <v>294</v>
      </c>
      <c r="J27" s="2">
        <v>0.2</v>
      </c>
      <c r="K27" s="2" t="s">
        <v>526</v>
      </c>
      <c r="L27" s="62">
        <v>0.2</v>
      </c>
      <c r="M27" s="62">
        <v>7.0000000000000007E-2</v>
      </c>
      <c r="N27" s="2" t="s">
        <v>294</v>
      </c>
      <c r="O27" s="28">
        <v>9.1999999999999998E-2</v>
      </c>
      <c r="P27" s="18">
        <v>34729</v>
      </c>
      <c r="Q27" s="21">
        <v>0</v>
      </c>
      <c r="R27" s="21">
        <v>0</v>
      </c>
      <c r="S27" s="21">
        <v>0</v>
      </c>
      <c r="T27" s="21">
        <v>0</v>
      </c>
      <c r="U27" s="18">
        <v>34728</v>
      </c>
      <c r="V27" s="21">
        <v>0</v>
      </c>
      <c r="W27" s="21">
        <v>0</v>
      </c>
      <c r="X27" s="21">
        <v>0</v>
      </c>
      <c r="Y27" s="21">
        <v>0</v>
      </c>
      <c r="Z27" s="21">
        <v>0</v>
      </c>
      <c r="AA27" s="21">
        <v>0</v>
      </c>
      <c r="AB27" s="21">
        <v>0</v>
      </c>
      <c r="AC27" s="21">
        <v>0</v>
      </c>
      <c r="AD27" s="21">
        <v>0</v>
      </c>
      <c r="AE27" s="21">
        <v>0</v>
      </c>
      <c r="AF27" s="21">
        <v>0</v>
      </c>
      <c r="AG27" s="41" t="s">
        <v>637</v>
      </c>
      <c r="AH27" s="10" t="s">
        <v>949</v>
      </c>
      <c r="AI27" s="27" t="s">
        <v>2019</v>
      </c>
      <c r="AJ27" s="27" t="s">
        <v>638</v>
      </c>
      <c r="AK27" s="61">
        <v>825104</v>
      </c>
      <c r="AL27" s="18">
        <v>34728</v>
      </c>
      <c r="AM27" s="27" t="s">
        <v>644</v>
      </c>
      <c r="AN27" s="21"/>
      <c r="AO27" s="21" t="s">
        <v>536</v>
      </c>
      <c r="AP27" s="21" t="s">
        <v>536</v>
      </c>
      <c r="AQ27" s="21" t="s">
        <v>536</v>
      </c>
      <c r="AR27" s="21" t="s">
        <v>536</v>
      </c>
      <c r="AS27" s="21" t="s">
        <v>536</v>
      </c>
      <c r="AT27" s="21" t="s">
        <v>536</v>
      </c>
      <c r="AU27" s="21" t="s">
        <v>536</v>
      </c>
      <c r="AV27" s="21" t="s">
        <v>536</v>
      </c>
      <c r="AW27" s="21" t="s">
        <v>536</v>
      </c>
      <c r="AX27" s="21" t="s">
        <v>536</v>
      </c>
      <c r="AY27" s="21" t="s">
        <v>536</v>
      </c>
      <c r="AZ27" s="27" t="s">
        <v>653</v>
      </c>
      <c r="BA27" s="27" t="s">
        <v>640</v>
      </c>
    </row>
    <row r="28" spans="1:53" s="20" customFormat="1" ht="140.25" x14ac:dyDescent="0.25">
      <c r="A28" s="2" t="s">
        <v>438</v>
      </c>
      <c r="B28" s="2" t="s">
        <v>4</v>
      </c>
      <c r="C28" s="903"/>
      <c r="D28" s="903"/>
      <c r="E28" s="903"/>
      <c r="F28" s="2" t="s">
        <v>9</v>
      </c>
      <c r="G28" s="903"/>
      <c r="H28" s="2" t="s">
        <v>295</v>
      </c>
      <c r="I28" s="2" t="s">
        <v>296</v>
      </c>
      <c r="J28" s="2" t="s">
        <v>76</v>
      </c>
      <c r="K28" s="2" t="s">
        <v>526</v>
      </c>
      <c r="L28" s="62">
        <v>0.2</v>
      </c>
      <c r="M28" s="62">
        <v>7.0000000000000007E-2</v>
      </c>
      <c r="N28" s="2" t="s">
        <v>296</v>
      </c>
      <c r="O28" s="28">
        <v>9.1999999999999998E-2</v>
      </c>
      <c r="P28" s="18">
        <v>47463</v>
      </c>
      <c r="Q28" s="21">
        <v>0</v>
      </c>
      <c r="R28" s="21">
        <v>0</v>
      </c>
      <c r="S28" s="21">
        <v>0</v>
      </c>
      <c r="T28" s="21">
        <v>0</v>
      </c>
      <c r="U28" s="18">
        <v>47462</v>
      </c>
      <c r="V28" s="21">
        <v>0</v>
      </c>
      <c r="W28" s="21">
        <v>0</v>
      </c>
      <c r="X28" s="21">
        <v>0</v>
      </c>
      <c r="Y28" s="21">
        <v>0</v>
      </c>
      <c r="Z28" s="21">
        <v>0</v>
      </c>
      <c r="AA28" s="21">
        <v>0</v>
      </c>
      <c r="AB28" s="21">
        <v>0</v>
      </c>
      <c r="AC28" s="21">
        <v>0</v>
      </c>
      <c r="AD28" s="21">
        <v>0</v>
      </c>
      <c r="AE28" s="21">
        <v>0</v>
      </c>
      <c r="AF28" s="21">
        <v>0</v>
      </c>
      <c r="AG28" s="41" t="s">
        <v>637</v>
      </c>
      <c r="AH28" s="10" t="s">
        <v>949</v>
      </c>
      <c r="AI28" s="27" t="s">
        <v>2019</v>
      </c>
      <c r="AJ28" s="27" t="s">
        <v>638</v>
      </c>
      <c r="AK28" s="61">
        <v>825104</v>
      </c>
      <c r="AL28" s="18">
        <v>47462</v>
      </c>
      <c r="AM28" s="27" t="s">
        <v>645</v>
      </c>
      <c r="AN28" s="21"/>
      <c r="AO28" s="21" t="s">
        <v>536</v>
      </c>
      <c r="AP28" s="21" t="s">
        <v>536</v>
      </c>
      <c r="AQ28" s="21" t="s">
        <v>536</v>
      </c>
      <c r="AR28" s="21" t="s">
        <v>536</v>
      </c>
      <c r="AS28" s="21" t="s">
        <v>536</v>
      </c>
      <c r="AT28" s="21" t="s">
        <v>536</v>
      </c>
      <c r="AU28" s="21" t="s">
        <v>536</v>
      </c>
      <c r="AV28" s="21" t="s">
        <v>536</v>
      </c>
      <c r="AW28" s="21" t="s">
        <v>536</v>
      </c>
      <c r="AX28" s="21" t="s">
        <v>536</v>
      </c>
      <c r="AY28" s="21" t="s">
        <v>536</v>
      </c>
      <c r="AZ28" s="27" t="s">
        <v>653</v>
      </c>
      <c r="BA28" s="27" t="s">
        <v>640</v>
      </c>
    </row>
    <row r="29" spans="1:53" s="20" customFormat="1" ht="114.75" x14ac:dyDescent="0.25">
      <c r="A29" s="2" t="s">
        <v>438</v>
      </c>
      <c r="B29" s="2" t="s">
        <v>4</v>
      </c>
      <c r="C29" s="903"/>
      <c r="D29" s="903"/>
      <c r="E29" s="903"/>
      <c r="F29" s="2" t="s">
        <v>9</v>
      </c>
      <c r="G29" s="903"/>
      <c r="H29" s="2" t="s">
        <v>297</v>
      </c>
      <c r="I29" s="2" t="s">
        <v>298</v>
      </c>
      <c r="J29" s="2" t="s">
        <v>81</v>
      </c>
      <c r="K29" s="2" t="s">
        <v>526</v>
      </c>
      <c r="L29" s="62">
        <v>0.3</v>
      </c>
      <c r="M29" s="62">
        <v>0.1</v>
      </c>
      <c r="N29" s="2" t="s">
        <v>298</v>
      </c>
      <c r="O29" s="29" t="s">
        <v>654</v>
      </c>
      <c r="P29" s="18">
        <v>81034</v>
      </c>
      <c r="Q29" s="21">
        <v>0</v>
      </c>
      <c r="R29" s="21">
        <v>0</v>
      </c>
      <c r="S29" s="21">
        <v>0</v>
      </c>
      <c r="T29" s="21">
        <v>0</v>
      </c>
      <c r="U29" s="18">
        <v>81033</v>
      </c>
      <c r="V29" s="21">
        <v>0</v>
      </c>
      <c r="W29" s="21">
        <v>0</v>
      </c>
      <c r="X29" s="21">
        <v>0</v>
      </c>
      <c r="Y29" s="21">
        <v>0</v>
      </c>
      <c r="Z29" s="21">
        <v>0</v>
      </c>
      <c r="AA29" s="21">
        <v>0</v>
      </c>
      <c r="AB29" s="21">
        <v>0</v>
      </c>
      <c r="AC29" s="21">
        <v>0</v>
      </c>
      <c r="AD29" s="21">
        <v>0</v>
      </c>
      <c r="AE29" s="21">
        <v>0</v>
      </c>
      <c r="AF29" s="21">
        <v>0</v>
      </c>
      <c r="AG29" s="41" t="s">
        <v>637</v>
      </c>
      <c r="AH29" s="10" t="s">
        <v>949</v>
      </c>
      <c r="AI29" s="27" t="s">
        <v>2019</v>
      </c>
      <c r="AJ29" s="27" t="s">
        <v>646</v>
      </c>
      <c r="AK29" s="30">
        <v>161033</v>
      </c>
      <c r="AL29" s="18">
        <v>81033</v>
      </c>
      <c r="AM29" s="27" t="s">
        <v>647</v>
      </c>
      <c r="AN29" s="21"/>
      <c r="AO29" s="21" t="s">
        <v>536</v>
      </c>
      <c r="AP29" s="21" t="s">
        <v>536</v>
      </c>
      <c r="AQ29" s="21" t="s">
        <v>536</v>
      </c>
      <c r="AR29" s="21" t="s">
        <v>536</v>
      </c>
      <c r="AS29" s="21" t="s">
        <v>536</v>
      </c>
      <c r="AT29" s="21" t="s">
        <v>536</v>
      </c>
      <c r="AU29" s="21" t="s">
        <v>536</v>
      </c>
      <c r="AV29" s="21" t="s">
        <v>536</v>
      </c>
      <c r="AW29" s="21" t="s">
        <v>536</v>
      </c>
      <c r="AX29" s="21" t="s">
        <v>536</v>
      </c>
      <c r="AY29" s="21" t="s">
        <v>536</v>
      </c>
      <c r="AZ29" s="27" t="s">
        <v>653</v>
      </c>
      <c r="BA29" s="27" t="s">
        <v>648</v>
      </c>
    </row>
    <row r="30" spans="1:53" s="20" customFormat="1" ht="178.5" x14ac:dyDescent="0.25">
      <c r="A30" s="2" t="s">
        <v>438</v>
      </c>
      <c r="B30" s="2" t="s">
        <v>4</v>
      </c>
      <c r="C30" s="903"/>
      <c r="D30" s="903"/>
      <c r="E30" s="903"/>
      <c r="F30" s="2" t="s">
        <v>9</v>
      </c>
      <c r="G30" s="903"/>
      <c r="H30" s="2" t="s">
        <v>472</v>
      </c>
      <c r="I30" s="2" t="s">
        <v>473</v>
      </c>
      <c r="J30" s="2" t="s">
        <v>76</v>
      </c>
      <c r="K30" s="2" t="s">
        <v>526</v>
      </c>
      <c r="L30" s="2">
        <v>1</v>
      </c>
      <c r="M30" s="2">
        <v>0.24</v>
      </c>
      <c r="N30" s="2" t="s">
        <v>473</v>
      </c>
      <c r="O30" s="26">
        <v>4.4999999999999997E-3</v>
      </c>
      <c r="P30" s="18">
        <v>81033</v>
      </c>
      <c r="Q30" s="21">
        <v>0</v>
      </c>
      <c r="R30" s="21">
        <v>0</v>
      </c>
      <c r="S30" s="21">
        <v>0</v>
      </c>
      <c r="T30" s="21">
        <v>0</v>
      </c>
      <c r="U30" s="18">
        <v>81033</v>
      </c>
      <c r="V30" s="21">
        <v>0</v>
      </c>
      <c r="W30" s="21">
        <v>0</v>
      </c>
      <c r="X30" s="21">
        <v>0</v>
      </c>
      <c r="Y30" s="21">
        <v>0</v>
      </c>
      <c r="Z30" s="21">
        <v>0</v>
      </c>
      <c r="AA30" s="21">
        <v>0</v>
      </c>
      <c r="AB30" s="21">
        <v>0</v>
      </c>
      <c r="AC30" s="21">
        <v>0</v>
      </c>
      <c r="AD30" s="21">
        <v>0</v>
      </c>
      <c r="AE30" s="21">
        <v>0</v>
      </c>
      <c r="AF30" s="21">
        <v>0</v>
      </c>
      <c r="AG30" s="41" t="s">
        <v>637</v>
      </c>
      <c r="AH30" s="10" t="s">
        <v>949</v>
      </c>
      <c r="AI30" s="27">
        <v>42</v>
      </c>
      <c r="AJ30" s="27" t="s">
        <v>578</v>
      </c>
      <c r="AK30" s="63">
        <v>1426938</v>
      </c>
      <c r="AL30" s="18">
        <v>81033</v>
      </c>
      <c r="AM30" s="27" t="s">
        <v>649</v>
      </c>
      <c r="AN30" s="21"/>
      <c r="AO30" s="21" t="s">
        <v>536</v>
      </c>
      <c r="AP30" s="21" t="s">
        <v>536</v>
      </c>
      <c r="AQ30" s="21" t="s">
        <v>536</v>
      </c>
      <c r="AR30" s="21" t="s">
        <v>536</v>
      </c>
      <c r="AS30" s="21" t="s">
        <v>536</v>
      </c>
      <c r="AT30" s="21" t="s">
        <v>536</v>
      </c>
      <c r="AU30" s="21" t="s">
        <v>536</v>
      </c>
      <c r="AV30" s="21" t="s">
        <v>536</v>
      </c>
      <c r="AW30" s="21" t="s">
        <v>536</v>
      </c>
      <c r="AX30" s="21" t="s">
        <v>536</v>
      </c>
      <c r="AY30" s="21" t="s">
        <v>536</v>
      </c>
      <c r="AZ30" s="27" t="s">
        <v>653</v>
      </c>
      <c r="BA30" s="27" t="s">
        <v>650</v>
      </c>
    </row>
    <row r="31" spans="1:53" s="20" customFormat="1" ht="140.25" x14ac:dyDescent="0.25">
      <c r="A31" s="2" t="s">
        <v>438</v>
      </c>
      <c r="B31" s="2" t="s">
        <v>4</v>
      </c>
      <c r="C31" s="903"/>
      <c r="D31" s="903"/>
      <c r="E31" s="903"/>
      <c r="F31" s="2" t="s">
        <v>9</v>
      </c>
      <c r="G31" s="903"/>
      <c r="H31" s="2" t="s">
        <v>299</v>
      </c>
      <c r="I31" s="2" t="s">
        <v>300</v>
      </c>
      <c r="J31" s="2" t="s">
        <v>76</v>
      </c>
      <c r="K31" s="2" t="s">
        <v>526</v>
      </c>
      <c r="L31" s="2">
        <v>1</v>
      </c>
      <c r="M31" s="2">
        <v>0.24</v>
      </c>
      <c r="N31" s="2" t="s">
        <v>300</v>
      </c>
      <c r="O31" s="26">
        <v>5.1000000000000004E-3</v>
      </c>
      <c r="P31" s="18">
        <v>57881</v>
      </c>
      <c r="Q31" s="21">
        <v>0</v>
      </c>
      <c r="R31" s="21">
        <v>0</v>
      </c>
      <c r="S31" s="21">
        <v>0</v>
      </c>
      <c r="T31" s="21">
        <v>0</v>
      </c>
      <c r="U31" s="18">
        <v>57881</v>
      </c>
      <c r="V31" s="21">
        <v>0</v>
      </c>
      <c r="W31" s="21">
        <v>0</v>
      </c>
      <c r="X31" s="21">
        <v>0</v>
      </c>
      <c r="Y31" s="21">
        <v>0</v>
      </c>
      <c r="Z31" s="21">
        <v>0</v>
      </c>
      <c r="AA31" s="21">
        <v>0</v>
      </c>
      <c r="AB31" s="21">
        <v>0</v>
      </c>
      <c r="AC31" s="21">
        <v>0</v>
      </c>
      <c r="AD31" s="21">
        <v>0</v>
      </c>
      <c r="AE31" s="21">
        <v>0</v>
      </c>
      <c r="AF31" s="21">
        <v>0</v>
      </c>
      <c r="AG31" s="41" t="s">
        <v>637</v>
      </c>
      <c r="AH31" s="10" t="s">
        <v>949</v>
      </c>
      <c r="AI31" s="27">
        <v>42</v>
      </c>
      <c r="AJ31" s="27" t="s">
        <v>578</v>
      </c>
      <c r="AK31" s="63">
        <v>1426938</v>
      </c>
      <c r="AL31" s="18">
        <v>57881</v>
      </c>
      <c r="AM31" s="27" t="s">
        <v>651</v>
      </c>
      <c r="AN31" s="21"/>
      <c r="AO31" s="21" t="s">
        <v>536</v>
      </c>
      <c r="AP31" s="21" t="s">
        <v>536</v>
      </c>
      <c r="AQ31" s="21" t="s">
        <v>536</v>
      </c>
      <c r="AR31" s="21" t="s">
        <v>536</v>
      </c>
      <c r="AS31" s="21" t="s">
        <v>536</v>
      </c>
      <c r="AT31" s="21" t="s">
        <v>536</v>
      </c>
      <c r="AU31" s="21" t="s">
        <v>536</v>
      </c>
      <c r="AV31" s="21" t="s">
        <v>536</v>
      </c>
      <c r="AW31" s="21" t="s">
        <v>536</v>
      </c>
      <c r="AX31" s="21" t="s">
        <v>536</v>
      </c>
      <c r="AY31" s="21" t="s">
        <v>536</v>
      </c>
      <c r="AZ31" s="27" t="s">
        <v>653</v>
      </c>
      <c r="BA31" s="27" t="s">
        <v>650</v>
      </c>
    </row>
    <row r="32" spans="1:53" s="20" customFormat="1" ht="140.25" x14ac:dyDescent="0.25">
      <c r="A32" s="2" t="s">
        <v>438</v>
      </c>
      <c r="B32" s="2" t="s">
        <v>4</v>
      </c>
      <c r="C32" s="903"/>
      <c r="D32" s="903"/>
      <c r="E32" s="903"/>
      <c r="F32" s="2" t="s">
        <v>9</v>
      </c>
      <c r="G32" s="903"/>
      <c r="H32" s="2" t="s">
        <v>301</v>
      </c>
      <c r="I32" s="2" t="s">
        <v>302</v>
      </c>
      <c r="J32" s="2" t="s">
        <v>82</v>
      </c>
      <c r="K32" s="2" t="s">
        <v>526</v>
      </c>
      <c r="L32" s="62">
        <v>0.02</v>
      </c>
      <c r="M32" s="64">
        <v>6.4999999999999997E-3</v>
      </c>
      <c r="N32" s="2" t="s">
        <v>302</v>
      </c>
      <c r="O32" s="31" t="s">
        <v>655</v>
      </c>
      <c r="P32" s="18">
        <v>138865</v>
      </c>
      <c r="Q32" s="21">
        <v>0</v>
      </c>
      <c r="R32" s="21">
        <v>0</v>
      </c>
      <c r="S32" s="21">
        <v>0</v>
      </c>
      <c r="T32" s="21">
        <v>0</v>
      </c>
      <c r="U32" s="18">
        <v>138865</v>
      </c>
      <c r="V32" s="21">
        <v>0</v>
      </c>
      <c r="W32" s="21">
        <v>0</v>
      </c>
      <c r="X32" s="21">
        <v>0</v>
      </c>
      <c r="Y32" s="21">
        <v>0</v>
      </c>
      <c r="Z32" s="21">
        <v>0</v>
      </c>
      <c r="AA32" s="21">
        <v>0</v>
      </c>
      <c r="AB32" s="21">
        <v>0</v>
      </c>
      <c r="AC32" s="21">
        <v>0</v>
      </c>
      <c r="AD32" s="21">
        <v>0</v>
      </c>
      <c r="AE32" s="21">
        <v>0</v>
      </c>
      <c r="AF32" s="21">
        <v>0</v>
      </c>
      <c r="AG32" s="41" t="s">
        <v>637</v>
      </c>
      <c r="AH32" s="10" t="s">
        <v>949</v>
      </c>
      <c r="AI32" s="27" t="s">
        <v>2019</v>
      </c>
      <c r="AJ32" s="27" t="s">
        <v>638</v>
      </c>
      <c r="AK32" s="61">
        <v>825104</v>
      </c>
      <c r="AL32" s="18">
        <v>138865</v>
      </c>
      <c r="AM32" s="27" t="s">
        <v>652</v>
      </c>
      <c r="AN32" s="21"/>
      <c r="AO32" s="21" t="s">
        <v>536</v>
      </c>
      <c r="AP32" s="21" t="s">
        <v>536</v>
      </c>
      <c r="AQ32" s="21" t="s">
        <v>536</v>
      </c>
      <c r="AR32" s="21" t="s">
        <v>536</v>
      </c>
      <c r="AS32" s="21" t="s">
        <v>536</v>
      </c>
      <c r="AT32" s="21" t="s">
        <v>536</v>
      </c>
      <c r="AU32" s="21" t="s">
        <v>536</v>
      </c>
      <c r="AV32" s="21" t="s">
        <v>536</v>
      </c>
      <c r="AW32" s="21" t="s">
        <v>536</v>
      </c>
      <c r="AX32" s="21" t="s">
        <v>536</v>
      </c>
      <c r="AY32" s="21" t="s">
        <v>536</v>
      </c>
      <c r="AZ32" s="27" t="s">
        <v>653</v>
      </c>
      <c r="BA32" s="27" t="s">
        <v>640</v>
      </c>
    </row>
    <row r="33" spans="1:53" s="20" customFormat="1" ht="134.25" customHeight="1" x14ac:dyDescent="0.25">
      <c r="A33" s="2" t="s">
        <v>438</v>
      </c>
      <c r="B33" s="2" t="s">
        <v>4</v>
      </c>
      <c r="C33" s="2" t="s">
        <v>11</v>
      </c>
      <c r="D33" s="2" t="s">
        <v>303</v>
      </c>
      <c r="E33" s="2" t="s">
        <v>76</v>
      </c>
      <c r="F33" s="2" t="s">
        <v>12</v>
      </c>
      <c r="G33" s="903" t="s">
        <v>13</v>
      </c>
      <c r="H33" s="2" t="s">
        <v>304</v>
      </c>
      <c r="I33" s="2" t="s">
        <v>305</v>
      </c>
      <c r="J33" s="2">
        <v>0</v>
      </c>
      <c r="K33" s="2" t="s">
        <v>526</v>
      </c>
      <c r="L33" s="2">
        <v>42</v>
      </c>
      <c r="M33" s="2">
        <v>12</v>
      </c>
      <c r="N33" s="2" t="s">
        <v>305</v>
      </c>
      <c r="O33" s="33">
        <v>30</v>
      </c>
      <c r="P33" s="18">
        <v>196796</v>
      </c>
      <c r="Q33" s="65"/>
      <c r="R33" s="21"/>
      <c r="S33" s="21"/>
      <c r="T33" s="21"/>
      <c r="U33" s="33">
        <v>196796</v>
      </c>
      <c r="V33" s="33"/>
      <c r="W33" s="21"/>
      <c r="X33" s="21"/>
      <c r="Y33" s="21"/>
      <c r="Z33" s="21"/>
      <c r="AA33" s="21"/>
      <c r="AB33" s="21"/>
      <c r="AC33" s="21"/>
      <c r="AD33" s="21"/>
      <c r="AE33" s="21"/>
      <c r="AF33" s="21"/>
      <c r="AG33" s="10" t="s">
        <v>656</v>
      </c>
      <c r="AH33" s="10" t="s">
        <v>949</v>
      </c>
      <c r="AI33" s="77" t="s">
        <v>657</v>
      </c>
      <c r="AJ33" s="10" t="s">
        <v>658</v>
      </c>
      <c r="AK33" s="10" t="s">
        <v>659</v>
      </c>
      <c r="AL33" s="18">
        <v>196796</v>
      </c>
      <c r="AM33" s="10" t="s">
        <v>660</v>
      </c>
      <c r="AN33" s="21"/>
      <c r="AO33" s="21"/>
      <c r="AP33" s="21" t="s">
        <v>536</v>
      </c>
      <c r="AQ33" s="21" t="s">
        <v>536</v>
      </c>
      <c r="AR33" s="21" t="s">
        <v>536</v>
      </c>
      <c r="AS33" s="21" t="s">
        <v>536</v>
      </c>
      <c r="AT33" s="21" t="s">
        <v>536</v>
      </c>
      <c r="AU33" s="21" t="s">
        <v>536</v>
      </c>
      <c r="AV33" s="21" t="s">
        <v>536</v>
      </c>
      <c r="AW33" s="21" t="s">
        <v>536</v>
      </c>
      <c r="AX33" s="21" t="s">
        <v>536</v>
      </c>
      <c r="AY33" s="21" t="s">
        <v>536</v>
      </c>
      <c r="AZ33" s="10" t="s">
        <v>661</v>
      </c>
      <c r="BA33" s="10" t="s">
        <v>662</v>
      </c>
    </row>
    <row r="34" spans="1:53" s="20" customFormat="1" ht="108.75" customHeight="1" x14ac:dyDescent="0.25">
      <c r="A34" s="2" t="s">
        <v>438</v>
      </c>
      <c r="B34" s="2" t="s">
        <v>4</v>
      </c>
      <c r="C34" s="2" t="s">
        <v>83</v>
      </c>
      <c r="D34" s="2" t="s">
        <v>306</v>
      </c>
      <c r="E34" s="2" t="s">
        <v>76</v>
      </c>
      <c r="F34" s="2" t="s">
        <v>12</v>
      </c>
      <c r="G34" s="903"/>
      <c r="H34" s="2" t="s">
        <v>307</v>
      </c>
      <c r="I34" s="2" t="s">
        <v>308</v>
      </c>
      <c r="J34" s="2">
        <v>0</v>
      </c>
      <c r="K34" s="2" t="s">
        <v>526</v>
      </c>
      <c r="L34" s="2">
        <v>42</v>
      </c>
      <c r="M34" s="2">
        <v>12</v>
      </c>
      <c r="N34" s="2" t="s">
        <v>308</v>
      </c>
      <c r="O34" s="33">
        <v>33</v>
      </c>
      <c r="P34" s="18">
        <v>1946796</v>
      </c>
      <c r="Q34" s="66"/>
      <c r="R34" s="10"/>
      <c r="S34" s="21"/>
      <c r="T34" s="21"/>
      <c r="U34" s="33">
        <v>196796</v>
      </c>
      <c r="V34" s="33">
        <v>1750000</v>
      </c>
      <c r="W34" s="21"/>
      <c r="X34" s="21"/>
      <c r="Y34" s="21"/>
      <c r="Z34" s="21"/>
      <c r="AA34" s="21"/>
      <c r="AB34" s="21"/>
      <c r="AC34" s="21"/>
      <c r="AD34" s="21"/>
      <c r="AE34" s="21"/>
      <c r="AF34" s="21"/>
      <c r="AG34" s="10" t="s">
        <v>656</v>
      </c>
      <c r="AH34" s="10" t="s">
        <v>949</v>
      </c>
      <c r="AI34" s="77" t="s">
        <v>663</v>
      </c>
      <c r="AJ34" s="10" t="s">
        <v>664</v>
      </c>
      <c r="AK34" s="21">
        <v>720</v>
      </c>
      <c r="AL34" s="18">
        <v>1946796</v>
      </c>
      <c r="AM34" s="10" t="s">
        <v>665</v>
      </c>
      <c r="AN34" s="21"/>
      <c r="AO34" s="21"/>
      <c r="AP34" s="21" t="s">
        <v>536</v>
      </c>
      <c r="AQ34" s="21" t="s">
        <v>536</v>
      </c>
      <c r="AR34" s="21" t="s">
        <v>536</v>
      </c>
      <c r="AS34" s="21" t="s">
        <v>536</v>
      </c>
      <c r="AT34" s="21" t="s">
        <v>536</v>
      </c>
      <c r="AU34" s="21" t="s">
        <v>536</v>
      </c>
      <c r="AV34" s="21" t="s">
        <v>536</v>
      </c>
      <c r="AW34" s="21" t="s">
        <v>536</v>
      </c>
      <c r="AX34" s="21" t="s">
        <v>536</v>
      </c>
      <c r="AY34" s="21" t="s">
        <v>536</v>
      </c>
      <c r="AZ34" s="10" t="s">
        <v>661</v>
      </c>
      <c r="BA34" s="10" t="s">
        <v>666</v>
      </c>
    </row>
    <row r="35" spans="1:53" s="20" customFormat="1" ht="166.5" customHeight="1" x14ac:dyDescent="0.25">
      <c r="A35" s="2" t="s">
        <v>438</v>
      </c>
      <c r="B35" s="2" t="s">
        <v>4</v>
      </c>
      <c r="C35" s="2" t="s">
        <v>14</v>
      </c>
      <c r="D35" s="2" t="s">
        <v>309</v>
      </c>
      <c r="E35" s="2" t="s">
        <v>76</v>
      </c>
      <c r="F35" s="2" t="s">
        <v>12</v>
      </c>
      <c r="G35" s="903"/>
      <c r="H35" s="2" t="s">
        <v>310</v>
      </c>
      <c r="I35" s="2" t="s">
        <v>311</v>
      </c>
      <c r="J35" s="2">
        <v>0</v>
      </c>
      <c r="K35" s="2" t="s">
        <v>526</v>
      </c>
      <c r="L35" s="2">
        <v>42</v>
      </c>
      <c r="M35" s="2">
        <v>12</v>
      </c>
      <c r="N35" s="2" t="s">
        <v>311</v>
      </c>
      <c r="O35" s="33">
        <v>33</v>
      </c>
      <c r="P35" s="18">
        <v>341499</v>
      </c>
      <c r="Q35" s="10"/>
      <c r="R35" s="21"/>
      <c r="S35" s="21"/>
      <c r="T35" s="21"/>
      <c r="U35" s="18">
        <v>341499</v>
      </c>
      <c r="V35" s="33"/>
      <c r="W35" s="21"/>
      <c r="X35" s="21"/>
      <c r="Y35" s="21"/>
      <c r="Z35" s="21"/>
      <c r="AA35" s="21"/>
      <c r="AB35" s="21"/>
      <c r="AC35" s="21"/>
      <c r="AD35" s="21"/>
      <c r="AE35" s="21"/>
      <c r="AF35" s="21"/>
      <c r="AG35" s="10" t="s">
        <v>656</v>
      </c>
      <c r="AH35" s="10" t="s">
        <v>949</v>
      </c>
      <c r="AI35" s="77" t="s">
        <v>667</v>
      </c>
      <c r="AJ35" s="10" t="s">
        <v>668</v>
      </c>
      <c r="AK35" s="21">
        <v>880</v>
      </c>
      <c r="AL35" s="18">
        <v>341499</v>
      </c>
      <c r="AM35" s="10" t="s">
        <v>669</v>
      </c>
      <c r="AN35" s="21"/>
      <c r="AO35" s="21"/>
      <c r="AP35" s="21" t="s">
        <v>536</v>
      </c>
      <c r="AQ35" s="21" t="s">
        <v>536</v>
      </c>
      <c r="AR35" s="21" t="s">
        <v>536</v>
      </c>
      <c r="AS35" s="21" t="s">
        <v>536</v>
      </c>
      <c r="AT35" s="21" t="s">
        <v>536</v>
      </c>
      <c r="AU35" s="21" t="s">
        <v>536</v>
      </c>
      <c r="AV35" s="21" t="s">
        <v>536</v>
      </c>
      <c r="AW35" s="21" t="s">
        <v>536</v>
      </c>
      <c r="AX35" s="21" t="s">
        <v>536</v>
      </c>
      <c r="AY35" s="21" t="s">
        <v>536</v>
      </c>
      <c r="AZ35" s="10" t="s">
        <v>661</v>
      </c>
      <c r="BA35" s="10" t="s">
        <v>670</v>
      </c>
    </row>
    <row r="36" spans="1:53" s="20" customFormat="1" ht="97.5" customHeight="1" x14ac:dyDescent="0.25">
      <c r="A36" s="2" t="s">
        <v>438</v>
      </c>
      <c r="B36" s="2" t="s">
        <v>4</v>
      </c>
      <c r="C36" s="903" t="s">
        <v>15</v>
      </c>
      <c r="D36" s="903" t="s">
        <v>312</v>
      </c>
      <c r="E36" s="903">
        <v>4.5999999999999999E-2</v>
      </c>
      <c r="F36" s="2" t="s">
        <v>16</v>
      </c>
      <c r="G36" s="903" t="s">
        <v>17</v>
      </c>
      <c r="H36" s="2" t="s">
        <v>313</v>
      </c>
      <c r="I36" s="2" t="s">
        <v>314</v>
      </c>
      <c r="J36" s="2">
        <v>34</v>
      </c>
      <c r="K36" s="2" t="s">
        <v>526</v>
      </c>
      <c r="L36" s="2">
        <v>34</v>
      </c>
      <c r="M36" s="2">
        <v>12</v>
      </c>
      <c r="N36" s="2" t="s">
        <v>314</v>
      </c>
      <c r="O36" s="2">
        <v>30</v>
      </c>
      <c r="P36" s="18">
        <v>28940.625</v>
      </c>
      <c r="Q36" s="21">
        <v>0</v>
      </c>
      <c r="R36" s="21">
        <v>0</v>
      </c>
      <c r="S36" s="21">
        <v>0</v>
      </c>
      <c r="T36" s="21">
        <v>0</v>
      </c>
      <c r="U36" s="18">
        <v>28940.625</v>
      </c>
      <c r="V36" s="21">
        <v>0</v>
      </c>
      <c r="W36" s="21">
        <v>0</v>
      </c>
      <c r="X36" s="21">
        <v>0</v>
      </c>
      <c r="Y36" s="21">
        <v>0</v>
      </c>
      <c r="Z36" s="21">
        <v>0</v>
      </c>
      <c r="AA36" s="21">
        <v>0</v>
      </c>
      <c r="AB36" s="21">
        <v>0</v>
      </c>
      <c r="AC36" s="21">
        <v>0</v>
      </c>
      <c r="AD36" s="21">
        <v>0</v>
      </c>
      <c r="AE36" s="21">
        <v>0</v>
      </c>
      <c r="AF36" s="21">
        <v>0</v>
      </c>
      <c r="AG36" s="10" t="s">
        <v>16</v>
      </c>
      <c r="AH36" s="10" t="s">
        <v>949</v>
      </c>
      <c r="AI36" s="77" t="s">
        <v>748</v>
      </c>
      <c r="AJ36" s="10" t="s">
        <v>673</v>
      </c>
      <c r="AK36" s="67" t="s">
        <v>671</v>
      </c>
      <c r="AL36" s="21"/>
      <c r="AM36" s="41" t="s">
        <v>672</v>
      </c>
      <c r="AN36" s="21"/>
      <c r="AO36" s="21"/>
      <c r="AP36" s="39" t="s">
        <v>554</v>
      </c>
      <c r="AQ36" s="39" t="s">
        <v>554</v>
      </c>
      <c r="AR36" s="39" t="s">
        <v>554</v>
      </c>
      <c r="AS36" s="39" t="s">
        <v>554</v>
      </c>
      <c r="AT36" s="39" t="s">
        <v>554</v>
      </c>
      <c r="AU36" s="39" t="s">
        <v>554</v>
      </c>
      <c r="AV36" s="39" t="s">
        <v>554</v>
      </c>
      <c r="AW36" s="39" t="s">
        <v>554</v>
      </c>
      <c r="AX36" s="39" t="s">
        <v>554</v>
      </c>
      <c r="AY36" s="39" t="s">
        <v>554</v>
      </c>
      <c r="AZ36" s="27" t="s">
        <v>754</v>
      </c>
      <c r="BA36" s="67" t="s">
        <v>671</v>
      </c>
    </row>
    <row r="37" spans="1:53" s="20" customFormat="1" ht="87" customHeight="1" x14ac:dyDescent="0.25">
      <c r="A37" s="2" t="s">
        <v>438</v>
      </c>
      <c r="B37" s="2" t="s">
        <v>4</v>
      </c>
      <c r="C37" s="903"/>
      <c r="D37" s="903"/>
      <c r="E37" s="903"/>
      <c r="F37" s="2" t="s">
        <v>16</v>
      </c>
      <c r="G37" s="903"/>
      <c r="H37" s="2" t="s">
        <v>84</v>
      </c>
      <c r="I37" s="2" t="s">
        <v>315</v>
      </c>
      <c r="J37" s="2">
        <v>0.03</v>
      </c>
      <c r="K37" s="2" t="s">
        <v>527</v>
      </c>
      <c r="L37" s="62">
        <v>0.1</v>
      </c>
      <c r="M37" s="62">
        <v>0.1</v>
      </c>
      <c r="N37" s="2" t="s">
        <v>315</v>
      </c>
      <c r="O37" s="62">
        <v>0.1</v>
      </c>
      <c r="P37" s="18">
        <v>28940.625</v>
      </c>
      <c r="Q37" s="21">
        <v>0</v>
      </c>
      <c r="R37" s="21">
        <v>0</v>
      </c>
      <c r="S37" s="21">
        <v>0</v>
      </c>
      <c r="T37" s="21">
        <v>0</v>
      </c>
      <c r="U37" s="18">
        <v>28940.625</v>
      </c>
      <c r="V37" s="21">
        <v>0</v>
      </c>
      <c r="W37" s="21">
        <v>0</v>
      </c>
      <c r="X37" s="21">
        <v>0</v>
      </c>
      <c r="Y37" s="21">
        <v>0</v>
      </c>
      <c r="Z37" s="21">
        <v>0</v>
      </c>
      <c r="AA37" s="21">
        <v>0</v>
      </c>
      <c r="AB37" s="21">
        <v>0</v>
      </c>
      <c r="AC37" s="21">
        <v>0</v>
      </c>
      <c r="AD37" s="21">
        <v>0</v>
      </c>
      <c r="AE37" s="21">
        <v>0</v>
      </c>
      <c r="AF37" s="21">
        <v>0</v>
      </c>
      <c r="AG37" s="10" t="s">
        <v>16</v>
      </c>
      <c r="AH37" s="10" t="s">
        <v>949</v>
      </c>
      <c r="AI37" s="77">
        <v>42</v>
      </c>
      <c r="AJ37" s="10" t="s">
        <v>673</v>
      </c>
      <c r="AK37" s="27" t="s">
        <v>674</v>
      </c>
      <c r="AL37" s="21"/>
      <c r="AM37" s="41" t="s">
        <v>675</v>
      </c>
      <c r="AN37" s="21"/>
      <c r="AO37" s="21"/>
      <c r="AP37" s="39" t="s">
        <v>554</v>
      </c>
      <c r="AQ37" s="39" t="s">
        <v>554</v>
      </c>
      <c r="AR37" s="39" t="s">
        <v>554</v>
      </c>
      <c r="AS37" s="39" t="s">
        <v>554</v>
      </c>
      <c r="AT37" s="39" t="s">
        <v>554</v>
      </c>
      <c r="AU37" s="39" t="s">
        <v>554</v>
      </c>
      <c r="AV37" s="39" t="s">
        <v>554</v>
      </c>
      <c r="AW37" s="39" t="s">
        <v>554</v>
      </c>
      <c r="AX37" s="39" t="s">
        <v>554</v>
      </c>
      <c r="AY37" s="39" t="s">
        <v>554</v>
      </c>
      <c r="AZ37" s="27" t="s">
        <v>754</v>
      </c>
      <c r="BA37" s="27" t="s">
        <v>674</v>
      </c>
    </row>
    <row r="38" spans="1:53" s="20" customFormat="1" ht="90.75" customHeight="1" x14ac:dyDescent="0.25">
      <c r="A38" s="2" t="s">
        <v>438</v>
      </c>
      <c r="B38" s="2" t="s">
        <v>4</v>
      </c>
      <c r="C38" s="903" t="s">
        <v>85</v>
      </c>
      <c r="D38" s="903" t="s">
        <v>316</v>
      </c>
      <c r="E38" s="903" t="s">
        <v>86</v>
      </c>
      <c r="F38" s="2" t="s">
        <v>16</v>
      </c>
      <c r="G38" s="903"/>
      <c r="H38" s="2" t="s">
        <v>317</v>
      </c>
      <c r="I38" s="2" t="s">
        <v>318</v>
      </c>
      <c r="J38" s="2">
        <v>34</v>
      </c>
      <c r="K38" s="2" t="s">
        <v>527</v>
      </c>
      <c r="L38" s="2">
        <v>34</v>
      </c>
      <c r="M38" s="2">
        <v>34</v>
      </c>
      <c r="N38" s="2" t="s">
        <v>318</v>
      </c>
      <c r="O38" s="2">
        <v>34</v>
      </c>
      <c r="P38" s="18">
        <v>145860.75</v>
      </c>
      <c r="Q38" s="21">
        <v>0</v>
      </c>
      <c r="R38" s="21">
        <v>0</v>
      </c>
      <c r="S38" s="21">
        <v>0</v>
      </c>
      <c r="T38" s="21">
        <v>0</v>
      </c>
      <c r="U38" s="18">
        <v>145860.75</v>
      </c>
      <c r="V38" s="21">
        <v>0</v>
      </c>
      <c r="W38" s="21">
        <v>0</v>
      </c>
      <c r="X38" s="21">
        <v>0</v>
      </c>
      <c r="Y38" s="21">
        <v>0</v>
      </c>
      <c r="Z38" s="21">
        <v>0</v>
      </c>
      <c r="AA38" s="21">
        <v>0</v>
      </c>
      <c r="AB38" s="21">
        <v>0</v>
      </c>
      <c r="AC38" s="21">
        <v>0</v>
      </c>
      <c r="AD38" s="21">
        <v>0</v>
      </c>
      <c r="AE38" s="21">
        <v>0</v>
      </c>
      <c r="AF38" s="21">
        <v>0</v>
      </c>
      <c r="AG38" s="10" t="s">
        <v>16</v>
      </c>
      <c r="AH38" s="10" t="s">
        <v>949</v>
      </c>
      <c r="AI38" s="77" t="s">
        <v>749</v>
      </c>
      <c r="AJ38" s="10" t="s">
        <v>673</v>
      </c>
      <c r="AK38" s="27" t="s">
        <v>676</v>
      </c>
      <c r="AL38" s="21"/>
      <c r="AM38" s="41" t="s">
        <v>677</v>
      </c>
      <c r="AN38" s="21"/>
      <c r="AO38" s="21"/>
      <c r="AP38" s="39" t="s">
        <v>554</v>
      </c>
      <c r="AQ38" s="39" t="s">
        <v>554</v>
      </c>
      <c r="AR38" s="39" t="s">
        <v>554</v>
      </c>
      <c r="AS38" s="39" t="s">
        <v>554</v>
      </c>
      <c r="AT38" s="39" t="s">
        <v>554</v>
      </c>
      <c r="AU38" s="39" t="s">
        <v>554</v>
      </c>
      <c r="AV38" s="39" t="s">
        <v>554</v>
      </c>
      <c r="AW38" s="39" t="s">
        <v>554</v>
      </c>
      <c r="AX38" s="39" t="s">
        <v>554</v>
      </c>
      <c r="AY38" s="39" t="s">
        <v>554</v>
      </c>
      <c r="AZ38" s="27" t="s">
        <v>754</v>
      </c>
      <c r="BA38" s="27" t="s">
        <v>678</v>
      </c>
    </row>
    <row r="39" spans="1:53" s="20" customFormat="1" ht="120" x14ac:dyDescent="0.25">
      <c r="A39" s="2" t="s">
        <v>438</v>
      </c>
      <c r="B39" s="2" t="s">
        <v>4</v>
      </c>
      <c r="C39" s="903"/>
      <c r="D39" s="903"/>
      <c r="E39" s="903"/>
      <c r="F39" s="2" t="s">
        <v>16</v>
      </c>
      <c r="G39" s="903"/>
      <c r="H39" s="2" t="s">
        <v>87</v>
      </c>
      <c r="I39" s="2" t="s">
        <v>444</v>
      </c>
      <c r="J39" s="2">
        <v>4</v>
      </c>
      <c r="K39" s="2" t="s">
        <v>527</v>
      </c>
      <c r="L39" s="2">
        <v>4</v>
      </c>
      <c r="M39" s="2">
        <v>4</v>
      </c>
      <c r="N39" s="2" t="s">
        <v>444</v>
      </c>
      <c r="O39" s="2">
        <v>4</v>
      </c>
      <c r="P39" s="18">
        <v>277830</v>
      </c>
      <c r="Q39" s="21">
        <v>0</v>
      </c>
      <c r="R39" s="21">
        <v>0</v>
      </c>
      <c r="S39" s="21">
        <v>0</v>
      </c>
      <c r="T39" s="21">
        <v>0</v>
      </c>
      <c r="U39" s="18">
        <v>277830</v>
      </c>
      <c r="V39" s="21">
        <v>0</v>
      </c>
      <c r="W39" s="21">
        <v>0</v>
      </c>
      <c r="X39" s="21">
        <v>0</v>
      </c>
      <c r="Y39" s="21">
        <v>0</v>
      </c>
      <c r="Z39" s="21">
        <v>0</v>
      </c>
      <c r="AA39" s="21">
        <v>0</v>
      </c>
      <c r="AB39" s="21">
        <v>0</v>
      </c>
      <c r="AC39" s="21">
        <v>0</v>
      </c>
      <c r="AD39" s="21">
        <v>0</v>
      </c>
      <c r="AE39" s="21">
        <v>0</v>
      </c>
      <c r="AF39" s="21">
        <v>0</v>
      </c>
      <c r="AG39" s="10" t="s">
        <v>16</v>
      </c>
      <c r="AH39" s="10" t="s">
        <v>949</v>
      </c>
      <c r="AI39" s="77">
        <v>42</v>
      </c>
      <c r="AJ39" s="10" t="s">
        <v>673</v>
      </c>
      <c r="AK39" s="41" t="s">
        <v>679</v>
      </c>
      <c r="AL39" s="21"/>
      <c r="AM39" s="41" t="s">
        <v>680</v>
      </c>
      <c r="AN39" s="21"/>
      <c r="AO39" s="21"/>
      <c r="AP39" s="39" t="s">
        <v>554</v>
      </c>
      <c r="AQ39" s="39" t="s">
        <v>554</v>
      </c>
      <c r="AR39" s="39" t="s">
        <v>554</v>
      </c>
      <c r="AS39" s="39" t="s">
        <v>554</v>
      </c>
      <c r="AT39" s="39" t="s">
        <v>554</v>
      </c>
      <c r="AU39" s="39" t="s">
        <v>554</v>
      </c>
      <c r="AV39" s="39" t="s">
        <v>554</v>
      </c>
      <c r="AW39" s="39" t="s">
        <v>554</v>
      </c>
      <c r="AX39" s="39" t="s">
        <v>554</v>
      </c>
      <c r="AY39" s="39" t="s">
        <v>554</v>
      </c>
      <c r="AZ39" s="27" t="s">
        <v>754</v>
      </c>
      <c r="BA39" s="41" t="s">
        <v>679</v>
      </c>
    </row>
    <row r="40" spans="1:53" s="20" customFormat="1" ht="94.5" customHeight="1" x14ac:dyDescent="0.25">
      <c r="A40" s="2" t="s">
        <v>438</v>
      </c>
      <c r="B40" s="2" t="s">
        <v>4</v>
      </c>
      <c r="C40" s="2" t="s">
        <v>18</v>
      </c>
      <c r="D40" s="2" t="s">
        <v>319</v>
      </c>
      <c r="E40" s="2">
        <v>6.9000000000000006E-2</v>
      </c>
      <c r="F40" s="2" t="s">
        <v>16</v>
      </c>
      <c r="G40" s="903"/>
      <c r="H40" s="2" t="s">
        <v>320</v>
      </c>
      <c r="I40" s="2" t="s">
        <v>321</v>
      </c>
      <c r="J40" s="2">
        <v>25</v>
      </c>
      <c r="K40" s="2" t="s">
        <v>526</v>
      </c>
      <c r="L40" s="2">
        <v>16</v>
      </c>
      <c r="M40" s="2">
        <v>4</v>
      </c>
      <c r="N40" s="2" t="s">
        <v>321</v>
      </c>
      <c r="O40" s="2">
        <v>7</v>
      </c>
      <c r="P40" s="18">
        <v>157437</v>
      </c>
      <c r="Q40" s="21">
        <v>0</v>
      </c>
      <c r="R40" s="21">
        <v>0</v>
      </c>
      <c r="S40" s="21">
        <v>0</v>
      </c>
      <c r="T40" s="21">
        <v>0</v>
      </c>
      <c r="U40" s="18">
        <v>157437</v>
      </c>
      <c r="V40" s="21">
        <v>0</v>
      </c>
      <c r="W40" s="21">
        <v>0</v>
      </c>
      <c r="X40" s="21">
        <v>0</v>
      </c>
      <c r="Y40" s="21">
        <v>0</v>
      </c>
      <c r="Z40" s="21">
        <v>0</v>
      </c>
      <c r="AA40" s="21">
        <v>0</v>
      </c>
      <c r="AB40" s="21">
        <v>0</v>
      </c>
      <c r="AC40" s="21">
        <v>0</v>
      </c>
      <c r="AD40" s="21">
        <v>0</v>
      </c>
      <c r="AE40" s="21">
        <v>0</v>
      </c>
      <c r="AF40" s="21">
        <v>0</v>
      </c>
      <c r="AG40" s="10" t="s">
        <v>16</v>
      </c>
      <c r="AH40" s="10" t="s">
        <v>949</v>
      </c>
      <c r="AI40" s="77" t="s">
        <v>681</v>
      </c>
      <c r="AJ40" s="10" t="s">
        <v>673</v>
      </c>
      <c r="AK40" s="27" t="s">
        <v>682</v>
      </c>
      <c r="AL40" s="21"/>
      <c r="AM40" s="27" t="s">
        <v>683</v>
      </c>
      <c r="AN40" s="21"/>
      <c r="AO40" s="21"/>
      <c r="AP40" s="39" t="s">
        <v>554</v>
      </c>
      <c r="AQ40" s="39" t="s">
        <v>554</v>
      </c>
      <c r="AR40" s="39" t="s">
        <v>554</v>
      </c>
      <c r="AS40" s="39" t="s">
        <v>554</v>
      </c>
      <c r="AT40" s="39" t="s">
        <v>554</v>
      </c>
      <c r="AU40" s="39" t="s">
        <v>554</v>
      </c>
      <c r="AV40" s="39" t="s">
        <v>554</v>
      </c>
      <c r="AW40" s="39" t="s">
        <v>554</v>
      </c>
      <c r="AX40" s="39" t="s">
        <v>554</v>
      </c>
      <c r="AY40" s="39" t="s">
        <v>554</v>
      </c>
      <c r="AZ40" s="27" t="s">
        <v>754</v>
      </c>
      <c r="BA40" s="27" t="s">
        <v>682</v>
      </c>
    </row>
    <row r="41" spans="1:53" s="20" customFormat="1" ht="229.5" x14ac:dyDescent="0.25">
      <c r="A41" s="2" t="s">
        <v>438</v>
      </c>
      <c r="B41" s="2" t="s">
        <v>4</v>
      </c>
      <c r="C41" s="2" t="s">
        <v>322</v>
      </c>
      <c r="D41" s="2" t="s">
        <v>323</v>
      </c>
      <c r="E41" s="2">
        <v>0</v>
      </c>
      <c r="F41" s="2" t="s">
        <v>16</v>
      </c>
      <c r="G41" s="903"/>
      <c r="H41" s="2" t="s">
        <v>324</v>
      </c>
      <c r="I41" s="2" t="s">
        <v>445</v>
      </c>
      <c r="J41" s="2">
        <v>0</v>
      </c>
      <c r="K41" s="2" t="s">
        <v>526</v>
      </c>
      <c r="L41" s="62">
        <v>0.5</v>
      </c>
      <c r="M41" s="62">
        <v>0.17</v>
      </c>
      <c r="N41" s="2" t="s">
        <v>445</v>
      </c>
      <c r="O41" s="62">
        <v>0.13</v>
      </c>
      <c r="P41" s="18">
        <v>131969.25</v>
      </c>
      <c r="Q41" s="21">
        <v>0</v>
      </c>
      <c r="R41" s="21">
        <v>0</v>
      </c>
      <c r="S41" s="21">
        <v>0</v>
      </c>
      <c r="T41" s="21">
        <v>0</v>
      </c>
      <c r="U41" s="18">
        <v>131969.25</v>
      </c>
      <c r="V41" s="21">
        <v>0</v>
      </c>
      <c r="W41" s="21">
        <v>0</v>
      </c>
      <c r="X41" s="21">
        <v>0</v>
      </c>
      <c r="Y41" s="21">
        <v>0</v>
      </c>
      <c r="Z41" s="21">
        <v>0</v>
      </c>
      <c r="AA41" s="21">
        <v>0</v>
      </c>
      <c r="AB41" s="21">
        <v>0</v>
      </c>
      <c r="AC41" s="21">
        <v>0</v>
      </c>
      <c r="AD41" s="21">
        <v>0</v>
      </c>
      <c r="AE41" s="21">
        <v>0</v>
      </c>
      <c r="AF41" s="21">
        <v>0</v>
      </c>
      <c r="AG41" s="10" t="s">
        <v>16</v>
      </c>
      <c r="AH41" s="10" t="s">
        <v>949</v>
      </c>
      <c r="AI41" s="77" t="s">
        <v>750</v>
      </c>
      <c r="AJ41" s="10" t="s">
        <v>751</v>
      </c>
      <c r="AK41" s="27" t="s">
        <v>684</v>
      </c>
      <c r="AL41" s="21"/>
      <c r="AM41" s="27" t="s">
        <v>752</v>
      </c>
      <c r="AN41" s="21"/>
      <c r="AO41" s="21"/>
      <c r="AP41" s="39" t="s">
        <v>554</v>
      </c>
      <c r="AQ41" s="39" t="s">
        <v>554</v>
      </c>
      <c r="AR41" s="39" t="s">
        <v>554</v>
      </c>
      <c r="AS41" s="39" t="s">
        <v>554</v>
      </c>
      <c r="AT41" s="39" t="s">
        <v>554</v>
      </c>
      <c r="AU41" s="39" t="s">
        <v>554</v>
      </c>
      <c r="AV41" s="39" t="s">
        <v>554</v>
      </c>
      <c r="AW41" s="39" t="s">
        <v>554</v>
      </c>
      <c r="AX41" s="39" t="s">
        <v>554</v>
      </c>
      <c r="AY41" s="39" t="s">
        <v>554</v>
      </c>
      <c r="AZ41" s="27" t="s">
        <v>754</v>
      </c>
      <c r="BA41" s="27" t="s">
        <v>684</v>
      </c>
    </row>
    <row r="42" spans="1:53" s="20" customFormat="1" ht="141" thickBot="1" x14ac:dyDescent="0.3">
      <c r="A42" s="2" t="s">
        <v>438</v>
      </c>
      <c r="B42" s="2" t="s">
        <v>4</v>
      </c>
      <c r="C42" s="2" t="s">
        <v>88</v>
      </c>
      <c r="D42" s="2" t="s">
        <v>89</v>
      </c>
      <c r="E42" s="2">
        <v>0.16800000000000001</v>
      </c>
      <c r="F42" s="2" t="s">
        <v>16</v>
      </c>
      <c r="G42" s="903"/>
      <c r="H42" s="2" t="s">
        <v>90</v>
      </c>
      <c r="I42" s="2" t="s">
        <v>446</v>
      </c>
      <c r="J42" s="2">
        <v>0.2</v>
      </c>
      <c r="K42" s="2" t="s">
        <v>526</v>
      </c>
      <c r="L42" s="62">
        <v>0.4</v>
      </c>
      <c r="M42" s="62">
        <v>0.1</v>
      </c>
      <c r="N42" s="2" t="s">
        <v>446</v>
      </c>
      <c r="O42" s="36">
        <v>0.15</v>
      </c>
      <c r="P42" s="33">
        <v>20837</v>
      </c>
      <c r="Q42" s="21">
        <v>0</v>
      </c>
      <c r="R42" s="21">
        <v>0</v>
      </c>
      <c r="S42" s="21">
        <v>0</v>
      </c>
      <c r="T42" s="21">
        <v>0</v>
      </c>
      <c r="U42" s="33">
        <v>20837</v>
      </c>
      <c r="V42" s="21">
        <v>0</v>
      </c>
      <c r="W42" s="21">
        <v>0</v>
      </c>
      <c r="X42" s="21">
        <v>0</v>
      </c>
      <c r="Y42" s="21">
        <v>0</v>
      </c>
      <c r="Z42" s="21">
        <v>0</v>
      </c>
      <c r="AA42" s="21">
        <v>0</v>
      </c>
      <c r="AB42" s="21">
        <v>0</v>
      </c>
      <c r="AC42" s="21">
        <v>0</v>
      </c>
      <c r="AD42" s="21">
        <v>0</v>
      </c>
      <c r="AE42" s="21">
        <v>0</v>
      </c>
      <c r="AF42" s="21">
        <v>0</v>
      </c>
      <c r="AG42" s="10" t="s">
        <v>16</v>
      </c>
      <c r="AH42" s="10" t="s">
        <v>949</v>
      </c>
      <c r="AI42" s="77" t="s">
        <v>681</v>
      </c>
      <c r="AJ42" s="10" t="s">
        <v>673</v>
      </c>
      <c r="AK42" s="27" t="s">
        <v>682</v>
      </c>
      <c r="AL42" s="21"/>
      <c r="AM42" s="27" t="s">
        <v>753</v>
      </c>
      <c r="AN42" s="21"/>
      <c r="AO42" s="21"/>
      <c r="AP42" s="39" t="s">
        <v>554</v>
      </c>
      <c r="AQ42" s="39" t="s">
        <v>554</v>
      </c>
      <c r="AR42" s="39" t="s">
        <v>554</v>
      </c>
      <c r="AS42" s="39" t="s">
        <v>554</v>
      </c>
      <c r="AT42" s="39" t="s">
        <v>554</v>
      </c>
      <c r="AU42" s="39" t="s">
        <v>554</v>
      </c>
      <c r="AV42" s="39" t="s">
        <v>554</v>
      </c>
      <c r="AW42" s="39" t="s">
        <v>554</v>
      </c>
      <c r="AX42" s="39" t="s">
        <v>554</v>
      </c>
      <c r="AY42" s="39" t="s">
        <v>554</v>
      </c>
      <c r="AZ42" s="27" t="s">
        <v>754</v>
      </c>
      <c r="BA42" s="27" t="s">
        <v>682</v>
      </c>
    </row>
    <row r="43" spans="1:53" s="20" customFormat="1" ht="204" x14ac:dyDescent="0.25">
      <c r="A43" s="2" t="s">
        <v>438</v>
      </c>
      <c r="B43" s="2" t="s">
        <v>4</v>
      </c>
      <c r="C43" s="903" t="s">
        <v>91</v>
      </c>
      <c r="D43" s="903" t="s">
        <v>92</v>
      </c>
      <c r="E43" s="903" t="s">
        <v>93</v>
      </c>
      <c r="F43" s="2" t="s">
        <v>19</v>
      </c>
      <c r="G43" s="903" t="s">
        <v>20</v>
      </c>
      <c r="H43" s="2" t="s">
        <v>325</v>
      </c>
      <c r="I43" s="2" t="s">
        <v>326</v>
      </c>
      <c r="J43" s="2">
        <v>0</v>
      </c>
      <c r="K43" s="2" t="s">
        <v>526</v>
      </c>
      <c r="L43" s="2">
        <v>42</v>
      </c>
      <c r="M43" s="2">
        <v>12</v>
      </c>
      <c r="N43" s="2" t="s">
        <v>326</v>
      </c>
      <c r="O43" s="21">
        <v>25</v>
      </c>
      <c r="P43" s="18">
        <v>46305</v>
      </c>
      <c r="Q43" s="21"/>
      <c r="R43" s="21"/>
      <c r="S43" s="21"/>
      <c r="T43" s="21"/>
      <c r="U43" s="18">
        <v>46305</v>
      </c>
      <c r="V43" s="21"/>
      <c r="W43" s="21"/>
      <c r="X43" s="21"/>
      <c r="Y43" s="21"/>
      <c r="Z43" s="21"/>
      <c r="AA43" s="21"/>
      <c r="AB43" s="21"/>
      <c r="AC43" s="21"/>
      <c r="AD43" s="21"/>
      <c r="AE43" s="21"/>
      <c r="AF43" s="21"/>
      <c r="AG43" s="10" t="s">
        <v>685</v>
      </c>
      <c r="AH43" s="10" t="s">
        <v>949</v>
      </c>
      <c r="AI43" s="32" t="s">
        <v>686</v>
      </c>
      <c r="AJ43" s="10" t="s">
        <v>687</v>
      </c>
      <c r="AK43" s="21">
        <v>647551</v>
      </c>
      <c r="AL43" s="21">
        <v>46305000</v>
      </c>
      <c r="AM43" s="10" t="s">
        <v>688</v>
      </c>
      <c r="AN43" s="21"/>
      <c r="AO43" s="21"/>
      <c r="AP43" s="21" t="s">
        <v>536</v>
      </c>
      <c r="AQ43" s="21" t="s">
        <v>536</v>
      </c>
      <c r="AR43" s="21" t="s">
        <v>536</v>
      </c>
      <c r="AS43" s="21" t="s">
        <v>536</v>
      </c>
      <c r="AT43" s="21" t="s">
        <v>536</v>
      </c>
      <c r="AU43" s="21" t="s">
        <v>536</v>
      </c>
      <c r="AV43" s="21" t="s">
        <v>536</v>
      </c>
      <c r="AW43" s="21" t="s">
        <v>536</v>
      </c>
      <c r="AX43" s="21" t="s">
        <v>536</v>
      </c>
      <c r="AY43" s="21" t="s">
        <v>536</v>
      </c>
      <c r="AZ43" s="10" t="s">
        <v>745</v>
      </c>
      <c r="BA43" s="10" t="s">
        <v>690</v>
      </c>
    </row>
    <row r="44" spans="1:53" s="20" customFormat="1" ht="135" x14ac:dyDescent="0.25">
      <c r="A44" s="2" t="s">
        <v>438</v>
      </c>
      <c r="B44" s="2" t="s">
        <v>4</v>
      </c>
      <c r="C44" s="903"/>
      <c r="D44" s="903"/>
      <c r="E44" s="903"/>
      <c r="F44" s="2" t="s">
        <v>19</v>
      </c>
      <c r="G44" s="903"/>
      <c r="H44" s="2" t="s">
        <v>327</v>
      </c>
      <c r="I44" s="2" t="s">
        <v>328</v>
      </c>
      <c r="J44" s="2">
        <v>0.84099999999999997</v>
      </c>
      <c r="K44" s="2" t="s">
        <v>526</v>
      </c>
      <c r="L44" s="62">
        <v>0.88</v>
      </c>
      <c r="M44" s="62">
        <v>0.01</v>
      </c>
      <c r="N44" s="2" t="s">
        <v>328</v>
      </c>
      <c r="O44" s="21" t="s">
        <v>747</v>
      </c>
      <c r="P44" s="18">
        <v>46305</v>
      </c>
      <c r="Q44" s="21"/>
      <c r="R44" s="21"/>
      <c r="S44" s="21"/>
      <c r="T44" s="21"/>
      <c r="U44" s="18">
        <v>46305</v>
      </c>
      <c r="V44" s="21"/>
      <c r="W44" s="21"/>
      <c r="X44" s="21"/>
      <c r="Y44" s="21"/>
      <c r="Z44" s="21"/>
      <c r="AA44" s="21"/>
      <c r="AB44" s="21"/>
      <c r="AC44" s="21"/>
      <c r="AD44" s="21"/>
      <c r="AE44" s="21"/>
      <c r="AF44" s="21"/>
      <c r="AG44" s="10" t="s">
        <v>685</v>
      </c>
      <c r="AH44" s="10" t="s">
        <v>949</v>
      </c>
      <c r="AI44" s="77" t="s">
        <v>691</v>
      </c>
      <c r="AJ44" s="10" t="s">
        <v>692</v>
      </c>
      <c r="AK44" s="33">
        <v>15840</v>
      </c>
      <c r="AL44" s="18">
        <v>46305000</v>
      </c>
      <c r="AM44" s="10" t="s">
        <v>693</v>
      </c>
      <c r="AN44" s="21"/>
      <c r="AO44" s="21"/>
      <c r="AP44" s="21" t="s">
        <v>536</v>
      </c>
      <c r="AQ44" s="21" t="s">
        <v>536</v>
      </c>
      <c r="AR44" s="21" t="s">
        <v>536</v>
      </c>
      <c r="AS44" s="21" t="s">
        <v>536</v>
      </c>
      <c r="AT44" s="21" t="s">
        <v>536</v>
      </c>
      <c r="AU44" s="21" t="s">
        <v>536</v>
      </c>
      <c r="AV44" s="21" t="s">
        <v>536</v>
      </c>
      <c r="AW44" s="21" t="s">
        <v>536</v>
      </c>
      <c r="AX44" s="21" t="s">
        <v>536</v>
      </c>
      <c r="AY44" s="21" t="s">
        <v>536</v>
      </c>
      <c r="AZ44" s="10" t="s">
        <v>745</v>
      </c>
      <c r="BA44" s="27" t="s">
        <v>694</v>
      </c>
    </row>
    <row r="45" spans="1:53" s="20" customFormat="1" ht="120" x14ac:dyDescent="0.25">
      <c r="A45" s="2" t="s">
        <v>438</v>
      </c>
      <c r="B45" s="2" t="s">
        <v>4</v>
      </c>
      <c r="C45" s="903"/>
      <c r="D45" s="903"/>
      <c r="E45" s="903"/>
      <c r="F45" s="2" t="s">
        <v>19</v>
      </c>
      <c r="G45" s="903"/>
      <c r="H45" s="2" t="s">
        <v>329</v>
      </c>
      <c r="I45" s="2" t="s">
        <v>330</v>
      </c>
      <c r="J45" s="2">
        <v>0.65</v>
      </c>
      <c r="K45" s="2" t="s">
        <v>526</v>
      </c>
      <c r="L45" s="62">
        <v>0.05</v>
      </c>
      <c r="M45" s="62">
        <v>0.02</v>
      </c>
      <c r="N45" s="2" t="s">
        <v>330</v>
      </c>
      <c r="O45" s="21" t="s">
        <v>746</v>
      </c>
      <c r="P45" s="18">
        <v>46305</v>
      </c>
      <c r="Q45" s="21"/>
      <c r="R45" s="21"/>
      <c r="S45" s="21"/>
      <c r="T45" s="21"/>
      <c r="U45" s="18">
        <v>46305</v>
      </c>
      <c r="V45" s="21"/>
      <c r="W45" s="21"/>
      <c r="X45" s="21"/>
      <c r="Y45" s="21"/>
      <c r="Z45" s="21"/>
      <c r="AA45" s="21"/>
      <c r="AB45" s="21"/>
      <c r="AC45" s="21"/>
      <c r="AD45" s="21"/>
      <c r="AE45" s="21"/>
      <c r="AF45" s="21"/>
      <c r="AG45" s="10" t="s">
        <v>685</v>
      </c>
      <c r="AH45" s="10" t="s">
        <v>949</v>
      </c>
      <c r="AI45" s="77" t="s">
        <v>695</v>
      </c>
      <c r="AJ45" s="21"/>
      <c r="AK45" s="33">
        <v>12060</v>
      </c>
      <c r="AL45" s="34">
        <v>46305000</v>
      </c>
      <c r="AM45" s="10" t="s">
        <v>696</v>
      </c>
      <c r="AN45" s="21"/>
      <c r="AO45" s="21"/>
      <c r="AP45" s="21" t="s">
        <v>536</v>
      </c>
      <c r="AQ45" s="21" t="s">
        <v>536</v>
      </c>
      <c r="AR45" s="21" t="s">
        <v>536</v>
      </c>
      <c r="AS45" s="21" t="s">
        <v>536</v>
      </c>
      <c r="AT45" s="21" t="s">
        <v>536</v>
      </c>
      <c r="AU45" s="21" t="s">
        <v>536</v>
      </c>
      <c r="AV45" s="21" t="s">
        <v>536</v>
      </c>
      <c r="AW45" s="21" t="s">
        <v>536</v>
      </c>
      <c r="AX45" s="21" t="s">
        <v>536</v>
      </c>
      <c r="AY45" s="21" t="s">
        <v>536</v>
      </c>
      <c r="AZ45" s="10" t="s">
        <v>745</v>
      </c>
      <c r="BA45" s="27" t="s">
        <v>697</v>
      </c>
    </row>
    <row r="46" spans="1:53" s="20" customFormat="1" ht="409.5" x14ac:dyDescent="0.25">
      <c r="A46" s="2" t="s">
        <v>438</v>
      </c>
      <c r="B46" s="2" t="s">
        <v>4</v>
      </c>
      <c r="C46" s="903" t="s">
        <v>94</v>
      </c>
      <c r="D46" s="903" t="s">
        <v>95</v>
      </c>
      <c r="E46" s="903" t="s">
        <v>96</v>
      </c>
      <c r="F46" s="2" t="s">
        <v>19</v>
      </c>
      <c r="G46" s="903"/>
      <c r="H46" s="2" t="s">
        <v>467</v>
      </c>
      <c r="I46" s="2" t="s">
        <v>447</v>
      </c>
      <c r="J46" s="2">
        <v>15</v>
      </c>
      <c r="K46" s="2" t="s">
        <v>526</v>
      </c>
      <c r="L46" s="2">
        <v>27</v>
      </c>
      <c r="M46" s="2">
        <v>8</v>
      </c>
      <c r="N46" s="2" t="s">
        <v>447</v>
      </c>
      <c r="O46" s="21">
        <v>15</v>
      </c>
      <c r="P46" s="18">
        <v>28940.625</v>
      </c>
      <c r="Q46" s="21"/>
      <c r="R46" s="21"/>
      <c r="S46" s="21"/>
      <c r="T46" s="21"/>
      <c r="U46" s="18">
        <v>28940.625</v>
      </c>
      <c r="V46" s="21"/>
      <c r="W46" s="21"/>
      <c r="X46" s="21"/>
      <c r="Y46" s="21"/>
      <c r="Z46" s="21"/>
      <c r="AA46" s="21"/>
      <c r="AB46" s="21"/>
      <c r="AC46" s="21"/>
      <c r="AD46" s="21"/>
      <c r="AE46" s="21"/>
      <c r="AF46" s="21"/>
      <c r="AG46" s="10" t="s">
        <v>685</v>
      </c>
      <c r="AH46" s="10" t="s">
        <v>949</v>
      </c>
      <c r="AI46" s="77" t="s">
        <v>698</v>
      </c>
      <c r="AJ46" s="10" t="s">
        <v>699</v>
      </c>
      <c r="AK46" s="35">
        <v>5595</v>
      </c>
      <c r="AL46" s="33">
        <f>(P46)</f>
        <v>28940.625</v>
      </c>
      <c r="AM46" s="10" t="s">
        <v>700</v>
      </c>
      <c r="AN46" s="21"/>
      <c r="AO46" s="21"/>
      <c r="AP46" s="21" t="s">
        <v>536</v>
      </c>
      <c r="AQ46" s="21" t="s">
        <v>536</v>
      </c>
      <c r="AR46" s="21" t="s">
        <v>536</v>
      </c>
      <c r="AS46" s="21" t="s">
        <v>536</v>
      </c>
      <c r="AT46" s="21" t="s">
        <v>536</v>
      </c>
      <c r="AU46" s="21" t="s">
        <v>536</v>
      </c>
      <c r="AV46" s="21" t="s">
        <v>536</v>
      </c>
      <c r="AW46" s="21" t="s">
        <v>536</v>
      </c>
      <c r="AX46" s="21" t="s">
        <v>536</v>
      </c>
      <c r="AY46" s="21" t="s">
        <v>536</v>
      </c>
      <c r="AZ46" s="10" t="s">
        <v>745</v>
      </c>
      <c r="BA46" s="27" t="s">
        <v>701</v>
      </c>
    </row>
    <row r="47" spans="1:53" s="20" customFormat="1" ht="409.5" x14ac:dyDescent="0.25">
      <c r="A47" s="2" t="s">
        <v>438</v>
      </c>
      <c r="B47" s="2" t="s">
        <v>4</v>
      </c>
      <c r="C47" s="903"/>
      <c r="D47" s="903"/>
      <c r="E47" s="903"/>
      <c r="F47" s="2" t="s">
        <v>19</v>
      </c>
      <c r="G47" s="903"/>
      <c r="H47" s="2" t="s">
        <v>331</v>
      </c>
      <c r="I47" s="2" t="s">
        <v>332</v>
      </c>
      <c r="J47" s="2">
        <v>5</v>
      </c>
      <c r="K47" s="2" t="s">
        <v>526</v>
      </c>
      <c r="L47" s="2">
        <v>37</v>
      </c>
      <c r="M47" s="2">
        <v>10</v>
      </c>
      <c r="N47" s="2" t="s">
        <v>332</v>
      </c>
      <c r="O47" s="21">
        <v>22</v>
      </c>
      <c r="P47" s="18">
        <v>28940.625</v>
      </c>
      <c r="Q47" s="21"/>
      <c r="R47" s="21"/>
      <c r="S47" s="21"/>
      <c r="T47" s="21"/>
      <c r="U47" s="18">
        <v>28940.625</v>
      </c>
      <c r="V47" s="21"/>
      <c r="W47" s="21"/>
      <c r="X47" s="21"/>
      <c r="Y47" s="21"/>
      <c r="Z47" s="21"/>
      <c r="AA47" s="21"/>
      <c r="AB47" s="21"/>
      <c r="AC47" s="21"/>
      <c r="AD47" s="21"/>
      <c r="AE47" s="21"/>
      <c r="AF47" s="21"/>
      <c r="AG47" s="10" t="s">
        <v>685</v>
      </c>
      <c r="AH47" s="10" t="s">
        <v>949</v>
      </c>
      <c r="AI47" s="77" t="s">
        <v>702</v>
      </c>
      <c r="AJ47" s="10" t="s">
        <v>703</v>
      </c>
      <c r="AK47" s="35">
        <v>6149</v>
      </c>
      <c r="AL47" s="33">
        <f t="shared" ref="AL47:AL49" si="0">(P47)</f>
        <v>28940.625</v>
      </c>
      <c r="AM47" s="10" t="s">
        <v>704</v>
      </c>
      <c r="AN47" s="21"/>
      <c r="AO47" s="21"/>
      <c r="AP47" s="21" t="s">
        <v>536</v>
      </c>
      <c r="AQ47" s="21" t="s">
        <v>536</v>
      </c>
      <c r="AR47" s="21" t="s">
        <v>536</v>
      </c>
      <c r="AS47" s="21" t="s">
        <v>536</v>
      </c>
      <c r="AT47" s="21" t="s">
        <v>536</v>
      </c>
      <c r="AU47" s="21" t="s">
        <v>536</v>
      </c>
      <c r="AV47" s="21" t="s">
        <v>536</v>
      </c>
      <c r="AW47" s="21" t="s">
        <v>536</v>
      </c>
      <c r="AX47" s="21" t="s">
        <v>536</v>
      </c>
      <c r="AY47" s="21" t="s">
        <v>536</v>
      </c>
      <c r="AZ47" s="10" t="s">
        <v>745</v>
      </c>
      <c r="BA47" s="27" t="s">
        <v>705</v>
      </c>
    </row>
    <row r="48" spans="1:53" s="20" customFormat="1" ht="409.5" x14ac:dyDescent="0.25">
      <c r="A48" s="2" t="s">
        <v>438</v>
      </c>
      <c r="B48" s="2" t="s">
        <v>4</v>
      </c>
      <c r="C48" s="903"/>
      <c r="D48" s="903"/>
      <c r="E48" s="903"/>
      <c r="F48" s="2" t="s">
        <v>19</v>
      </c>
      <c r="G48" s="903"/>
      <c r="H48" s="2" t="s">
        <v>333</v>
      </c>
      <c r="I48" s="2" t="s">
        <v>334</v>
      </c>
      <c r="J48" s="2">
        <v>0.1</v>
      </c>
      <c r="K48" s="2" t="s">
        <v>526</v>
      </c>
      <c r="L48" s="62">
        <v>0.15</v>
      </c>
      <c r="M48" s="62">
        <v>0.04</v>
      </c>
      <c r="N48" s="2" t="s">
        <v>334</v>
      </c>
      <c r="O48" s="36">
        <v>0.08</v>
      </c>
      <c r="P48" s="18">
        <v>28940.625</v>
      </c>
      <c r="Q48" s="21"/>
      <c r="R48" s="21"/>
      <c r="S48" s="21"/>
      <c r="T48" s="21"/>
      <c r="U48" s="18">
        <v>28940.625</v>
      </c>
      <c r="V48" s="21"/>
      <c r="W48" s="21"/>
      <c r="X48" s="21"/>
      <c r="Y48" s="21"/>
      <c r="Z48" s="21"/>
      <c r="AA48" s="21"/>
      <c r="AB48" s="21"/>
      <c r="AC48" s="21"/>
      <c r="AD48" s="21"/>
      <c r="AE48" s="21"/>
      <c r="AF48" s="21"/>
      <c r="AG48" s="10" t="s">
        <v>685</v>
      </c>
      <c r="AH48" s="10" t="s">
        <v>949</v>
      </c>
      <c r="AI48" s="299" t="s">
        <v>706</v>
      </c>
      <c r="AJ48" s="10" t="s">
        <v>707</v>
      </c>
      <c r="AK48" s="35">
        <v>63019</v>
      </c>
      <c r="AL48" s="33">
        <f t="shared" si="0"/>
        <v>28940.625</v>
      </c>
      <c r="AM48" s="10" t="s">
        <v>708</v>
      </c>
      <c r="AN48" s="21"/>
      <c r="AO48" s="21"/>
      <c r="AP48" s="21" t="s">
        <v>536</v>
      </c>
      <c r="AQ48" s="21" t="s">
        <v>536</v>
      </c>
      <c r="AR48" s="21" t="s">
        <v>536</v>
      </c>
      <c r="AS48" s="21" t="s">
        <v>536</v>
      </c>
      <c r="AT48" s="21" t="s">
        <v>536</v>
      </c>
      <c r="AU48" s="21" t="s">
        <v>536</v>
      </c>
      <c r="AV48" s="21" t="s">
        <v>536</v>
      </c>
      <c r="AW48" s="21" t="s">
        <v>536</v>
      </c>
      <c r="AX48" s="21" t="s">
        <v>536</v>
      </c>
      <c r="AY48" s="21" t="s">
        <v>536</v>
      </c>
      <c r="AZ48" s="10" t="s">
        <v>745</v>
      </c>
      <c r="BA48" s="27" t="s">
        <v>709</v>
      </c>
    </row>
    <row r="49" spans="1:53" s="20" customFormat="1" ht="409.5" x14ac:dyDescent="0.25">
      <c r="A49" s="2" t="s">
        <v>438</v>
      </c>
      <c r="B49" s="2" t="s">
        <v>4</v>
      </c>
      <c r="C49" s="2" t="s">
        <v>97</v>
      </c>
      <c r="D49" s="2" t="s">
        <v>98</v>
      </c>
      <c r="E49" s="2">
        <v>0</v>
      </c>
      <c r="F49" s="2" t="s">
        <v>19</v>
      </c>
      <c r="G49" s="903"/>
      <c r="H49" s="2" t="s">
        <v>335</v>
      </c>
      <c r="I49" s="2" t="s">
        <v>336</v>
      </c>
      <c r="J49" s="2">
        <v>0</v>
      </c>
      <c r="K49" s="2" t="s">
        <v>526</v>
      </c>
      <c r="L49" s="2">
        <v>42</v>
      </c>
      <c r="M49" s="2">
        <v>12</v>
      </c>
      <c r="N49" s="2" t="s">
        <v>336</v>
      </c>
      <c r="O49" s="21">
        <v>26</v>
      </c>
      <c r="P49" s="18">
        <v>28940.625</v>
      </c>
      <c r="Q49" s="21"/>
      <c r="R49" s="21"/>
      <c r="S49" s="21"/>
      <c r="T49" s="21"/>
      <c r="U49" s="18">
        <v>28940.625</v>
      </c>
      <c r="V49" s="21"/>
      <c r="W49" s="21"/>
      <c r="X49" s="21"/>
      <c r="Y49" s="21"/>
      <c r="Z49" s="21"/>
      <c r="AA49" s="21"/>
      <c r="AB49" s="21"/>
      <c r="AC49" s="21"/>
      <c r="AD49" s="21"/>
      <c r="AE49" s="21"/>
      <c r="AF49" s="21"/>
      <c r="AG49" s="10" t="s">
        <v>685</v>
      </c>
      <c r="AH49" s="10" t="s">
        <v>949</v>
      </c>
      <c r="AI49" s="77" t="s">
        <v>710</v>
      </c>
      <c r="AJ49" s="10" t="s">
        <v>711</v>
      </c>
      <c r="AK49" s="35">
        <v>32833</v>
      </c>
      <c r="AL49" s="33">
        <f t="shared" si="0"/>
        <v>28940.625</v>
      </c>
      <c r="AM49" s="10" t="s">
        <v>712</v>
      </c>
      <c r="AN49" s="21"/>
      <c r="AO49" s="21"/>
      <c r="AP49" s="21" t="s">
        <v>536</v>
      </c>
      <c r="AQ49" s="21" t="s">
        <v>536</v>
      </c>
      <c r="AR49" s="21" t="s">
        <v>536</v>
      </c>
      <c r="AS49" s="21" t="s">
        <v>536</v>
      </c>
      <c r="AT49" s="21" t="s">
        <v>536</v>
      </c>
      <c r="AU49" s="21" t="s">
        <v>536</v>
      </c>
      <c r="AV49" s="21" t="s">
        <v>536</v>
      </c>
      <c r="AW49" s="21" t="s">
        <v>536</v>
      </c>
      <c r="AX49" s="21" t="s">
        <v>536</v>
      </c>
      <c r="AY49" s="21" t="s">
        <v>536</v>
      </c>
      <c r="AZ49" s="10" t="s">
        <v>745</v>
      </c>
      <c r="BA49" s="27" t="s">
        <v>713</v>
      </c>
    </row>
    <row r="50" spans="1:53" s="20" customFormat="1" ht="409.5" x14ac:dyDescent="0.25">
      <c r="A50" s="2" t="s">
        <v>438</v>
      </c>
      <c r="B50" s="2" t="s">
        <v>4</v>
      </c>
      <c r="C50" s="2" t="s">
        <v>99</v>
      </c>
      <c r="D50" s="2" t="s">
        <v>100</v>
      </c>
      <c r="E50" s="2" t="s">
        <v>101</v>
      </c>
      <c r="F50" s="2" t="s">
        <v>19</v>
      </c>
      <c r="G50" s="903"/>
      <c r="H50" s="2" t="s">
        <v>102</v>
      </c>
      <c r="I50" s="2" t="s">
        <v>337</v>
      </c>
      <c r="J50" s="2">
        <v>21</v>
      </c>
      <c r="K50" s="2" t="s">
        <v>526</v>
      </c>
      <c r="L50" s="2">
        <v>21</v>
      </c>
      <c r="M50" s="2">
        <v>6</v>
      </c>
      <c r="N50" s="2" t="s">
        <v>337</v>
      </c>
      <c r="O50" s="21">
        <v>13</v>
      </c>
      <c r="P50" s="18">
        <v>28940.625</v>
      </c>
      <c r="Q50" s="21"/>
      <c r="R50" s="21"/>
      <c r="S50" s="21"/>
      <c r="T50" s="21"/>
      <c r="U50" s="18">
        <v>28940.625</v>
      </c>
      <c r="V50" s="21"/>
      <c r="W50" s="21"/>
      <c r="X50" s="21"/>
      <c r="Y50" s="21"/>
      <c r="Z50" s="21"/>
      <c r="AA50" s="21"/>
      <c r="AB50" s="21"/>
      <c r="AC50" s="21"/>
      <c r="AD50" s="21"/>
      <c r="AE50" s="21"/>
      <c r="AF50" s="21"/>
      <c r="AG50" s="10" t="s">
        <v>685</v>
      </c>
      <c r="AH50" s="10" t="s">
        <v>949</v>
      </c>
      <c r="AI50" s="77" t="s">
        <v>714</v>
      </c>
      <c r="AJ50" s="10" t="s">
        <v>715</v>
      </c>
      <c r="AK50" s="21">
        <v>119531</v>
      </c>
      <c r="AL50" s="18">
        <v>28940625</v>
      </c>
      <c r="AM50" s="10" t="s">
        <v>716</v>
      </c>
      <c r="AN50" s="21"/>
      <c r="AO50" s="21"/>
      <c r="AP50" s="21" t="s">
        <v>536</v>
      </c>
      <c r="AQ50" s="21" t="s">
        <v>536</v>
      </c>
      <c r="AR50" s="21" t="s">
        <v>536</v>
      </c>
      <c r="AS50" s="21" t="s">
        <v>536</v>
      </c>
      <c r="AT50" s="21" t="s">
        <v>536</v>
      </c>
      <c r="AU50" s="21" t="s">
        <v>536</v>
      </c>
      <c r="AV50" s="21" t="s">
        <v>536</v>
      </c>
      <c r="AW50" s="21" t="s">
        <v>536</v>
      </c>
      <c r="AX50" s="21" t="s">
        <v>536</v>
      </c>
      <c r="AY50" s="21" t="s">
        <v>536</v>
      </c>
      <c r="AZ50" s="10" t="s">
        <v>745</v>
      </c>
      <c r="BA50" s="10" t="s">
        <v>717</v>
      </c>
    </row>
    <row r="51" spans="1:53" s="20" customFormat="1" ht="409.5" x14ac:dyDescent="0.25">
      <c r="A51" s="2" t="s">
        <v>438</v>
      </c>
      <c r="B51" s="2" t="s">
        <v>4</v>
      </c>
      <c r="C51" s="2" t="s">
        <v>103</v>
      </c>
      <c r="D51" s="2" t="s">
        <v>104</v>
      </c>
      <c r="E51" s="2">
        <v>7.0000000000000007E-2</v>
      </c>
      <c r="F51" s="2" t="s">
        <v>19</v>
      </c>
      <c r="G51" s="903"/>
      <c r="H51" s="2" t="s">
        <v>338</v>
      </c>
      <c r="I51" s="2" t="s">
        <v>339</v>
      </c>
      <c r="J51" s="2">
        <v>21</v>
      </c>
      <c r="K51" s="2" t="s">
        <v>526</v>
      </c>
      <c r="L51" s="2">
        <v>21</v>
      </c>
      <c r="M51" s="2">
        <v>6</v>
      </c>
      <c r="N51" s="2" t="s">
        <v>339</v>
      </c>
      <c r="O51" s="21">
        <v>13</v>
      </c>
      <c r="P51" s="18">
        <v>28940.625</v>
      </c>
      <c r="Q51" s="21"/>
      <c r="R51" s="21"/>
      <c r="S51" s="21"/>
      <c r="T51" s="21"/>
      <c r="U51" s="18">
        <v>28940.625</v>
      </c>
      <c r="V51" s="21"/>
      <c r="W51" s="21"/>
      <c r="X51" s="21"/>
      <c r="Y51" s="21"/>
      <c r="Z51" s="21"/>
      <c r="AA51" s="21"/>
      <c r="AB51" s="21"/>
      <c r="AC51" s="21"/>
      <c r="AD51" s="21"/>
      <c r="AE51" s="21"/>
      <c r="AF51" s="21"/>
      <c r="AG51" s="10" t="s">
        <v>685</v>
      </c>
      <c r="AH51" s="10" t="s">
        <v>949</v>
      </c>
      <c r="AI51" s="77" t="s">
        <v>718</v>
      </c>
      <c r="AJ51" s="10" t="s">
        <v>719</v>
      </c>
      <c r="AK51" s="21">
        <v>2719</v>
      </c>
      <c r="AL51" s="18">
        <v>28940625</v>
      </c>
      <c r="AM51" s="10" t="s">
        <v>720</v>
      </c>
      <c r="AN51" s="21"/>
      <c r="AO51" s="21"/>
      <c r="AP51" s="21" t="s">
        <v>536</v>
      </c>
      <c r="AQ51" s="21" t="s">
        <v>536</v>
      </c>
      <c r="AR51" s="21" t="s">
        <v>536</v>
      </c>
      <c r="AS51" s="21" t="s">
        <v>536</v>
      </c>
      <c r="AT51" s="21" t="s">
        <v>536</v>
      </c>
      <c r="AU51" s="21" t="s">
        <v>536</v>
      </c>
      <c r="AV51" s="21" t="s">
        <v>536</v>
      </c>
      <c r="AW51" s="21" t="s">
        <v>536</v>
      </c>
      <c r="AX51" s="21" t="s">
        <v>536</v>
      </c>
      <c r="AY51" s="21" t="s">
        <v>536</v>
      </c>
      <c r="AZ51" s="10" t="s">
        <v>745</v>
      </c>
      <c r="BA51" s="10" t="s">
        <v>721</v>
      </c>
    </row>
    <row r="52" spans="1:53" s="20" customFormat="1" ht="409.5" x14ac:dyDescent="0.25">
      <c r="A52" s="2" t="s">
        <v>438</v>
      </c>
      <c r="B52" s="2" t="s">
        <v>4</v>
      </c>
      <c r="C52" s="2" t="s">
        <v>105</v>
      </c>
      <c r="D52" s="2" t="s">
        <v>106</v>
      </c>
      <c r="E52" s="2" t="s">
        <v>107</v>
      </c>
      <c r="F52" s="2" t="s">
        <v>19</v>
      </c>
      <c r="G52" s="903"/>
      <c r="H52" s="2" t="s">
        <v>340</v>
      </c>
      <c r="I52" s="2" t="s">
        <v>341</v>
      </c>
      <c r="J52" s="2">
        <v>21</v>
      </c>
      <c r="K52" s="2" t="s">
        <v>526</v>
      </c>
      <c r="L52" s="2">
        <v>21</v>
      </c>
      <c r="M52" s="2">
        <v>6</v>
      </c>
      <c r="N52" s="2" t="s">
        <v>341</v>
      </c>
      <c r="O52" s="21">
        <v>16</v>
      </c>
      <c r="P52" s="18">
        <v>42832.125</v>
      </c>
      <c r="Q52" s="21"/>
      <c r="R52" s="21"/>
      <c r="S52" s="21"/>
      <c r="T52" s="21"/>
      <c r="U52" s="18">
        <v>42832.125</v>
      </c>
      <c r="V52" s="21"/>
      <c r="W52" s="21"/>
      <c r="X52" s="21"/>
      <c r="Y52" s="21"/>
      <c r="Z52" s="21"/>
      <c r="AA52" s="21"/>
      <c r="AB52" s="21"/>
      <c r="AC52" s="21"/>
      <c r="AD52" s="21"/>
      <c r="AE52" s="21"/>
      <c r="AF52" s="21"/>
      <c r="AG52" s="10" t="s">
        <v>685</v>
      </c>
      <c r="AH52" s="10" t="s">
        <v>949</v>
      </c>
      <c r="AI52" s="77" t="s">
        <v>722</v>
      </c>
      <c r="AJ52" s="10" t="s">
        <v>723</v>
      </c>
      <c r="AK52" s="21">
        <v>1828</v>
      </c>
      <c r="AL52" s="18">
        <v>42832125</v>
      </c>
      <c r="AM52" s="10" t="s">
        <v>724</v>
      </c>
      <c r="AN52" s="21"/>
      <c r="AO52" s="21"/>
      <c r="AP52" s="21" t="s">
        <v>536</v>
      </c>
      <c r="AQ52" s="21" t="s">
        <v>536</v>
      </c>
      <c r="AR52" s="21" t="s">
        <v>536</v>
      </c>
      <c r="AS52" s="21" t="s">
        <v>536</v>
      </c>
      <c r="AT52" s="21" t="s">
        <v>536</v>
      </c>
      <c r="AU52" s="21" t="s">
        <v>536</v>
      </c>
      <c r="AV52" s="21" t="s">
        <v>536</v>
      </c>
      <c r="AW52" s="21" t="s">
        <v>536</v>
      </c>
      <c r="AX52" s="21" t="s">
        <v>536</v>
      </c>
      <c r="AY52" s="21" t="s">
        <v>536</v>
      </c>
      <c r="AZ52" s="10" t="s">
        <v>745</v>
      </c>
      <c r="BA52" s="10" t="s">
        <v>725</v>
      </c>
    </row>
    <row r="53" spans="1:53" s="20" customFormat="1" ht="120" x14ac:dyDescent="0.25">
      <c r="A53" s="2" t="s">
        <v>438</v>
      </c>
      <c r="B53" s="2" t="s">
        <v>4</v>
      </c>
      <c r="C53" s="2" t="s">
        <v>108</v>
      </c>
      <c r="D53" s="2" t="s">
        <v>109</v>
      </c>
      <c r="E53" s="2">
        <v>0.76</v>
      </c>
      <c r="F53" s="2" t="s">
        <v>19</v>
      </c>
      <c r="G53" s="903"/>
      <c r="H53" s="2" t="s">
        <v>342</v>
      </c>
      <c r="I53" s="2" t="s">
        <v>343</v>
      </c>
      <c r="J53" s="2">
        <v>21</v>
      </c>
      <c r="K53" s="2" t="s">
        <v>526</v>
      </c>
      <c r="L53" s="2">
        <v>21</v>
      </c>
      <c r="M53" s="2">
        <v>6</v>
      </c>
      <c r="N53" s="2" t="s">
        <v>343</v>
      </c>
      <c r="O53" s="21"/>
      <c r="P53" s="18">
        <v>20374.2</v>
      </c>
      <c r="Q53" s="21"/>
      <c r="R53" s="21"/>
      <c r="S53" s="21"/>
      <c r="T53" s="21"/>
      <c r="U53" s="18">
        <v>20374.2</v>
      </c>
      <c r="V53" s="21"/>
      <c r="W53" s="21"/>
      <c r="X53" s="21"/>
      <c r="Y53" s="21"/>
      <c r="Z53" s="21"/>
      <c r="AA53" s="21"/>
      <c r="AB53" s="21"/>
      <c r="AC53" s="21"/>
      <c r="AD53" s="21"/>
      <c r="AE53" s="21"/>
      <c r="AF53" s="21"/>
      <c r="AG53" s="10" t="s">
        <v>685</v>
      </c>
      <c r="AH53" s="10" t="s">
        <v>949</v>
      </c>
      <c r="AI53" s="77" t="s">
        <v>726</v>
      </c>
      <c r="AJ53" s="10" t="s">
        <v>727</v>
      </c>
      <c r="AK53" s="21">
        <v>1000</v>
      </c>
      <c r="AL53" s="18">
        <v>20374.2</v>
      </c>
      <c r="AM53" s="10" t="s">
        <v>728</v>
      </c>
      <c r="AN53" s="21"/>
      <c r="AO53" s="21"/>
      <c r="AP53" s="21" t="s">
        <v>536</v>
      </c>
      <c r="AQ53" s="21" t="s">
        <v>536</v>
      </c>
      <c r="AR53" s="21" t="s">
        <v>536</v>
      </c>
      <c r="AS53" s="21" t="s">
        <v>536</v>
      </c>
      <c r="AT53" s="21" t="s">
        <v>536</v>
      </c>
      <c r="AU53" s="21" t="s">
        <v>536</v>
      </c>
      <c r="AV53" s="21" t="s">
        <v>536</v>
      </c>
      <c r="AW53" s="21" t="s">
        <v>536</v>
      </c>
      <c r="AX53" s="21" t="s">
        <v>536</v>
      </c>
      <c r="AY53" s="21" t="s">
        <v>536</v>
      </c>
      <c r="AZ53" s="10" t="s">
        <v>745</v>
      </c>
      <c r="BA53" s="10" t="s">
        <v>729</v>
      </c>
    </row>
    <row r="54" spans="1:53" s="20" customFormat="1" ht="91.5" customHeight="1" x14ac:dyDescent="0.25">
      <c r="A54" s="2" t="s">
        <v>438</v>
      </c>
      <c r="B54" s="2" t="s">
        <v>4</v>
      </c>
      <c r="C54" s="1" t="s">
        <v>110</v>
      </c>
      <c r="D54" s="1" t="s">
        <v>111</v>
      </c>
      <c r="E54" s="2">
        <v>0.5</v>
      </c>
      <c r="F54" s="2" t="s">
        <v>19</v>
      </c>
      <c r="G54" s="903"/>
      <c r="H54" s="2" t="s">
        <v>344</v>
      </c>
      <c r="I54" s="2" t="s">
        <v>345</v>
      </c>
      <c r="J54" s="2">
        <v>21</v>
      </c>
      <c r="K54" s="2" t="s">
        <v>526</v>
      </c>
      <c r="L54" s="2">
        <v>21</v>
      </c>
      <c r="M54" s="2">
        <v>6</v>
      </c>
      <c r="N54" s="2" t="s">
        <v>345</v>
      </c>
      <c r="O54" s="21">
        <v>13</v>
      </c>
      <c r="P54" s="18">
        <v>26625.375</v>
      </c>
      <c r="Q54" s="21"/>
      <c r="R54" s="21"/>
      <c r="S54" s="21"/>
      <c r="T54" s="21"/>
      <c r="U54" s="18">
        <v>26625.375</v>
      </c>
      <c r="V54" s="21"/>
      <c r="W54" s="21"/>
      <c r="X54" s="21"/>
      <c r="Y54" s="21"/>
      <c r="Z54" s="21"/>
      <c r="AA54" s="21"/>
      <c r="AB54" s="21"/>
      <c r="AC54" s="21"/>
      <c r="AD54" s="21"/>
      <c r="AE54" s="21"/>
      <c r="AF54" s="21"/>
      <c r="AG54" s="10" t="s">
        <v>685</v>
      </c>
      <c r="AH54" s="10" t="s">
        <v>949</v>
      </c>
      <c r="AI54" s="77" t="s">
        <v>730</v>
      </c>
      <c r="AJ54" s="21" t="s">
        <v>731</v>
      </c>
      <c r="AK54" s="10" t="s">
        <v>732</v>
      </c>
      <c r="AL54" s="18">
        <v>26625.375</v>
      </c>
      <c r="AM54" s="10" t="s">
        <v>733</v>
      </c>
      <c r="AN54" s="21"/>
      <c r="AO54" s="21"/>
      <c r="AP54" s="21" t="s">
        <v>536</v>
      </c>
      <c r="AQ54" s="21" t="s">
        <v>536</v>
      </c>
      <c r="AR54" s="21" t="s">
        <v>536</v>
      </c>
      <c r="AS54" s="21" t="s">
        <v>536</v>
      </c>
      <c r="AT54" s="21" t="s">
        <v>536</v>
      </c>
      <c r="AU54" s="21" t="s">
        <v>536</v>
      </c>
      <c r="AV54" s="21" t="s">
        <v>536</v>
      </c>
      <c r="AW54" s="21" t="s">
        <v>536</v>
      </c>
      <c r="AX54" s="21" t="s">
        <v>536</v>
      </c>
      <c r="AY54" s="21" t="s">
        <v>536</v>
      </c>
      <c r="AZ54" s="10" t="s">
        <v>745</v>
      </c>
      <c r="BA54" s="21" t="s">
        <v>734</v>
      </c>
    </row>
    <row r="55" spans="1:53" s="20" customFormat="1" ht="225" x14ac:dyDescent="0.25">
      <c r="A55" s="2" t="s">
        <v>438</v>
      </c>
      <c r="B55" s="2" t="s">
        <v>4</v>
      </c>
      <c r="C55" s="2" t="s">
        <v>112</v>
      </c>
      <c r="D55" s="2" t="s">
        <v>113</v>
      </c>
      <c r="E55" s="2">
        <v>2.3E-2</v>
      </c>
      <c r="F55" s="2" t="s">
        <v>19</v>
      </c>
      <c r="G55" s="903"/>
      <c r="H55" s="2" t="s">
        <v>114</v>
      </c>
      <c r="I55" s="2" t="s">
        <v>346</v>
      </c>
      <c r="J55" s="2">
        <v>2</v>
      </c>
      <c r="K55" s="2" t="s">
        <v>526</v>
      </c>
      <c r="L55" s="2">
        <v>14</v>
      </c>
      <c r="M55" s="2">
        <v>4</v>
      </c>
      <c r="N55" s="2" t="s">
        <v>346</v>
      </c>
      <c r="O55" s="21">
        <v>7</v>
      </c>
      <c r="P55" s="18">
        <v>69458</v>
      </c>
      <c r="Q55" s="21"/>
      <c r="R55" s="21"/>
      <c r="S55" s="21"/>
      <c r="T55" s="21"/>
      <c r="U55" s="18">
        <v>69458</v>
      </c>
      <c r="V55" s="21"/>
      <c r="W55" s="21"/>
      <c r="X55" s="21"/>
      <c r="Y55" s="21"/>
      <c r="Z55" s="21"/>
      <c r="AA55" s="21"/>
      <c r="AB55" s="21"/>
      <c r="AC55" s="21"/>
      <c r="AD55" s="21"/>
      <c r="AE55" s="21"/>
      <c r="AF55" s="21"/>
      <c r="AG55" s="10" t="s">
        <v>685</v>
      </c>
      <c r="AH55" s="10" t="s">
        <v>949</v>
      </c>
      <c r="AI55" s="300" t="s">
        <v>735</v>
      </c>
      <c r="AJ55" s="10" t="s">
        <v>736</v>
      </c>
      <c r="AK55" s="10" t="s">
        <v>737</v>
      </c>
      <c r="AL55" s="37">
        <v>69458</v>
      </c>
      <c r="AM55" s="10" t="s">
        <v>738</v>
      </c>
      <c r="AN55" s="21"/>
      <c r="AO55" s="21"/>
      <c r="AP55" s="21"/>
      <c r="AQ55" s="21"/>
      <c r="AR55" s="21"/>
      <c r="AS55" s="21"/>
      <c r="AT55" s="21"/>
      <c r="AU55" s="21"/>
      <c r="AV55" s="21"/>
      <c r="AW55" s="21"/>
      <c r="AX55" s="21"/>
      <c r="AY55" s="21"/>
      <c r="AZ55" s="10" t="s">
        <v>745</v>
      </c>
      <c r="BA55" s="10" t="s">
        <v>739</v>
      </c>
    </row>
    <row r="56" spans="1:53" s="20" customFormat="1" ht="270.75" thickBot="1" x14ac:dyDescent="0.3">
      <c r="A56" s="2" t="s">
        <v>438</v>
      </c>
      <c r="B56" s="2" t="s">
        <v>4</v>
      </c>
      <c r="C56" s="2" t="s">
        <v>115</v>
      </c>
      <c r="D56" s="2" t="s">
        <v>116</v>
      </c>
      <c r="E56" s="2" t="s">
        <v>117</v>
      </c>
      <c r="F56" s="2" t="s">
        <v>19</v>
      </c>
      <c r="G56" s="903"/>
      <c r="H56" s="2" t="s">
        <v>347</v>
      </c>
      <c r="I56" s="2" t="s">
        <v>348</v>
      </c>
      <c r="J56" s="2">
        <v>15</v>
      </c>
      <c r="K56" s="2" t="s">
        <v>526</v>
      </c>
      <c r="L56" s="2">
        <v>21</v>
      </c>
      <c r="M56" s="2">
        <v>6</v>
      </c>
      <c r="N56" s="2" t="s">
        <v>348</v>
      </c>
      <c r="O56" s="21">
        <v>7</v>
      </c>
      <c r="P56" s="18">
        <v>40516.875</v>
      </c>
      <c r="Q56" s="21"/>
      <c r="R56" s="21"/>
      <c r="S56" s="21"/>
      <c r="T56" s="21"/>
      <c r="U56" s="18">
        <v>40516.875</v>
      </c>
      <c r="V56" s="21"/>
      <c r="W56" s="21"/>
      <c r="X56" s="21"/>
      <c r="Y56" s="21"/>
      <c r="Z56" s="21"/>
      <c r="AA56" s="21"/>
      <c r="AB56" s="21"/>
      <c r="AC56" s="21"/>
      <c r="AD56" s="21"/>
      <c r="AE56" s="21"/>
      <c r="AF56" s="21"/>
      <c r="AG56" s="10" t="s">
        <v>685</v>
      </c>
      <c r="AH56" s="10" t="s">
        <v>949</v>
      </c>
      <c r="AI56" s="77" t="s">
        <v>740</v>
      </c>
      <c r="AJ56" s="21" t="s">
        <v>741</v>
      </c>
      <c r="AK56" s="10" t="s">
        <v>742</v>
      </c>
      <c r="AL56" s="18">
        <v>40516.875</v>
      </c>
      <c r="AM56" s="10" t="s">
        <v>743</v>
      </c>
      <c r="AN56" s="21"/>
      <c r="AO56" s="21"/>
      <c r="AP56" s="21" t="s">
        <v>536</v>
      </c>
      <c r="AQ56" s="21" t="s">
        <v>536</v>
      </c>
      <c r="AR56" s="21" t="s">
        <v>536</v>
      </c>
      <c r="AS56" s="21" t="s">
        <v>536</v>
      </c>
      <c r="AT56" s="21" t="s">
        <v>536</v>
      </c>
      <c r="AU56" s="21" t="s">
        <v>536</v>
      </c>
      <c r="AV56" s="21" t="s">
        <v>536</v>
      </c>
      <c r="AW56" s="21" t="s">
        <v>536</v>
      </c>
      <c r="AX56" s="21" t="s">
        <v>536</v>
      </c>
      <c r="AY56" s="21" t="s">
        <v>536</v>
      </c>
      <c r="AZ56" s="10" t="s">
        <v>745</v>
      </c>
      <c r="BA56" s="21" t="s">
        <v>744</v>
      </c>
    </row>
    <row r="57" spans="1:53" s="20" customFormat="1" ht="45" x14ac:dyDescent="0.25">
      <c r="A57" s="2" t="s">
        <v>438</v>
      </c>
      <c r="B57" s="2" t="s">
        <v>4</v>
      </c>
      <c r="C57" s="2" t="s">
        <v>448</v>
      </c>
      <c r="D57" s="2" t="s">
        <v>118</v>
      </c>
      <c r="E57" s="2" t="s">
        <v>119</v>
      </c>
      <c r="F57" s="2" t="s">
        <v>19</v>
      </c>
      <c r="G57" s="903"/>
      <c r="H57" s="2" t="s">
        <v>349</v>
      </c>
      <c r="I57" s="2" t="s">
        <v>449</v>
      </c>
      <c r="J57" s="2" t="s">
        <v>120</v>
      </c>
      <c r="K57" s="2" t="s">
        <v>526</v>
      </c>
      <c r="L57" s="6">
        <v>77438</v>
      </c>
      <c r="M57" s="89">
        <v>0</v>
      </c>
      <c r="N57" s="2" t="s">
        <v>449</v>
      </c>
      <c r="O57" s="24">
        <v>27818</v>
      </c>
      <c r="P57" s="18">
        <v>0</v>
      </c>
      <c r="Q57" s="68"/>
      <c r="R57" s="68"/>
      <c r="S57" s="21"/>
      <c r="T57" s="21"/>
      <c r="U57" s="21"/>
      <c r="V57" s="25"/>
      <c r="W57" s="21"/>
      <c r="X57" s="21"/>
      <c r="Y57" s="21"/>
      <c r="Z57" s="21"/>
      <c r="AA57" s="21"/>
      <c r="AB57" s="21"/>
      <c r="AC57" s="33">
        <v>0</v>
      </c>
      <c r="AD57" s="21"/>
      <c r="AE57" s="21"/>
      <c r="AF57" s="33">
        <v>0</v>
      </c>
      <c r="AG57" s="10"/>
      <c r="AH57" s="10"/>
      <c r="AI57" s="301"/>
      <c r="AJ57" s="10"/>
      <c r="AK57" s="21"/>
      <c r="AL57" s="18"/>
      <c r="AM57" s="69"/>
      <c r="AN57" s="21"/>
      <c r="AO57" s="21"/>
      <c r="AP57" s="21"/>
      <c r="AQ57" s="21"/>
      <c r="AR57" s="21"/>
      <c r="AS57" s="21"/>
      <c r="AT57" s="21"/>
      <c r="AU57" s="21"/>
      <c r="AV57" s="21"/>
      <c r="AW57" s="21"/>
      <c r="AX57" s="21"/>
      <c r="AY57" s="21"/>
      <c r="AZ57" s="10"/>
      <c r="BA57" s="10"/>
    </row>
    <row r="58" spans="1:53" s="20" customFormat="1" ht="97.5" customHeight="1" x14ac:dyDescent="0.25">
      <c r="A58" s="2" t="s">
        <v>438</v>
      </c>
      <c r="B58" s="2" t="s">
        <v>4</v>
      </c>
      <c r="C58" s="903" t="s">
        <v>21</v>
      </c>
      <c r="D58" s="903" t="s">
        <v>121</v>
      </c>
      <c r="E58" s="903" t="s">
        <v>22</v>
      </c>
      <c r="F58" s="2" t="s">
        <v>23</v>
      </c>
      <c r="G58" s="905" t="s">
        <v>122</v>
      </c>
      <c r="H58" s="2" t="s">
        <v>123</v>
      </c>
      <c r="I58" s="2" t="s">
        <v>450</v>
      </c>
      <c r="J58" s="2">
        <v>54</v>
      </c>
      <c r="K58" s="2" t="s">
        <v>526</v>
      </c>
      <c r="L58" s="62">
        <v>0.6</v>
      </c>
      <c r="M58" s="62">
        <v>0.2</v>
      </c>
      <c r="N58" s="2" t="s">
        <v>450</v>
      </c>
      <c r="O58" s="36" t="s">
        <v>800</v>
      </c>
      <c r="P58" s="33">
        <v>109975</v>
      </c>
      <c r="Q58" s="21"/>
      <c r="R58" s="21"/>
      <c r="S58" s="21"/>
      <c r="T58" s="21"/>
      <c r="U58" s="33">
        <v>5788</v>
      </c>
      <c r="V58" s="33"/>
      <c r="W58" s="21"/>
      <c r="X58" s="21"/>
      <c r="Y58" s="21"/>
      <c r="Z58" s="21"/>
      <c r="AA58" s="21"/>
      <c r="AB58" s="33">
        <v>104187</v>
      </c>
      <c r="AC58" s="21"/>
      <c r="AD58" s="21"/>
      <c r="AE58" s="21"/>
      <c r="AF58" s="21"/>
      <c r="AG58" s="2" t="s">
        <v>755</v>
      </c>
      <c r="AH58" s="10" t="s">
        <v>949</v>
      </c>
      <c r="AI58" s="39">
        <v>42</v>
      </c>
      <c r="AJ58" s="27" t="s">
        <v>610</v>
      </c>
      <c r="AK58" s="35">
        <v>1426938</v>
      </c>
      <c r="AL58" s="33">
        <v>109975</v>
      </c>
      <c r="AM58" s="27" t="s">
        <v>756</v>
      </c>
      <c r="AN58" s="39" t="s">
        <v>589</v>
      </c>
      <c r="AO58" s="21" t="s">
        <v>536</v>
      </c>
      <c r="AP58" s="21" t="s">
        <v>536</v>
      </c>
      <c r="AQ58" s="21" t="s">
        <v>536</v>
      </c>
      <c r="AR58" s="21" t="s">
        <v>536</v>
      </c>
      <c r="AS58" s="21" t="s">
        <v>536</v>
      </c>
      <c r="AT58" s="21" t="s">
        <v>536</v>
      </c>
      <c r="AU58" s="21" t="s">
        <v>536</v>
      </c>
      <c r="AV58" s="21" t="s">
        <v>536</v>
      </c>
      <c r="AW58" s="21" t="s">
        <v>536</v>
      </c>
      <c r="AX58" s="21" t="s">
        <v>536</v>
      </c>
      <c r="AY58" s="21" t="s">
        <v>536</v>
      </c>
      <c r="AZ58" s="27" t="s">
        <v>754</v>
      </c>
      <c r="BA58" s="27" t="s">
        <v>757</v>
      </c>
    </row>
    <row r="59" spans="1:53" s="20" customFormat="1" ht="59.25" customHeight="1" x14ac:dyDescent="0.25">
      <c r="A59" s="2" t="s">
        <v>438</v>
      </c>
      <c r="B59" s="2" t="s">
        <v>4</v>
      </c>
      <c r="C59" s="903"/>
      <c r="D59" s="903"/>
      <c r="E59" s="903"/>
      <c r="F59" s="2" t="s">
        <v>23</v>
      </c>
      <c r="G59" s="906"/>
      <c r="H59" s="2" t="s">
        <v>350</v>
      </c>
      <c r="I59" s="2" t="s">
        <v>451</v>
      </c>
      <c r="J59" s="2">
        <v>14</v>
      </c>
      <c r="K59" s="2" t="s">
        <v>526</v>
      </c>
      <c r="L59" s="62">
        <v>0.3</v>
      </c>
      <c r="M59" s="62">
        <v>0.04</v>
      </c>
      <c r="N59" s="2" t="s">
        <v>451</v>
      </c>
      <c r="O59" s="36" t="s">
        <v>802</v>
      </c>
      <c r="P59" s="33">
        <v>145861</v>
      </c>
      <c r="Q59" s="21"/>
      <c r="R59" s="21"/>
      <c r="S59" s="21"/>
      <c r="T59" s="21"/>
      <c r="U59" s="33">
        <v>6946</v>
      </c>
      <c r="V59" s="33"/>
      <c r="W59" s="21"/>
      <c r="X59" s="21"/>
      <c r="Y59" s="21"/>
      <c r="Z59" s="21"/>
      <c r="AA59" s="21"/>
      <c r="AB59" s="33">
        <v>138915</v>
      </c>
      <c r="AC59" s="21"/>
      <c r="AD59" s="21"/>
      <c r="AE59" s="21"/>
      <c r="AF59" s="21"/>
      <c r="AG59" s="2" t="s">
        <v>755</v>
      </c>
      <c r="AH59" s="10" t="s">
        <v>949</v>
      </c>
      <c r="AI59" s="39">
        <v>42</v>
      </c>
      <c r="AJ59" s="27" t="s">
        <v>610</v>
      </c>
      <c r="AK59" s="35">
        <v>1426938</v>
      </c>
      <c r="AL59" s="33">
        <v>145861</v>
      </c>
      <c r="AM59" s="27" t="s">
        <v>758</v>
      </c>
      <c r="AN59" s="39" t="s">
        <v>589</v>
      </c>
      <c r="AO59" s="21" t="s">
        <v>536</v>
      </c>
      <c r="AP59" s="21" t="s">
        <v>536</v>
      </c>
      <c r="AQ59" s="21" t="s">
        <v>536</v>
      </c>
      <c r="AR59" s="21" t="s">
        <v>536</v>
      </c>
      <c r="AS59" s="21" t="s">
        <v>536</v>
      </c>
      <c r="AT59" s="21" t="s">
        <v>536</v>
      </c>
      <c r="AU59" s="21" t="s">
        <v>536</v>
      </c>
      <c r="AV59" s="21" t="s">
        <v>536</v>
      </c>
      <c r="AW59" s="21" t="s">
        <v>536</v>
      </c>
      <c r="AX59" s="21" t="s">
        <v>536</v>
      </c>
      <c r="AY59" s="21" t="s">
        <v>536</v>
      </c>
      <c r="AZ59" s="27" t="s">
        <v>754</v>
      </c>
      <c r="BA59" s="27" t="s">
        <v>757</v>
      </c>
    </row>
    <row r="60" spans="1:53" s="20" customFormat="1" ht="77.25" customHeight="1" x14ac:dyDescent="0.25">
      <c r="A60" s="2" t="s">
        <v>438</v>
      </c>
      <c r="B60" s="2" t="s">
        <v>4</v>
      </c>
      <c r="C60" s="903"/>
      <c r="D60" s="903"/>
      <c r="E60" s="903"/>
      <c r="F60" s="2" t="s">
        <v>23</v>
      </c>
      <c r="G60" s="906"/>
      <c r="H60" s="2" t="s">
        <v>124</v>
      </c>
      <c r="I60" s="2" t="s">
        <v>452</v>
      </c>
      <c r="J60" s="2">
        <v>0.75</v>
      </c>
      <c r="K60" s="2" t="s">
        <v>526</v>
      </c>
      <c r="L60" s="62">
        <v>0.85</v>
      </c>
      <c r="M60" s="62">
        <v>0.3</v>
      </c>
      <c r="N60" s="2" t="s">
        <v>452</v>
      </c>
      <c r="O60" s="36" t="s">
        <v>803</v>
      </c>
      <c r="P60" s="33">
        <v>74088</v>
      </c>
      <c r="Q60" s="21"/>
      <c r="R60" s="21"/>
      <c r="S60" s="21"/>
      <c r="T60" s="21"/>
      <c r="U60" s="33">
        <v>4631</v>
      </c>
      <c r="V60" s="33"/>
      <c r="W60" s="21"/>
      <c r="X60" s="21"/>
      <c r="Y60" s="21"/>
      <c r="Z60" s="21"/>
      <c r="AA60" s="21"/>
      <c r="AB60" s="33">
        <v>69457</v>
      </c>
      <c r="AC60" s="21"/>
      <c r="AD60" s="21"/>
      <c r="AE60" s="21"/>
      <c r="AF60" s="21"/>
      <c r="AG60" s="2" t="s">
        <v>755</v>
      </c>
      <c r="AH60" s="10" t="s">
        <v>949</v>
      </c>
      <c r="AI60" s="39">
        <v>42</v>
      </c>
      <c r="AJ60" s="27" t="s">
        <v>610</v>
      </c>
      <c r="AK60" s="35">
        <v>1426938</v>
      </c>
      <c r="AL60" s="33">
        <v>74088</v>
      </c>
      <c r="AM60" s="27" t="s">
        <v>759</v>
      </c>
      <c r="AN60" s="39" t="s">
        <v>589</v>
      </c>
      <c r="AO60" s="21" t="s">
        <v>536</v>
      </c>
      <c r="AP60" s="21" t="s">
        <v>536</v>
      </c>
      <c r="AQ60" s="21" t="s">
        <v>536</v>
      </c>
      <c r="AR60" s="21" t="s">
        <v>536</v>
      </c>
      <c r="AS60" s="21" t="s">
        <v>536</v>
      </c>
      <c r="AT60" s="21" t="s">
        <v>536</v>
      </c>
      <c r="AU60" s="21" t="s">
        <v>536</v>
      </c>
      <c r="AV60" s="21" t="s">
        <v>536</v>
      </c>
      <c r="AW60" s="21" t="s">
        <v>536</v>
      </c>
      <c r="AX60" s="21" t="s">
        <v>536</v>
      </c>
      <c r="AY60" s="21" t="s">
        <v>536</v>
      </c>
      <c r="AZ60" s="27" t="s">
        <v>754</v>
      </c>
      <c r="BA60" s="27" t="s">
        <v>757</v>
      </c>
    </row>
    <row r="61" spans="1:53" s="20" customFormat="1" ht="66" customHeight="1" x14ac:dyDescent="0.25">
      <c r="A61" s="2" t="s">
        <v>438</v>
      </c>
      <c r="B61" s="2" t="s">
        <v>4</v>
      </c>
      <c r="C61" s="903"/>
      <c r="D61" s="903"/>
      <c r="E61" s="903"/>
      <c r="F61" s="2" t="s">
        <v>23</v>
      </c>
      <c r="G61" s="906"/>
      <c r="H61" s="2" t="s">
        <v>351</v>
      </c>
      <c r="I61" s="2" t="s">
        <v>453</v>
      </c>
      <c r="J61" s="3">
        <v>1</v>
      </c>
      <c r="K61" s="3" t="s">
        <v>526</v>
      </c>
      <c r="L61" s="3">
        <v>1</v>
      </c>
      <c r="M61" s="3">
        <v>0.3</v>
      </c>
      <c r="N61" s="2" t="s">
        <v>453</v>
      </c>
      <c r="O61" s="36">
        <v>0.3</v>
      </c>
      <c r="P61" s="33">
        <v>1792598</v>
      </c>
      <c r="Q61" s="21"/>
      <c r="R61" s="21"/>
      <c r="S61" s="21"/>
      <c r="T61" s="21"/>
      <c r="U61" s="33">
        <v>8103</v>
      </c>
      <c r="V61" s="33">
        <v>1750000</v>
      </c>
      <c r="W61" s="21"/>
      <c r="X61" s="21"/>
      <c r="Y61" s="21"/>
      <c r="Z61" s="21"/>
      <c r="AA61" s="21"/>
      <c r="AB61" s="33">
        <v>34494</v>
      </c>
      <c r="AC61" s="21"/>
      <c r="AD61" s="21"/>
      <c r="AE61" s="21"/>
      <c r="AF61" s="21"/>
      <c r="AG61" s="2" t="s">
        <v>755</v>
      </c>
      <c r="AH61" s="10" t="s">
        <v>949</v>
      </c>
      <c r="AI61" s="39">
        <v>42</v>
      </c>
      <c r="AJ61" s="27" t="s">
        <v>760</v>
      </c>
      <c r="AK61" s="35">
        <v>1426938</v>
      </c>
      <c r="AL61" s="33">
        <v>1792598</v>
      </c>
      <c r="AM61" s="27" t="s">
        <v>761</v>
      </c>
      <c r="AN61" s="39" t="s">
        <v>589</v>
      </c>
      <c r="AO61" s="21" t="s">
        <v>536</v>
      </c>
      <c r="AP61" s="21" t="s">
        <v>536</v>
      </c>
      <c r="AQ61" s="21" t="s">
        <v>536</v>
      </c>
      <c r="AR61" s="21" t="s">
        <v>536</v>
      </c>
      <c r="AS61" s="21" t="s">
        <v>536</v>
      </c>
      <c r="AT61" s="21" t="s">
        <v>536</v>
      </c>
      <c r="AU61" s="21" t="s">
        <v>536</v>
      </c>
      <c r="AV61" s="21" t="s">
        <v>536</v>
      </c>
      <c r="AW61" s="21" t="s">
        <v>536</v>
      </c>
      <c r="AX61" s="21" t="s">
        <v>536</v>
      </c>
      <c r="AY61" s="21" t="s">
        <v>536</v>
      </c>
      <c r="AZ61" s="27" t="s">
        <v>754</v>
      </c>
      <c r="BA61" s="27" t="s">
        <v>757</v>
      </c>
    </row>
    <row r="62" spans="1:53" s="20" customFormat="1" ht="63" customHeight="1" x14ac:dyDescent="0.25">
      <c r="A62" s="2" t="s">
        <v>438</v>
      </c>
      <c r="B62" s="2" t="s">
        <v>4</v>
      </c>
      <c r="C62" s="2" t="s">
        <v>352</v>
      </c>
      <c r="D62" s="2" t="s">
        <v>125</v>
      </c>
      <c r="E62" s="2" t="s">
        <v>126</v>
      </c>
      <c r="F62" s="2" t="s">
        <v>23</v>
      </c>
      <c r="G62" s="906"/>
      <c r="H62" s="2" t="s">
        <v>353</v>
      </c>
      <c r="I62" s="2" t="s">
        <v>354</v>
      </c>
      <c r="J62" s="2">
        <v>12</v>
      </c>
      <c r="K62" s="2" t="s">
        <v>527</v>
      </c>
      <c r="L62" s="2">
        <v>12</v>
      </c>
      <c r="M62" s="2">
        <v>12</v>
      </c>
      <c r="N62" s="2" t="s">
        <v>354</v>
      </c>
      <c r="O62" s="37">
        <v>9</v>
      </c>
      <c r="P62" s="33">
        <v>64846</v>
      </c>
      <c r="Q62" s="21"/>
      <c r="R62" s="21"/>
      <c r="S62" s="21"/>
      <c r="T62" s="21"/>
      <c r="U62" s="33">
        <v>3473</v>
      </c>
      <c r="V62" s="33"/>
      <c r="W62" s="21"/>
      <c r="X62" s="21"/>
      <c r="Y62" s="21"/>
      <c r="Z62" s="21"/>
      <c r="AA62" s="21"/>
      <c r="AB62" s="33">
        <v>61372</v>
      </c>
      <c r="AC62" s="21"/>
      <c r="AD62" s="21"/>
      <c r="AE62" s="21"/>
      <c r="AF62" s="21"/>
      <c r="AG62" s="2" t="s">
        <v>755</v>
      </c>
      <c r="AH62" s="10" t="s">
        <v>949</v>
      </c>
      <c r="AI62" s="39" t="s">
        <v>762</v>
      </c>
      <c r="AJ62" s="27" t="s">
        <v>763</v>
      </c>
      <c r="AK62" s="35">
        <v>902307</v>
      </c>
      <c r="AL62" s="33">
        <v>64846</v>
      </c>
      <c r="AM62" s="27" t="s">
        <v>764</v>
      </c>
      <c r="AN62" s="39" t="s">
        <v>589</v>
      </c>
      <c r="AO62" s="21" t="s">
        <v>536</v>
      </c>
      <c r="AP62" s="21" t="s">
        <v>536</v>
      </c>
      <c r="AQ62" s="21" t="s">
        <v>536</v>
      </c>
      <c r="AR62" s="21" t="s">
        <v>536</v>
      </c>
      <c r="AS62" s="21" t="s">
        <v>536</v>
      </c>
      <c r="AT62" s="21" t="s">
        <v>536</v>
      </c>
      <c r="AU62" s="21" t="s">
        <v>536</v>
      </c>
      <c r="AV62" s="21" t="s">
        <v>536</v>
      </c>
      <c r="AW62" s="21" t="s">
        <v>536</v>
      </c>
      <c r="AX62" s="21" t="s">
        <v>536</v>
      </c>
      <c r="AY62" s="21" t="s">
        <v>536</v>
      </c>
      <c r="AZ62" s="27" t="s">
        <v>754</v>
      </c>
      <c r="BA62" s="27" t="s">
        <v>765</v>
      </c>
    </row>
    <row r="63" spans="1:53" s="20" customFormat="1" ht="90" customHeight="1" x14ac:dyDescent="0.25">
      <c r="A63" s="2" t="s">
        <v>438</v>
      </c>
      <c r="B63" s="2" t="s">
        <v>4</v>
      </c>
      <c r="C63" s="2" t="s">
        <v>24</v>
      </c>
      <c r="D63" s="2" t="s">
        <v>127</v>
      </c>
      <c r="E63" s="2" t="s">
        <v>25</v>
      </c>
      <c r="F63" s="2" t="s">
        <v>23</v>
      </c>
      <c r="G63" s="906"/>
      <c r="H63" s="2" t="s">
        <v>355</v>
      </c>
      <c r="I63" s="2" t="s">
        <v>356</v>
      </c>
      <c r="J63" s="3">
        <v>1</v>
      </c>
      <c r="K63" s="2" t="s">
        <v>527</v>
      </c>
      <c r="L63" s="3">
        <v>1</v>
      </c>
      <c r="M63" s="3">
        <v>1</v>
      </c>
      <c r="N63" s="2" t="s">
        <v>356</v>
      </c>
      <c r="O63" s="36" t="s">
        <v>804</v>
      </c>
      <c r="P63" s="33">
        <v>279657</v>
      </c>
      <c r="Q63" s="10"/>
      <c r="R63" s="10"/>
      <c r="S63" s="10"/>
      <c r="T63" s="10"/>
      <c r="U63" s="33">
        <v>5788</v>
      </c>
      <c r="V63" s="33"/>
      <c r="W63" s="10"/>
      <c r="X63" s="10"/>
      <c r="Y63" s="10"/>
      <c r="Z63" s="10"/>
      <c r="AA63" s="10"/>
      <c r="AB63" s="33">
        <v>273868</v>
      </c>
      <c r="AC63" s="10"/>
      <c r="AD63" s="10"/>
      <c r="AE63" s="10"/>
      <c r="AF63" s="10"/>
      <c r="AG63" s="2" t="s">
        <v>755</v>
      </c>
      <c r="AH63" s="10" t="s">
        <v>949</v>
      </c>
      <c r="AI63" s="77" t="s">
        <v>766</v>
      </c>
      <c r="AJ63" s="10" t="s">
        <v>767</v>
      </c>
      <c r="AK63" s="33">
        <v>242437</v>
      </c>
      <c r="AL63" s="33">
        <v>279657</v>
      </c>
      <c r="AM63" s="10" t="s">
        <v>768</v>
      </c>
      <c r="AN63" s="21" t="s">
        <v>536</v>
      </c>
      <c r="AO63" s="21" t="s">
        <v>536</v>
      </c>
      <c r="AP63" s="21" t="s">
        <v>536</v>
      </c>
      <c r="AQ63" s="21" t="s">
        <v>536</v>
      </c>
      <c r="AR63" s="21" t="s">
        <v>536</v>
      </c>
      <c r="AS63" s="21" t="s">
        <v>536</v>
      </c>
      <c r="AT63" s="21" t="s">
        <v>536</v>
      </c>
      <c r="AU63" s="21" t="s">
        <v>536</v>
      </c>
      <c r="AV63" s="21" t="s">
        <v>536</v>
      </c>
      <c r="AW63" s="21" t="s">
        <v>536</v>
      </c>
      <c r="AX63" s="21" t="s">
        <v>536</v>
      </c>
      <c r="AY63" s="21" t="s">
        <v>536</v>
      </c>
      <c r="AZ63" s="10" t="s">
        <v>801</v>
      </c>
      <c r="BA63" s="10" t="s">
        <v>769</v>
      </c>
    </row>
    <row r="64" spans="1:53" s="20" customFormat="1" ht="120" x14ac:dyDescent="0.25">
      <c r="A64" s="2" t="s">
        <v>438</v>
      </c>
      <c r="B64" s="2" t="s">
        <v>4</v>
      </c>
      <c r="C64" s="2" t="s">
        <v>26</v>
      </c>
      <c r="D64" s="2" t="s">
        <v>128</v>
      </c>
      <c r="E64" s="2" t="s">
        <v>27</v>
      </c>
      <c r="F64" s="2" t="s">
        <v>23</v>
      </c>
      <c r="G64" s="906"/>
      <c r="H64" s="2" t="s">
        <v>454</v>
      </c>
      <c r="I64" s="2" t="s">
        <v>357</v>
      </c>
      <c r="J64" s="2">
        <v>5967</v>
      </c>
      <c r="K64" s="2" t="s">
        <v>527</v>
      </c>
      <c r="L64" s="62">
        <v>1</v>
      </c>
      <c r="M64" s="62">
        <v>1</v>
      </c>
      <c r="N64" s="2" t="s">
        <v>357</v>
      </c>
      <c r="O64" s="36" t="s">
        <v>805</v>
      </c>
      <c r="P64" s="33">
        <v>329497</v>
      </c>
      <c r="Q64" s="10"/>
      <c r="R64" s="10"/>
      <c r="S64" s="10"/>
      <c r="T64" s="10"/>
      <c r="U64" s="33">
        <v>6946</v>
      </c>
      <c r="V64" s="33"/>
      <c r="W64" s="10"/>
      <c r="X64" s="10"/>
      <c r="Y64" s="10"/>
      <c r="Z64" s="10"/>
      <c r="AA64" s="10"/>
      <c r="AB64" s="33">
        <v>322551</v>
      </c>
      <c r="AC64" s="10"/>
      <c r="AD64" s="10"/>
      <c r="AE64" s="10"/>
      <c r="AF64" s="10"/>
      <c r="AG64" s="2" t="s">
        <v>755</v>
      </c>
      <c r="AH64" s="10" t="s">
        <v>949</v>
      </c>
      <c r="AI64" s="77" t="s">
        <v>770</v>
      </c>
      <c r="AJ64" s="10" t="s">
        <v>771</v>
      </c>
      <c r="AK64" s="33">
        <v>62078</v>
      </c>
      <c r="AL64" s="33">
        <v>329497</v>
      </c>
      <c r="AM64" s="10" t="s">
        <v>772</v>
      </c>
      <c r="AN64" s="21" t="s">
        <v>536</v>
      </c>
      <c r="AO64" s="21" t="s">
        <v>536</v>
      </c>
      <c r="AP64" s="21" t="s">
        <v>536</v>
      </c>
      <c r="AQ64" s="21" t="s">
        <v>536</v>
      </c>
      <c r="AR64" s="21" t="s">
        <v>536</v>
      </c>
      <c r="AS64" s="21" t="s">
        <v>536</v>
      </c>
      <c r="AT64" s="21" t="s">
        <v>536</v>
      </c>
      <c r="AU64" s="21" t="s">
        <v>536</v>
      </c>
      <c r="AV64" s="21" t="s">
        <v>536</v>
      </c>
      <c r="AW64" s="21" t="s">
        <v>536</v>
      </c>
      <c r="AX64" s="21" t="s">
        <v>536</v>
      </c>
      <c r="AY64" s="21" t="s">
        <v>536</v>
      </c>
      <c r="AZ64" s="10" t="s">
        <v>801</v>
      </c>
      <c r="BA64" s="10" t="s">
        <v>773</v>
      </c>
    </row>
    <row r="65" spans="1:53" s="20" customFormat="1" ht="84.75" customHeight="1" x14ac:dyDescent="0.25">
      <c r="A65" s="2" t="s">
        <v>438</v>
      </c>
      <c r="B65" s="2" t="s">
        <v>4</v>
      </c>
      <c r="C65" s="2" t="s">
        <v>28</v>
      </c>
      <c r="D65" s="2" t="s">
        <v>129</v>
      </c>
      <c r="E65" s="2">
        <v>0</v>
      </c>
      <c r="F65" s="2" t="s">
        <v>23</v>
      </c>
      <c r="G65" s="906"/>
      <c r="H65" s="2" t="s">
        <v>468</v>
      </c>
      <c r="I65" s="2" t="s">
        <v>358</v>
      </c>
      <c r="J65" s="2">
        <v>0</v>
      </c>
      <c r="K65" s="2" t="s">
        <v>526</v>
      </c>
      <c r="L65" s="62">
        <v>1</v>
      </c>
      <c r="M65" s="62">
        <v>0.28999999999999998</v>
      </c>
      <c r="N65" s="2" t="s">
        <v>358</v>
      </c>
      <c r="O65" s="36">
        <v>0.56999999999999995</v>
      </c>
      <c r="P65" s="33">
        <v>1023945</v>
      </c>
      <c r="Q65" s="10"/>
      <c r="R65" s="10"/>
      <c r="S65" s="10"/>
      <c r="T65" s="10"/>
      <c r="U65" s="33">
        <v>4631</v>
      </c>
      <c r="V65" s="33"/>
      <c r="W65" s="10"/>
      <c r="X65" s="10"/>
      <c r="Y65" s="10"/>
      <c r="Z65" s="10"/>
      <c r="AA65" s="10"/>
      <c r="AB65" s="33">
        <v>1019314</v>
      </c>
      <c r="AC65" s="10"/>
      <c r="AD65" s="10"/>
      <c r="AE65" s="10"/>
      <c r="AF65" s="10"/>
      <c r="AG65" s="2" t="s">
        <v>755</v>
      </c>
      <c r="AH65" s="10" t="s">
        <v>949</v>
      </c>
      <c r="AI65" s="77" t="s">
        <v>774</v>
      </c>
      <c r="AJ65" s="10" t="s">
        <v>775</v>
      </c>
      <c r="AK65" s="33">
        <v>626841</v>
      </c>
      <c r="AL65" s="33">
        <v>1023945</v>
      </c>
      <c r="AM65" s="10" t="s">
        <v>776</v>
      </c>
      <c r="AN65" s="21" t="s">
        <v>536</v>
      </c>
      <c r="AO65" s="21" t="s">
        <v>536</v>
      </c>
      <c r="AP65" s="21" t="s">
        <v>536</v>
      </c>
      <c r="AQ65" s="21" t="s">
        <v>536</v>
      </c>
      <c r="AR65" s="21" t="s">
        <v>536</v>
      </c>
      <c r="AS65" s="21" t="s">
        <v>536</v>
      </c>
      <c r="AT65" s="21" t="s">
        <v>536</v>
      </c>
      <c r="AU65" s="21" t="s">
        <v>536</v>
      </c>
      <c r="AV65" s="21" t="s">
        <v>536</v>
      </c>
      <c r="AW65" s="21" t="s">
        <v>536</v>
      </c>
      <c r="AX65" s="21" t="s">
        <v>536</v>
      </c>
      <c r="AY65" s="21" t="s">
        <v>536</v>
      </c>
      <c r="AZ65" s="10" t="s">
        <v>801</v>
      </c>
      <c r="BA65" s="10" t="s">
        <v>777</v>
      </c>
    </row>
    <row r="66" spans="1:53" s="20" customFormat="1" ht="90" x14ac:dyDescent="0.25">
      <c r="A66" s="2" t="s">
        <v>438</v>
      </c>
      <c r="B66" s="2" t="s">
        <v>4</v>
      </c>
      <c r="C66" s="2" t="s">
        <v>130</v>
      </c>
      <c r="D66" s="2" t="s">
        <v>131</v>
      </c>
      <c r="E66" s="2">
        <v>0.89</v>
      </c>
      <c r="F66" s="2" t="s">
        <v>23</v>
      </c>
      <c r="G66" s="906"/>
      <c r="H66" s="2" t="s">
        <v>359</v>
      </c>
      <c r="I66" s="2" t="s">
        <v>360</v>
      </c>
      <c r="J66" s="3">
        <v>0.88700000000000001</v>
      </c>
      <c r="K66" s="2" t="s">
        <v>527</v>
      </c>
      <c r="L66" s="3">
        <v>0.95</v>
      </c>
      <c r="M66" s="3">
        <v>0.95</v>
      </c>
      <c r="N66" s="2" t="s">
        <v>360</v>
      </c>
      <c r="O66" s="36">
        <v>0.75600000000000001</v>
      </c>
      <c r="P66" s="33">
        <v>57881</v>
      </c>
      <c r="Q66" s="21"/>
      <c r="R66" s="21"/>
      <c r="S66" s="21"/>
      <c r="T66" s="21"/>
      <c r="U66" s="33">
        <v>57881</v>
      </c>
      <c r="V66" s="33"/>
      <c r="W66" s="21"/>
      <c r="X66" s="21"/>
      <c r="Y66" s="21"/>
      <c r="Z66" s="21"/>
      <c r="AA66" s="21"/>
      <c r="AB66" s="33">
        <v>0</v>
      </c>
      <c r="AC66" s="21"/>
      <c r="AD66" s="21"/>
      <c r="AE66" s="21"/>
      <c r="AF66" s="21"/>
      <c r="AG66" s="2" t="s">
        <v>755</v>
      </c>
      <c r="AH66" s="10" t="s">
        <v>949</v>
      </c>
      <c r="AI66" s="298">
        <v>42</v>
      </c>
      <c r="AJ66" s="11" t="s">
        <v>778</v>
      </c>
      <c r="AK66" s="9">
        <v>22.109000000000002</v>
      </c>
      <c r="AL66" s="33">
        <v>57881</v>
      </c>
      <c r="AM66" s="10" t="s">
        <v>779</v>
      </c>
      <c r="AN66" s="21">
        <v>0</v>
      </c>
      <c r="AO66" s="21" t="s">
        <v>536</v>
      </c>
      <c r="AP66" s="21" t="s">
        <v>536</v>
      </c>
      <c r="AQ66" s="21" t="s">
        <v>536</v>
      </c>
      <c r="AR66" s="21" t="s">
        <v>536</v>
      </c>
      <c r="AS66" s="21" t="s">
        <v>536</v>
      </c>
      <c r="AT66" s="21" t="s">
        <v>536</v>
      </c>
      <c r="AU66" s="21" t="s">
        <v>536</v>
      </c>
      <c r="AV66" s="21" t="s">
        <v>536</v>
      </c>
      <c r="AW66" s="21" t="s">
        <v>536</v>
      </c>
      <c r="AX66" s="21" t="s">
        <v>536</v>
      </c>
      <c r="AY66" s="21" t="s">
        <v>536</v>
      </c>
      <c r="AZ66" s="9" t="s">
        <v>689</v>
      </c>
      <c r="BA66" s="9" t="s">
        <v>780</v>
      </c>
    </row>
    <row r="67" spans="1:53" s="20" customFormat="1" ht="90" x14ac:dyDescent="0.25">
      <c r="A67" s="2" t="s">
        <v>438</v>
      </c>
      <c r="B67" s="2" t="s">
        <v>4</v>
      </c>
      <c r="C67" s="2" t="s">
        <v>130</v>
      </c>
      <c r="D67" s="2" t="s">
        <v>132</v>
      </c>
      <c r="E67" s="2">
        <v>92.1</v>
      </c>
      <c r="F67" s="2" t="s">
        <v>23</v>
      </c>
      <c r="G67" s="906"/>
      <c r="H67" s="2" t="s">
        <v>361</v>
      </c>
      <c r="I67" s="2" t="s">
        <v>362</v>
      </c>
      <c r="J67" s="2" t="s">
        <v>133</v>
      </c>
      <c r="K67" s="2" t="s">
        <v>527</v>
      </c>
      <c r="L67" s="62">
        <v>0.95</v>
      </c>
      <c r="M67" s="3">
        <v>0.95</v>
      </c>
      <c r="N67" s="2" t="s">
        <v>362</v>
      </c>
      <c r="O67" s="36">
        <v>0.75</v>
      </c>
      <c r="P67" s="33">
        <v>57881</v>
      </c>
      <c r="Q67" s="21"/>
      <c r="R67" s="21"/>
      <c r="S67" s="21"/>
      <c r="T67" s="21"/>
      <c r="U67" s="33">
        <v>57881</v>
      </c>
      <c r="V67" s="33"/>
      <c r="W67" s="21"/>
      <c r="X67" s="21"/>
      <c r="Y67" s="21"/>
      <c r="Z67" s="21"/>
      <c r="AA67" s="21"/>
      <c r="AB67" s="33">
        <v>0</v>
      </c>
      <c r="AC67" s="21"/>
      <c r="AD67" s="21"/>
      <c r="AE67" s="21"/>
      <c r="AF67" s="21"/>
      <c r="AG67" s="2" t="s">
        <v>755</v>
      </c>
      <c r="AH67" s="10" t="s">
        <v>949</v>
      </c>
      <c r="AI67" s="298">
        <v>42</v>
      </c>
      <c r="AJ67" s="11" t="s">
        <v>778</v>
      </c>
      <c r="AK67" s="9">
        <v>22.724</v>
      </c>
      <c r="AL67" s="33">
        <v>57881</v>
      </c>
      <c r="AM67" s="2" t="s">
        <v>781</v>
      </c>
      <c r="AN67" s="21" t="s">
        <v>536</v>
      </c>
      <c r="AO67" s="21" t="s">
        <v>536</v>
      </c>
      <c r="AP67" s="21" t="s">
        <v>536</v>
      </c>
      <c r="AQ67" s="21" t="s">
        <v>536</v>
      </c>
      <c r="AR67" s="21" t="s">
        <v>536</v>
      </c>
      <c r="AS67" s="21" t="s">
        <v>536</v>
      </c>
      <c r="AT67" s="21" t="s">
        <v>536</v>
      </c>
      <c r="AU67" s="21" t="s">
        <v>536</v>
      </c>
      <c r="AV67" s="21" t="s">
        <v>536</v>
      </c>
      <c r="AW67" s="21" t="s">
        <v>536</v>
      </c>
      <c r="AX67" s="21" t="s">
        <v>536</v>
      </c>
      <c r="AY67" s="21" t="s">
        <v>536</v>
      </c>
      <c r="AZ67" s="9" t="s">
        <v>689</v>
      </c>
      <c r="BA67" s="9" t="s">
        <v>782</v>
      </c>
    </row>
    <row r="68" spans="1:53" s="20" customFormat="1" ht="91.5" customHeight="1" x14ac:dyDescent="0.25">
      <c r="A68" s="2" t="s">
        <v>438</v>
      </c>
      <c r="B68" s="2" t="s">
        <v>4</v>
      </c>
      <c r="C68" s="2" t="s">
        <v>134</v>
      </c>
      <c r="D68" s="2" t="s">
        <v>135</v>
      </c>
      <c r="E68" s="2">
        <v>0</v>
      </c>
      <c r="F68" s="2" t="s">
        <v>23</v>
      </c>
      <c r="G68" s="906"/>
      <c r="H68" s="2" t="s">
        <v>363</v>
      </c>
      <c r="I68" s="2" t="s">
        <v>37</v>
      </c>
      <c r="J68" s="2">
        <v>0</v>
      </c>
      <c r="K68" s="2" t="s">
        <v>527</v>
      </c>
      <c r="L68" s="2">
        <v>0</v>
      </c>
      <c r="M68" s="87">
        <v>0</v>
      </c>
      <c r="N68" s="2" t="s">
        <v>37</v>
      </c>
      <c r="O68" s="21">
        <v>0</v>
      </c>
      <c r="P68" s="33">
        <v>23153</v>
      </c>
      <c r="Q68" s="21"/>
      <c r="R68" s="21"/>
      <c r="S68" s="21"/>
      <c r="T68" s="21"/>
      <c r="U68" s="33">
        <v>23153</v>
      </c>
      <c r="V68" s="33"/>
      <c r="W68" s="21"/>
      <c r="X68" s="21"/>
      <c r="Y68" s="21"/>
      <c r="Z68" s="21"/>
      <c r="AA68" s="21"/>
      <c r="AB68" s="33">
        <v>0</v>
      </c>
      <c r="AC68" s="21"/>
      <c r="AD68" s="21"/>
      <c r="AE68" s="21"/>
      <c r="AF68" s="21"/>
      <c r="AG68" s="2" t="s">
        <v>755</v>
      </c>
      <c r="AH68" s="10" t="s">
        <v>949</v>
      </c>
      <c r="AI68" s="298">
        <v>42</v>
      </c>
      <c r="AJ68" s="11" t="s">
        <v>778</v>
      </c>
      <c r="AK68" s="9">
        <v>68.239000000000004</v>
      </c>
      <c r="AL68" s="33">
        <v>23153</v>
      </c>
      <c r="AM68" s="2" t="s">
        <v>783</v>
      </c>
      <c r="AN68" s="21" t="s">
        <v>536</v>
      </c>
      <c r="AO68" s="21" t="s">
        <v>536</v>
      </c>
      <c r="AP68" s="21" t="s">
        <v>536</v>
      </c>
      <c r="AQ68" s="21" t="s">
        <v>536</v>
      </c>
      <c r="AR68" s="21" t="s">
        <v>536</v>
      </c>
      <c r="AS68" s="21" t="s">
        <v>536</v>
      </c>
      <c r="AT68" s="21" t="s">
        <v>536</v>
      </c>
      <c r="AU68" s="21" t="s">
        <v>536</v>
      </c>
      <c r="AV68" s="21" t="s">
        <v>536</v>
      </c>
      <c r="AW68" s="21" t="s">
        <v>536</v>
      </c>
      <c r="AX68" s="21" t="s">
        <v>536</v>
      </c>
      <c r="AY68" s="21" t="s">
        <v>536</v>
      </c>
      <c r="AZ68" s="9" t="s">
        <v>689</v>
      </c>
      <c r="BA68" s="9" t="s">
        <v>784</v>
      </c>
    </row>
    <row r="69" spans="1:53" s="20" customFormat="1" ht="95.25" customHeight="1" x14ac:dyDescent="0.25">
      <c r="A69" s="2" t="s">
        <v>438</v>
      </c>
      <c r="B69" s="2" t="s">
        <v>4</v>
      </c>
      <c r="C69" s="2" t="s">
        <v>136</v>
      </c>
      <c r="D69" s="2" t="s">
        <v>137</v>
      </c>
      <c r="E69" s="2">
        <v>0</v>
      </c>
      <c r="F69" s="2" t="s">
        <v>23</v>
      </c>
      <c r="G69" s="906"/>
      <c r="H69" s="2" t="s">
        <v>364</v>
      </c>
      <c r="I69" s="2" t="s">
        <v>138</v>
      </c>
      <c r="J69" s="2" t="s">
        <v>139</v>
      </c>
      <c r="K69" s="2" t="s">
        <v>527</v>
      </c>
      <c r="L69" s="2">
        <v>0.08</v>
      </c>
      <c r="M69" s="2">
        <v>0.08</v>
      </c>
      <c r="N69" s="2" t="s">
        <v>138</v>
      </c>
      <c r="O69" s="21" t="s">
        <v>139</v>
      </c>
      <c r="P69" s="33">
        <v>23153</v>
      </c>
      <c r="Q69" s="21"/>
      <c r="R69" s="21"/>
      <c r="S69" s="21"/>
      <c r="T69" s="21"/>
      <c r="U69" s="33">
        <v>23153</v>
      </c>
      <c r="V69" s="33"/>
      <c r="W69" s="21"/>
      <c r="X69" s="21"/>
      <c r="Y69" s="21"/>
      <c r="Z69" s="21"/>
      <c r="AA69" s="21"/>
      <c r="AB69" s="33">
        <v>0</v>
      </c>
      <c r="AC69" s="21"/>
      <c r="AD69" s="21"/>
      <c r="AE69" s="21"/>
      <c r="AF69" s="21"/>
      <c r="AG69" s="2" t="s">
        <v>755</v>
      </c>
      <c r="AH69" s="10" t="s">
        <v>949</v>
      </c>
      <c r="AI69" s="298">
        <v>42</v>
      </c>
      <c r="AJ69" s="11" t="s">
        <v>778</v>
      </c>
      <c r="AK69" s="9">
        <v>68.239000000000004</v>
      </c>
      <c r="AL69" s="33">
        <v>23153</v>
      </c>
      <c r="AM69" s="2" t="s">
        <v>785</v>
      </c>
      <c r="AN69" s="21" t="s">
        <v>536</v>
      </c>
      <c r="AO69" s="21" t="s">
        <v>536</v>
      </c>
      <c r="AP69" s="21" t="s">
        <v>536</v>
      </c>
      <c r="AQ69" s="21" t="s">
        <v>536</v>
      </c>
      <c r="AR69" s="21" t="s">
        <v>536</v>
      </c>
      <c r="AS69" s="21" t="s">
        <v>536</v>
      </c>
      <c r="AT69" s="21" t="s">
        <v>536</v>
      </c>
      <c r="AU69" s="21" t="s">
        <v>536</v>
      </c>
      <c r="AV69" s="21" t="s">
        <v>536</v>
      </c>
      <c r="AW69" s="21" t="s">
        <v>536</v>
      </c>
      <c r="AX69" s="21" t="s">
        <v>536</v>
      </c>
      <c r="AY69" s="21" t="s">
        <v>536</v>
      </c>
      <c r="AZ69" s="9" t="s">
        <v>689</v>
      </c>
      <c r="BA69" s="9" t="s">
        <v>786</v>
      </c>
    </row>
    <row r="70" spans="1:53" s="20" customFormat="1" ht="67.5" customHeight="1" x14ac:dyDescent="0.25">
      <c r="A70" s="2" t="s">
        <v>438</v>
      </c>
      <c r="B70" s="2" t="s">
        <v>4</v>
      </c>
      <c r="C70" s="903" t="s">
        <v>140</v>
      </c>
      <c r="D70" s="903" t="s">
        <v>141</v>
      </c>
      <c r="E70" s="905" t="s">
        <v>142</v>
      </c>
      <c r="F70" s="2" t="s">
        <v>23</v>
      </c>
      <c r="G70" s="906"/>
      <c r="H70" s="2" t="s">
        <v>143</v>
      </c>
      <c r="I70" s="2" t="s">
        <v>144</v>
      </c>
      <c r="J70" s="2" t="s">
        <v>145</v>
      </c>
      <c r="K70" s="2" t="s">
        <v>527</v>
      </c>
      <c r="L70" s="2">
        <v>4.5</v>
      </c>
      <c r="M70" s="2">
        <v>4.5</v>
      </c>
      <c r="N70" s="2" t="s">
        <v>144</v>
      </c>
      <c r="O70" s="21" t="s">
        <v>806</v>
      </c>
      <c r="P70" s="33">
        <v>23963</v>
      </c>
      <c r="Q70" s="21"/>
      <c r="R70" s="21"/>
      <c r="S70" s="21"/>
      <c r="T70" s="21"/>
      <c r="U70" s="33">
        <v>23963</v>
      </c>
      <c r="V70" s="33"/>
      <c r="W70" s="21"/>
      <c r="X70" s="21"/>
      <c r="Y70" s="21"/>
      <c r="Z70" s="21"/>
      <c r="AA70" s="21"/>
      <c r="AB70" s="33">
        <v>0</v>
      </c>
      <c r="AC70" s="21"/>
      <c r="AD70" s="21"/>
      <c r="AE70" s="21"/>
      <c r="AF70" s="21"/>
      <c r="AG70" s="2" t="s">
        <v>755</v>
      </c>
      <c r="AH70" s="10" t="s">
        <v>949</v>
      </c>
      <c r="AI70" s="298">
        <v>42</v>
      </c>
      <c r="AJ70" s="11" t="s">
        <v>778</v>
      </c>
      <c r="AK70" s="9">
        <v>69.201999999999998</v>
      </c>
      <c r="AL70" s="33">
        <v>23963</v>
      </c>
      <c r="AM70" s="2" t="s">
        <v>787</v>
      </c>
      <c r="AN70" s="21" t="s">
        <v>536</v>
      </c>
      <c r="AO70" s="21" t="s">
        <v>536</v>
      </c>
      <c r="AP70" s="21" t="s">
        <v>536</v>
      </c>
      <c r="AQ70" s="21" t="s">
        <v>536</v>
      </c>
      <c r="AR70" s="21" t="s">
        <v>536</v>
      </c>
      <c r="AS70" s="21" t="s">
        <v>536</v>
      </c>
      <c r="AT70" s="21" t="s">
        <v>536</v>
      </c>
      <c r="AU70" s="21" t="s">
        <v>536</v>
      </c>
      <c r="AV70" s="21" t="s">
        <v>536</v>
      </c>
      <c r="AW70" s="21" t="s">
        <v>536</v>
      </c>
      <c r="AX70" s="21" t="s">
        <v>536</v>
      </c>
      <c r="AY70" s="21" t="s">
        <v>536</v>
      </c>
      <c r="AZ70" s="9" t="s">
        <v>689</v>
      </c>
      <c r="BA70" s="9" t="s">
        <v>788</v>
      </c>
    </row>
    <row r="71" spans="1:53" s="20" customFormat="1" ht="144.75" customHeight="1" x14ac:dyDescent="0.25">
      <c r="A71" s="2" t="s">
        <v>438</v>
      </c>
      <c r="B71" s="2" t="s">
        <v>4</v>
      </c>
      <c r="C71" s="903"/>
      <c r="D71" s="903"/>
      <c r="E71" s="906"/>
      <c r="F71" s="2" t="s">
        <v>23</v>
      </c>
      <c r="G71" s="906"/>
      <c r="H71" s="2" t="s">
        <v>146</v>
      </c>
      <c r="I71" s="2" t="s">
        <v>365</v>
      </c>
      <c r="J71" s="2">
        <v>15</v>
      </c>
      <c r="K71" s="2" t="s">
        <v>526</v>
      </c>
      <c r="L71" s="2">
        <v>37</v>
      </c>
      <c r="M71" s="2">
        <v>12</v>
      </c>
      <c r="N71" s="10" t="s">
        <v>365</v>
      </c>
      <c r="O71" s="33" t="s">
        <v>807</v>
      </c>
      <c r="P71" s="33">
        <v>92610</v>
      </c>
      <c r="Q71" s="21"/>
      <c r="R71" s="21"/>
      <c r="S71" s="21"/>
      <c r="T71" s="21"/>
      <c r="U71" s="33">
        <v>92610</v>
      </c>
      <c r="V71" s="33"/>
      <c r="W71" s="21"/>
      <c r="X71" s="21"/>
      <c r="Y71" s="21"/>
      <c r="Z71" s="21"/>
      <c r="AA71" s="21"/>
      <c r="AB71" s="33">
        <v>0</v>
      </c>
      <c r="AC71" s="21"/>
      <c r="AD71" s="21"/>
      <c r="AE71" s="21"/>
      <c r="AF71" s="21"/>
      <c r="AG71" s="10" t="s">
        <v>789</v>
      </c>
      <c r="AH71" s="10" t="s">
        <v>949</v>
      </c>
      <c r="AI71" s="77" t="s">
        <v>790</v>
      </c>
      <c r="AJ71" s="10" t="s">
        <v>791</v>
      </c>
      <c r="AK71" s="33">
        <v>27630</v>
      </c>
      <c r="AL71" s="33">
        <v>92610</v>
      </c>
      <c r="AM71" s="10" t="s">
        <v>792</v>
      </c>
      <c r="AN71" s="21" t="s">
        <v>536</v>
      </c>
      <c r="AO71" s="21" t="s">
        <v>536</v>
      </c>
      <c r="AP71" s="21" t="s">
        <v>536</v>
      </c>
      <c r="AQ71" s="21" t="s">
        <v>536</v>
      </c>
      <c r="AR71" s="21" t="s">
        <v>536</v>
      </c>
      <c r="AS71" s="21" t="s">
        <v>536</v>
      </c>
      <c r="AT71" s="21" t="s">
        <v>536</v>
      </c>
      <c r="AU71" s="21" t="s">
        <v>536</v>
      </c>
      <c r="AV71" s="21" t="s">
        <v>536</v>
      </c>
      <c r="AW71" s="21" t="s">
        <v>536</v>
      </c>
      <c r="AX71" s="21" t="s">
        <v>536</v>
      </c>
      <c r="AY71" s="21" t="s">
        <v>536</v>
      </c>
      <c r="AZ71" s="11" t="s">
        <v>689</v>
      </c>
      <c r="BA71" s="11" t="s">
        <v>786</v>
      </c>
    </row>
    <row r="72" spans="1:53" s="20" customFormat="1" ht="90.75" customHeight="1" x14ac:dyDescent="0.25">
      <c r="A72" s="2" t="s">
        <v>438</v>
      </c>
      <c r="B72" s="2" t="s">
        <v>4</v>
      </c>
      <c r="C72" s="903"/>
      <c r="D72" s="903"/>
      <c r="E72" s="906"/>
      <c r="F72" s="2" t="s">
        <v>23</v>
      </c>
      <c r="G72" s="906"/>
      <c r="H72" s="2" t="s">
        <v>147</v>
      </c>
      <c r="I72" s="2" t="s">
        <v>366</v>
      </c>
      <c r="J72" s="2">
        <v>2</v>
      </c>
      <c r="K72" s="2" t="s">
        <v>526</v>
      </c>
      <c r="L72" s="2">
        <v>16</v>
      </c>
      <c r="M72" s="2">
        <v>4</v>
      </c>
      <c r="N72" s="10" t="s">
        <v>366</v>
      </c>
      <c r="O72" s="33" t="s">
        <v>808</v>
      </c>
      <c r="P72" s="33">
        <v>34729</v>
      </c>
      <c r="Q72" s="21"/>
      <c r="R72" s="21"/>
      <c r="S72" s="21"/>
      <c r="T72" s="21"/>
      <c r="U72" s="33">
        <v>34729</v>
      </c>
      <c r="V72" s="33"/>
      <c r="W72" s="21"/>
      <c r="X72" s="21"/>
      <c r="Y72" s="21"/>
      <c r="Z72" s="21"/>
      <c r="AA72" s="21"/>
      <c r="AB72" s="33">
        <v>0</v>
      </c>
      <c r="AC72" s="21"/>
      <c r="AD72" s="21"/>
      <c r="AE72" s="21"/>
      <c r="AF72" s="21"/>
      <c r="AG72" s="10" t="s">
        <v>789</v>
      </c>
      <c r="AH72" s="10" t="s">
        <v>949</v>
      </c>
      <c r="AI72" s="77" t="s">
        <v>2020</v>
      </c>
      <c r="AJ72" s="10" t="s">
        <v>793</v>
      </c>
      <c r="AK72" s="33">
        <v>8337</v>
      </c>
      <c r="AL72" s="33">
        <v>34729</v>
      </c>
      <c r="AM72" s="10" t="s">
        <v>794</v>
      </c>
      <c r="AN72" s="21" t="s">
        <v>536</v>
      </c>
      <c r="AO72" s="21" t="s">
        <v>536</v>
      </c>
      <c r="AP72" s="21" t="s">
        <v>536</v>
      </c>
      <c r="AQ72" s="21" t="s">
        <v>536</v>
      </c>
      <c r="AR72" s="21" t="s">
        <v>536</v>
      </c>
      <c r="AS72" s="21" t="s">
        <v>536</v>
      </c>
      <c r="AT72" s="21" t="s">
        <v>536</v>
      </c>
      <c r="AU72" s="21" t="s">
        <v>536</v>
      </c>
      <c r="AV72" s="21" t="s">
        <v>536</v>
      </c>
      <c r="AW72" s="21" t="s">
        <v>536</v>
      </c>
      <c r="AX72" s="21" t="s">
        <v>536</v>
      </c>
      <c r="AY72" s="21" t="s">
        <v>536</v>
      </c>
      <c r="AZ72" s="11" t="s">
        <v>689</v>
      </c>
      <c r="BA72" s="11" t="s">
        <v>786</v>
      </c>
    </row>
    <row r="73" spans="1:53" s="20" customFormat="1" ht="63.75" customHeight="1" x14ac:dyDescent="0.25">
      <c r="A73" s="2" t="s">
        <v>438</v>
      </c>
      <c r="B73" s="2" t="s">
        <v>4</v>
      </c>
      <c r="C73" s="903"/>
      <c r="D73" s="903"/>
      <c r="E73" s="907"/>
      <c r="F73" s="2" t="s">
        <v>23</v>
      </c>
      <c r="G73" s="906"/>
      <c r="H73" s="2" t="s">
        <v>148</v>
      </c>
      <c r="I73" s="2" t="s">
        <v>455</v>
      </c>
      <c r="J73" s="70">
        <v>0</v>
      </c>
      <c r="K73" s="3" t="s">
        <v>526</v>
      </c>
      <c r="L73" s="70">
        <v>42</v>
      </c>
      <c r="M73" s="71">
        <v>12</v>
      </c>
      <c r="N73" s="10" t="s">
        <v>455</v>
      </c>
      <c r="O73" s="33" t="s">
        <v>809</v>
      </c>
      <c r="P73" s="33">
        <v>92610</v>
      </c>
      <c r="Q73" s="21"/>
      <c r="R73" s="21"/>
      <c r="S73" s="21"/>
      <c r="T73" s="21"/>
      <c r="U73" s="33">
        <v>92610</v>
      </c>
      <c r="V73" s="33"/>
      <c r="W73" s="21"/>
      <c r="X73" s="21"/>
      <c r="Y73" s="21"/>
      <c r="Z73" s="21"/>
      <c r="AA73" s="21"/>
      <c r="AB73" s="33">
        <v>0</v>
      </c>
      <c r="AC73" s="21"/>
      <c r="AD73" s="21"/>
      <c r="AE73" s="21"/>
      <c r="AF73" s="21"/>
      <c r="AG73" s="10" t="s">
        <v>789</v>
      </c>
      <c r="AH73" s="10" t="s">
        <v>949</v>
      </c>
      <c r="AI73" s="77" t="s">
        <v>795</v>
      </c>
      <c r="AJ73" s="10" t="s">
        <v>796</v>
      </c>
      <c r="AK73" s="33">
        <v>25841</v>
      </c>
      <c r="AL73" s="33">
        <v>92610</v>
      </c>
      <c r="AM73" s="10" t="s">
        <v>797</v>
      </c>
      <c r="AN73" s="21" t="s">
        <v>536</v>
      </c>
      <c r="AO73" s="21" t="s">
        <v>536</v>
      </c>
      <c r="AP73" s="21" t="s">
        <v>536</v>
      </c>
      <c r="AQ73" s="21" t="s">
        <v>536</v>
      </c>
      <c r="AR73" s="21" t="s">
        <v>536</v>
      </c>
      <c r="AS73" s="21" t="s">
        <v>536</v>
      </c>
      <c r="AT73" s="21" t="s">
        <v>536</v>
      </c>
      <c r="AU73" s="21" t="s">
        <v>536</v>
      </c>
      <c r="AV73" s="21" t="s">
        <v>536</v>
      </c>
      <c r="AW73" s="21" t="s">
        <v>536</v>
      </c>
      <c r="AX73" s="21" t="s">
        <v>536</v>
      </c>
      <c r="AY73" s="21" t="s">
        <v>536</v>
      </c>
      <c r="AZ73" s="11" t="s">
        <v>689</v>
      </c>
      <c r="BA73" s="11" t="s">
        <v>786</v>
      </c>
    </row>
    <row r="74" spans="1:53" s="20" customFormat="1" ht="135" x14ac:dyDescent="0.25">
      <c r="A74" s="2" t="s">
        <v>438</v>
      </c>
      <c r="B74" s="2" t="s">
        <v>4</v>
      </c>
      <c r="C74" s="2" t="s">
        <v>149</v>
      </c>
      <c r="D74" s="2" t="s">
        <v>150</v>
      </c>
      <c r="E74" s="2" t="s">
        <v>76</v>
      </c>
      <c r="F74" s="2" t="s">
        <v>23</v>
      </c>
      <c r="G74" s="906"/>
      <c r="H74" s="2" t="s">
        <v>151</v>
      </c>
      <c r="I74" s="2" t="s">
        <v>367</v>
      </c>
      <c r="J74" s="3">
        <v>0</v>
      </c>
      <c r="K74" s="3" t="s">
        <v>527</v>
      </c>
      <c r="L74" s="70">
        <v>0</v>
      </c>
      <c r="M74" s="87">
        <v>0</v>
      </c>
      <c r="N74" s="2" t="s">
        <v>367</v>
      </c>
      <c r="O74" s="21">
        <v>0</v>
      </c>
      <c r="P74" s="33">
        <v>34729</v>
      </c>
      <c r="Q74" s="21"/>
      <c r="R74" s="21"/>
      <c r="S74" s="21"/>
      <c r="T74" s="21"/>
      <c r="U74" s="33">
        <v>34729</v>
      </c>
      <c r="V74" s="33"/>
      <c r="W74" s="21"/>
      <c r="X74" s="21"/>
      <c r="Y74" s="21"/>
      <c r="Z74" s="21"/>
      <c r="AA74" s="21"/>
      <c r="AB74" s="33">
        <v>0</v>
      </c>
      <c r="AC74" s="21"/>
      <c r="AD74" s="21"/>
      <c r="AE74" s="21"/>
      <c r="AF74" s="21"/>
      <c r="AG74" s="2" t="s">
        <v>755</v>
      </c>
      <c r="AH74" s="10" t="s">
        <v>949</v>
      </c>
      <c r="AI74" s="298">
        <v>42</v>
      </c>
      <c r="AJ74" s="11" t="s">
        <v>778</v>
      </c>
      <c r="AK74" s="9">
        <v>68.239000000000004</v>
      </c>
      <c r="AL74" s="33">
        <v>34729</v>
      </c>
      <c r="AM74" s="2" t="s">
        <v>798</v>
      </c>
      <c r="AN74" s="21" t="s">
        <v>536</v>
      </c>
      <c r="AO74" s="21" t="s">
        <v>536</v>
      </c>
      <c r="AP74" s="21" t="s">
        <v>536</v>
      </c>
      <c r="AQ74" s="21" t="s">
        <v>536</v>
      </c>
      <c r="AR74" s="21" t="s">
        <v>536</v>
      </c>
      <c r="AS74" s="21" t="s">
        <v>536</v>
      </c>
      <c r="AT74" s="21" t="s">
        <v>536</v>
      </c>
      <c r="AU74" s="21" t="s">
        <v>536</v>
      </c>
      <c r="AV74" s="21" t="s">
        <v>536</v>
      </c>
      <c r="AW74" s="21" t="s">
        <v>536</v>
      </c>
      <c r="AX74" s="21" t="s">
        <v>536</v>
      </c>
      <c r="AY74" s="21" t="s">
        <v>536</v>
      </c>
      <c r="AZ74" s="9" t="s">
        <v>689</v>
      </c>
      <c r="BA74" s="9" t="s">
        <v>799</v>
      </c>
    </row>
    <row r="75" spans="1:53" s="20" customFormat="1" ht="147.75" customHeight="1" x14ac:dyDescent="0.25">
      <c r="A75" s="2" t="s">
        <v>438</v>
      </c>
      <c r="B75" s="2" t="s">
        <v>4</v>
      </c>
      <c r="C75" s="2" t="s">
        <v>152</v>
      </c>
      <c r="D75" s="2" t="s">
        <v>153</v>
      </c>
      <c r="E75" s="2" t="s">
        <v>76</v>
      </c>
      <c r="F75" s="2" t="s">
        <v>23</v>
      </c>
      <c r="G75" s="907"/>
      <c r="H75" s="2" t="s">
        <v>154</v>
      </c>
      <c r="I75" s="2" t="s">
        <v>368</v>
      </c>
      <c r="J75" s="2">
        <v>10</v>
      </c>
      <c r="K75" s="2" t="s">
        <v>526</v>
      </c>
      <c r="L75" s="2">
        <v>10</v>
      </c>
      <c r="M75" s="2">
        <v>2</v>
      </c>
      <c r="N75" s="2" t="s">
        <v>368</v>
      </c>
      <c r="O75" s="21">
        <v>0</v>
      </c>
      <c r="P75" s="33">
        <v>54408</v>
      </c>
      <c r="Q75" s="21"/>
      <c r="R75" s="21"/>
      <c r="S75" s="21"/>
      <c r="T75" s="21"/>
      <c r="U75" s="33">
        <v>54408</v>
      </c>
      <c r="V75" s="33"/>
      <c r="W75" s="21"/>
      <c r="X75" s="21"/>
      <c r="Y75" s="21"/>
      <c r="Z75" s="21"/>
      <c r="AA75" s="21"/>
      <c r="AB75" s="33">
        <v>0</v>
      </c>
      <c r="AC75" s="21"/>
      <c r="AD75" s="21"/>
      <c r="AE75" s="21"/>
      <c r="AF75" s="21"/>
      <c r="AG75" s="2" t="s">
        <v>755</v>
      </c>
      <c r="AH75" s="10" t="s">
        <v>949</v>
      </c>
      <c r="AI75" s="298">
        <v>10</v>
      </c>
      <c r="AJ75" s="10" t="s">
        <v>811</v>
      </c>
      <c r="AK75" s="21" t="s">
        <v>812</v>
      </c>
      <c r="AL75" s="33">
        <v>54408</v>
      </c>
      <c r="AM75" s="7" t="s">
        <v>813</v>
      </c>
      <c r="AN75" s="21" t="s">
        <v>536</v>
      </c>
      <c r="AO75" s="21" t="s">
        <v>536</v>
      </c>
      <c r="AP75" s="21" t="s">
        <v>536</v>
      </c>
      <c r="AQ75" s="21" t="s">
        <v>536</v>
      </c>
      <c r="AR75" s="21" t="s">
        <v>536</v>
      </c>
      <c r="AS75" s="21" t="s">
        <v>536</v>
      </c>
      <c r="AT75" s="21" t="s">
        <v>536</v>
      </c>
      <c r="AU75" s="21" t="s">
        <v>536</v>
      </c>
      <c r="AV75" s="21" t="s">
        <v>536</v>
      </c>
      <c r="AW75" s="21" t="s">
        <v>536</v>
      </c>
      <c r="AX75" s="21" t="s">
        <v>536</v>
      </c>
      <c r="AY75" s="21" t="s">
        <v>536</v>
      </c>
      <c r="AZ75" s="38" t="s">
        <v>810</v>
      </c>
      <c r="BA75" s="10" t="s">
        <v>814</v>
      </c>
    </row>
    <row r="76" spans="1:53" s="20" customFormat="1" ht="139.5" customHeight="1" x14ac:dyDescent="0.25">
      <c r="A76" s="2" t="s">
        <v>438</v>
      </c>
      <c r="B76" s="2" t="s">
        <v>4</v>
      </c>
      <c r="C76" s="903" t="s">
        <v>29</v>
      </c>
      <c r="D76" s="903" t="s">
        <v>155</v>
      </c>
      <c r="E76" s="904">
        <v>0.6</v>
      </c>
      <c r="F76" s="2" t="s">
        <v>30</v>
      </c>
      <c r="G76" s="903" t="s">
        <v>474</v>
      </c>
      <c r="H76" s="2" t="s">
        <v>156</v>
      </c>
      <c r="I76" s="2" t="s">
        <v>456</v>
      </c>
      <c r="J76" s="1">
        <v>1</v>
      </c>
      <c r="K76" s="2" t="s">
        <v>527</v>
      </c>
      <c r="L76" s="58">
        <v>1</v>
      </c>
      <c r="M76" s="58">
        <v>1</v>
      </c>
      <c r="N76" s="2" t="s">
        <v>456</v>
      </c>
      <c r="O76" s="21" t="s">
        <v>826</v>
      </c>
      <c r="P76" s="18">
        <v>60040.220625000002</v>
      </c>
      <c r="Q76" s="21"/>
      <c r="R76" s="33">
        <v>48464</v>
      </c>
      <c r="S76" s="21"/>
      <c r="T76" s="21"/>
      <c r="U76" s="33">
        <v>11576</v>
      </c>
      <c r="V76" s="21"/>
      <c r="W76" s="21"/>
      <c r="X76" s="21"/>
      <c r="Y76" s="21"/>
      <c r="Z76" s="21"/>
      <c r="AA76" s="21"/>
      <c r="AB76" s="21"/>
      <c r="AC76" s="21"/>
      <c r="AD76" s="21"/>
      <c r="AE76" s="21"/>
      <c r="AF76" s="21"/>
      <c r="AG76" s="10" t="s">
        <v>815</v>
      </c>
      <c r="AH76" s="10" t="s">
        <v>949</v>
      </c>
      <c r="AI76" s="298">
        <v>42</v>
      </c>
      <c r="AJ76" s="10" t="s">
        <v>778</v>
      </c>
      <c r="AK76" s="21">
        <v>1426938</v>
      </c>
      <c r="AL76" s="18">
        <v>60040.220625000002</v>
      </c>
      <c r="AM76" s="72" t="s">
        <v>816</v>
      </c>
      <c r="AN76" s="21"/>
      <c r="AO76" s="21" t="s">
        <v>536</v>
      </c>
      <c r="AP76" s="21" t="s">
        <v>536</v>
      </c>
      <c r="AQ76" s="21" t="s">
        <v>536</v>
      </c>
      <c r="AR76" s="21" t="s">
        <v>536</v>
      </c>
      <c r="AS76" s="21" t="s">
        <v>536</v>
      </c>
      <c r="AT76" s="21" t="s">
        <v>536</v>
      </c>
      <c r="AU76" s="21" t="s">
        <v>536</v>
      </c>
      <c r="AV76" s="21" t="s">
        <v>536</v>
      </c>
      <c r="AW76" s="21" t="s">
        <v>536</v>
      </c>
      <c r="AX76" s="21" t="s">
        <v>536</v>
      </c>
      <c r="AY76" s="21" t="s">
        <v>536</v>
      </c>
      <c r="AZ76" s="10" t="s">
        <v>824</v>
      </c>
      <c r="BA76" s="10" t="s">
        <v>817</v>
      </c>
    </row>
    <row r="77" spans="1:53" s="20" customFormat="1" ht="51.75" customHeight="1" x14ac:dyDescent="0.25">
      <c r="A77" s="2" t="s">
        <v>438</v>
      </c>
      <c r="B77" s="2" t="s">
        <v>4</v>
      </c>
      <c r="C77" s="903"/>
      <c r="D77" s="903"/>
      <c r="E77" s="904"/>
      <c r="F77" s="2" t="s">
        <v>30</v>
      </c>
      <c r="G77" s="903"/>
      <c r="H77" s="2" t="s">
        <v>157</v>
      </c>
      <c r="I77" s="2" t="s">
        <v>369</v>
      </c>
      <c r="J77" s="1">
        <v>1</v>
      </c>
      <c r="K77" s="2" t="s">
        <v>527</v>
      </c>
      <c r="L77" s="58">
        <v>1</v>
      </c>
      <c r="M77" s="58">
        <v>1</v>
      </c>
      <c r="N77" s="2" t="s">
        <v>369</v>
      </c>
      <c r="O77" s="21" t="s">
        <v>826</v>
      </c>
      <c r="P77" s="18">
        <v>60040.220625000002</v>
      </c>
      <c r="Q77" s="21"/>
      <c r="R77" s="33">
        <v>48464</v>
      </c>
      <c r="S77" s="21"/>
      <c r="T77" s="21"/>
      <c r="U77" s="33">
        <v>11576</v>
      </c>
      <c r="V77" s="21"/>
      <c r="W77" s="21"/>
      <c r="X77" s="21"/>
      <c r="Y77" s="21"/>
      <c r="Z77" s="21"/>
      <c r="AA77" s="21"/>
      <c r="AB77" s="21"/>
      <c r="AC77" s="21"/>
      <c r="AD77" s="21"/>
      <c r="AE77" s="21"/>
      <c r="AF77" s="21"/>
      <c r="AG77" s="10" t="s">
        <v>815</v>
      </c>
      <c r="AH77" s="10" t="s">
        <v>949</v>
      </c>
      <c r="AI77" s="298">
        <v>42</v>
      </c>
      <c r="AJ77" s="10" t="s">
        <v>778</v>
      </c>
      <c r="AK77" s="21">
        <v>1426938</v>
      </c>
      <c r="AL77" s="18">
        <v>60040.220625000002</v>
      </c>
      <c r="AM77" s="10" t="s">
        <v>818</v>
      </c>
      <c r="AN77" s="21"/>
      <c r="AO77" s="21" t="s">
        <v>536</v>
      </c>
      <c r="AP77" s="21" t="s">
        <v>536</v>
      </c>
      <c r="AQ77" s="21" t="s">
        <v>536</v>
      </c>
      <c r="AR77" s="21" t="s">
        <v>536</v>
      </c>
      <c r="AS77" s="21" t="s">
        <v>536</v>
      </c>
      <c r="AT77" s="21" t="s">
        <v>536</v>
      </c>
      <c r="AU77" s="21" t="s">
        <v>536</v>
      </c>
      <c r="AV77" s="21" t="s">
        <v>536</v>
      </c>
      <c r="AW77" s="21" t="s">
        <v>536</v>
      </c>
      <c r="AX77" s="21" t="s">
        <v>536</v>
      </c>
      <c r="AY77" s="21" t="s">
        <v>536</v>
      </c>
      <c r="AZ77" s="10" t="s">
        <v>824</v>
      </c>
      <c r="BA77" s="10" t="s">
        <v>817</v>
      </c>
    </row>
    <row r="78" spans="1:53" s="20" customFormat="1" ht="105.75" customHeight="1" x14ac:dyDescent="0.25">
      <c r="A78" s="2" t="s">
        <v>438</v>
      </c>
      <c r="B78" s="2" t="s">
        <v>4</v>
      </c>
      <c r="C78" s="903"/>
      <c r="D78" s="903"/>
      <c r="E78" s="904"/>
      <c r="F78" s="2" t="s">
        <v>30</v>
      </c>
      <c r="G78" s="903"/>
      <c r="H78" s="2" t="s">
        <v>158</v>
      </c>
      <c r="I78" s="2" t="s">
        <v>457</v>
      </c>
      <c r="J78" s="1">
        <v>1</v>
      </c>
      <c r="K78" s="2" t="s">
        <v>527</v>
      </c>
      <c r="L78" s="58">
        <v>1</v>
      </c>
      <c r="M78" s="58">
        <v>1</v>
      </c>
      <c r="N78" s="2" t="s">
        <v>457</v>
      </c>
      <c r="O78" s="21" t="s">
        <v>827</v>
      </c>
      <c r="P78" s="18">
        <v>61471.045125000004</v>
      </c>
      <c r="Q78" s="21"/>
      <c r="R78" s="33">
        <v>49895</v>
      </c>
      <c r="S78" s="21"/>
      <c r="T78" s="21"/>
      <c r="U78" s="33">
        <v>11576</v>
      </c>
      <c r="V78" s="21"/>
      <c r="W78" s="21"/>
      <c r="X78" s="21"/>
      <c r="Y78" s="21"/>
      <c r="Z78" s="21"/>
      <c r="AA78" s="21"/>
      <c r="AB78" s="21"/>
      <c r="AC78" s="21"/>
      <c r="AD78" s="21"/>
      <c r="AE78" s="21"/>
      <c r="AF78" s="21"/>
      <c r="AG78" s="10" t="s">
        <v>815</v>
      </c>
      <c r="AH78" s="10" t="s">
        <v>949</v>
      </c>
      <c r="AI78" s="298">
        <v>42</v>
      </c>
      <c r="AJ78" s="10" t="s">
        <v>778</v>
      </c>
      <c r="AK78" s="21">
        <v>1426938</v>
      </c>
      <c r="AL78" s="18">
        <v>61471.045125000004</v>
      </c>
      <c r="AM78" s="10" t="s">
        <v>819</v>
      </c>
      <c r="AN78" s="21"/>
      <c r="AO78" s="21" t="s">
        <v>536</v>
      </c>
      <c r="AP78" s="21" t="s">
        <v>536</v>
      </c>
      <c r="AQ78" s="21" t="s">
        <v>536</v>
      </c>
      <c r="AR78" s="21" t="s">
        <v>536</v>
      </c>
      <c r="AS78" s="21" t="s">
        <v>536</v>
      </c>
      <c r="AT78" s="21" t="s">
        <v>536</v>
      </c>
      <c r="AU78" s="21" t="s">
        <v>536</v>
      </c>
      <c r="AV78" s="21" t="s">
        <v>536</v>
      </c>
      <c r="AW78" s="21" t="s">
        <v>536</v>
      </c>
      <c r="AX78" s="21" t="s">
        <v>536</v>
      </c>
      <c r="AY78" s="21" t="s">
        <v>536</v>
      </c>
      <c r="AZ78" s="10" t="s">
        <v>824</v>
      </c>
      <c r="BA78" s="10" t="s">
        <v>817</v>
      </c>
    </row>
    <row r="79" spans="1:53" s="20" customFormat="1" ht="99.75" customHeight="1" x14ac:dyDescent="0.25">
      <c r="A79" s="2" t="s">
        <v>438</v>
      </c>
      <c r="B79" s="2" t="s">
        <v>4</v>
      </c>
      <c r="C79" s="903"/>
      <c r="D79" s="903"/>
      <c r="E79" s="904"/>
      <c r="F79" s="2" t="s">
        <v>30</v>
      </c>
      <c r="G79" s="903"/>
      <c r="H79" s="2" t="s">
        <v>159</v>
      </c>
      <c r="I79" s="2" t="s">
        <v>458</v>
      </c>
      <c r="J79" s="1">
        <v>1</v>
      </c>
      <c r="K79" s="2" t="s">
        <v>527</v>
      </c>
      <c r="L79" s="58">
        <v>1</v>
      </c>
      <c r="M79" s="58">
        <v>1</v>
      </c>
      <c r="N79" s="2" t="s">
        <v>458</v>
      </c>
      <c r="O79" s="21" t="s">
        <v>828</v>
      </c>
      <c r="P79" s="18">
        <v>61471.045125000004</v>
      </c>
      <c r="Q79" s="21"/>
      <c r="R79" s="33">
        <v>49895</v>
      </c>
      <c r="S79" s="21"/>
      <c r="T79" s="21"/>
      <c r="U79" s="33">
        <v>11576</v>
      </c>
      <c r="V79" s="21"/>
      <c r="W79" s="21"/>
      <c r="X79" s="21"/>
      <c r="Y79" s="21"/>
      <c r="Z79" s="21"/>
      <c r="AA79" s="21"/>
      <c r="AB79" s="21"/>
      <c r="AC79" s="21"/>
      <c r="AD79" s="21"/>
      <c r="AE79" s="21"/>
      <c r="AF79" s="21"/>
      <c r="AG79" s="10" t="s">
        <v>815</v>
      </c>
      <c r="AH79" s="10" t="s">
        <v>949</v>
      </c>
      <c r="AI79" s="298">
        <v>42</v>
      </c>
      <c r="AJ79" s="10" t="s">
        <v>778</v>
      </c>
      <c r="AK79" s="21">
        <v>1426938</v>
      </c>
      <c r="AL79" s="18">
        <v>61471.045125000004</v>
      </c>
      <c r="AM79" s="10" t="s">
        <v>820</v>
      </c>
      <c r="AN79" s="21"/>
      <c r="AO79" s="21" t="s">
        <v>536</v>
      </c>
      <c r="AP79" s="21" t="s">
        <v>536</v>
      </c>
      <c r="AQ79" s="21" t="s">
        <v>536</v>
      </c>
      <c r="AR79" s="21" t="s">
        <v>536</v>
      </c>
      <c r="AS79" s="21" t="s">
        <v>536</v>
      </c>
      <c r="AT79" s="21" t="s">
        <v>536</v>
      </c>
      <c r="AU79" s="21" t="s">
        <v>536</v>
      </c>
      <c r="AV79" s="21" t="s">
        <v>536</v>
      </c>
      <c r="AW79" s="21" t="s">
        <v>536</v>
      </c>
      <c r="AX79" s="21" t="s">
        <v>536</v>
      </c>
      <c r="AY79" s="21" t="s">
        <v>536</v>
      </c>
      <c r="AZ79" s="10" t="s">
        <v>824</v>
      </c>
      <c r="BA79" s="10" t="s">
        <v>817</v>
      </c>
    </row>
    <row r="80" spans="1:53" s="20" customFormat="1" ht="112.5" customHeight="1" x14ac:dyDescent="0.25">
      <c r="A80" s="2" t="s">
        <v>438</v>
      </c>
      <c r="B80" s="2" t="s">
        <v>4</v>
      </c>
      <c r="C80" s="903"/>
      <c r="D80" s="903"/>
      <c r="E80" s="904"/>
      <c r="F80" s="2" t="s">
        <v>30</v>
      </c>
      <c r="G80" s="903"/>
      <c r="H80" s="2" t="s">
        <v>160</v>
      </c>
      <c r="I80" s="2" t="s">
        <v>459</v>
      </c>
      <c r="J80" s="1">
        <v>1</v>
      </c>
      <c r="K80" s="2" t="s">
        <v>527</v>
      </c>
      <c r="L80" s="58">
        <v>1</v>
      </c>
      <c r="M80" s="58">
        <v>1</v>
      </c>
      <c r="N80" s="2" t="s">
        <v>459</v>
      </c>
      <c r="O80" s="21" t="s">
        <v>829</v>
      </c>
      <c r="P80" s="18">
        <v>61471.045125000004</v>
      </c>
      <c r="Q80" s="21"/>
      <c r="R80" s="33">
        <v>49895</v>
      </c>
      <c r="S80" s="21"/>
      <c r="T80" s="21"/>
      <c r="U80" s="33">
        <v>11576</v>
      </c>
      <c r="V80" s="21"/>
      <c r="W80" s="21"/>
      <c r="X80" s="21"/>
      <c r="Y80" s="21"/>
      <c r="Z80" s="21"/>
      <c r="AA80" s="21"/>
      <c r="AB80" s="21"/>
      <c r="AC80" s="21"/>
      <c r="AD80" s="21"/>
      <c r="AE80" s="21"/>
      <c r="AF80" s="21"/>
      <c r="AG80" s="10" t="s">
        <v>815</v>
      </c>
      <c r="AH80" s="10" t="s">
        <v>949</v>
      </c>
      <c r="AI80" s="298">
        <v>42</v>
      </c>
      <c r="AJ80" s="10" t="s">
        <v>778</v>
      </c>
      <c r="AK80" s="21">
        <v>1426938</v>
      </c>
      <c r="AL80" s="18">
        <v>61471.045125000004</v>
      </c>
      <c r="AM80" s="10" t="s">
        <v>821</v>
      </c>
      <c r="AN80" s="21"/>
      <c r="AO80" s="21" t="s">
        <v>536</v>
      </c>
      <c r="AP80" s="21" t="s">
        <v>536</v>
      </c>
      <c r="AQ80" s="21" t="s">
        <v>536</v>
      </c>
      <c r="AR80" s="21" t="s">
        <v>536</v>
      </c>
      <c r="AS80" s="21" t="s">
        <v>536</v>
      </c>
      <c r="AT80" s="21" t="s">
        <v>536</v>
      </c>
      <c r="AU80" s="21" t="s">
        <v>536</v>
      </c>
      <c r="AV80" s="21" t="s">
        <v>536</v>
      </c>
      <c r="AW80" s="21" t="s">
        <v>536</v>
      </c>
      <c r="AX80" s="21" t="s">
        <v>536</v>
      </c>
      <c r="AY80" s="21" t="s">
        <v>536</v>
      </c>
      <c r="AZ80" s="10" t="s">
        <v>824</v>
      </c>
      <c r="BA80" s="10" t="s">
        <v>817</v>
      </c>
    </row>
    <row r="81" spans="1:53" s="20" customFormat="1" ht="300" x14ac:dyDescent="0.25">
      <c r="A81" s="2" t="s">
        <v>438</v>
      </c>
      <c r="B81" s="2" t="s">
        <v>4</v>
      </c>
      <c r="C81" s="903"/>
      <c r="D81" s="903"/>
      <c r="E81" s="904"/>
      <c r="F81" s="2" t="s">
        <v>30</v>
      </c>
      <c r="G81" s="903"/>
      <c r="H81" s="2" t="s">
        <v>161</v>
      </c>
      <c r="I81" s="2" t="s">
        <v>460</v>
      </c>
      <c r="J81" s="1">
        <v>0</v>
      </c>
      <c r="K81" s="2" t="s">
        <v>526</v>
      </c>
      <c r="L81" s="58">
        <v>1</v>
      </c>
      <c r="M81" s="58">
        <v>0.45</v>
      </c>
      <c r="N81" s="2" t="s">
        <v>460</v>
      </c>
      <c r="O81" s="21">
        <v>2</v>
      </c>
      <c r="P81" s="18">
        <v>2850000</v>
      </c>
      <c r="Q81" s="21"/>
      <c r="R81" s="33">
        <v>0</v>
      </c>
      <c r="S81" s="21"/>
      <c r="T81" s="21"/>
      <c r="U81" s="33">
        <v>0</v>
      </c>
      <c r="V81" s="33">
        <v>2850000</v>
      </c>
      <c r="W81" s="21"/>
      <c r="X81" s="21"/>
      <c r="Y81" s="21"/>
      <c r="Z81" s="21"/>
      <c r="AA81" s="21"/>
      <c r="AB81" s="21"/>
      <c r="AC81" s="21"/>
      <c r="AD81" s="21"/>
      <c r="AE81" s="21"/>
      <c r="AF81" s="21"/>
      <c r="AG81" s="10" t="s">
        <v>815</v>
      </c>
      <c r="AH81" s="10" t="s">
        <v>949</v>
      </c>
      <c r="AI81" s="298">
        <v>42</v>
      </c>
      <c r="AJ81" s="10" t="s">
        <v>778</v>
      </c>
      <c r="AK81" s="21">
        <v>1426938</v>
      </c>
      <c r="AL81" s="18">
        <v>2850000</v>
      </c>
      <c r="AM81" s="10" t="s">
        <v>823</v>
      </c>
      <c r="AN81" s="21"/>
      <c r="AO81" s="21" t="s">
        <v>536</v>
      </c>
      <c r="AP81" s="21" t="s">
        <v>536</v>
      </c>
      <c r="AQ81" s="21" t="s">
        <v>536</v>
      </c>
      <c r="AR81" s="21" t="s">
        <v>536</v>
      </c>
      <c r="AS81" s="21" t="s">
        <v>536</v>
      </c>
      <c r="AT81" s="21" t="s">
        <v>536</v>
      </c>
      <c r="AU81" s="21" t="s">
        <v>536</v>
      </c>
      <c r="AV81" s="21" t="s">
        <v>536</v>
      </c>
      <c r="AW81" s="21" t="s">
        <v>536</v>
      </c>
      <c r="AX81" s="21" t="s">
        <v>536</v>
      </c>
      <c r="AY81" s="21" t="s">
        <v>536</v>
      </c>
      <c r="AZ81" s="10" t="s">
        <v>825</v>
      </c>
      <c r="BA81" s="10" t="s">
        <v>817</v>
      </c>
    </row>
    <row r="82" spans="1:53" s="20" customFormat="1" ht="69.75" customHeight="1" x14ac:dyDescent="0.25">
      <c r="A82" s="2" t="s">
        <v>438</v>
      </c>
      <c r="B82" s="2" t="s">
        <v>4</v>
      </c>
      <c r="C82" s="903"/>
      <c r="D82" s="903"/>
      <c r="E82" s="904"/>
      <c r="F82" s="2" t="s">
        <v>30</v>
      </c>
      <c r="G82" s="903"/>
      <c r="H82" s="2" t="s">
        <v>469</v>
      </c>
      <c r="I82" s="2" t="s">
        <v>475</v>
      </c>
      <c r="J82" s="1">
        <v>0</v>
      </c>
      <c r="K82" s="2" t="s">
        <v>526</v>
      </c>
      <c r="L82" s="58">
        <v>0.5</v>
      </c>
      <c r="M82" s="58">
        <v>0.2</v>
      </c>
      <c r="N82" s="2" t="s">
        <v>475</v>
      </c>
      <c r="O82" s="36">
        <v>0.15</v>
      </c>
      <c r="P82" s="18">
        <v>46305</v>
      </c>
      <c r="Q82" s="21"/>
      <c r="R82" s="33">
        <v>0</v>
      </c>
      <c r="S82" s="21"/>
      <c r="T82" s="21"/>
      <c r="U82" s="33">
        <v>46305</v>
      </c>
      <c r="V82" s="21"/>
      <c r="W82" s="21"/>
      <c r="X82" s="21"/>
      <c r="Y82" s="21"/>
      <c r="Z82" s="21"/>
      <c r="AA82" s="21"/>
      <c r="AB82" s="21"/>
      <c r="AC82" s="21"/>
      <c r="AD82" s="21"/>
      <c r="AE82" s="21"/>
      <c r="AF82" s="21"/>
      <c r="AG82" s="10" t="s">
        <v>815</v>
      </c>
      <c r="AH82" s="10" t="s">
        <v>949</v>
      </c>
      <c r="AI82" s="298">
        <v>42</v>
      </c>
      <c r="AJ82" s="10" t="s">
        <v>778</v>
      </c>
      <c r="AK82" s="21">
        <v>1426938</v>
      </c>
      <c r="AL82" s="18">
        <v>46305</v>
      </c>
      <c r="AM82" s="10" t="s">
        <v>822</v>
      </c>
      <c r="AN82" s="21"/>
      <c r="AO82" s="21" t="s">
        <v>536</v>
      </c>
      <c r="AP82" s="21" t="s">
        <v>536</v>
      </c>
      <c r="AQ82" s="21" t="s">
        <v>536</v>
      </c>
      <c r="AR82" s="21" t="s">
        <v>536</v>
      </c>
      <c r="AS82" s="21" t="s">
        <v>536</v>
      </c>
      <c r="AT82" s="21" t="s">
        <v>536</v>
      </c>
      <c r="AU82" s="21" t="s">
        <v>536</v>
      </c>
      <c r="AV82" s="21" t="s">
        <v>536</v>
      </c>
      <c r="AW82" s="21" t="s">
        <v>536</v>
      </c>
      <c r="AX82" s="21" t="s">
        <v>536</v>
      </c>
      <c r="AY82" s="21" t="s">
        <v>536</v>
      </c>
      <c r="AZ82" s="10" t="s">
        <v>824</v>
      </c>
      <c r="BA82" s="10" t="s">
        <v>817</v>
      </c>
    </row>
    <row r="83" spans="1:53" s="20" customFormat="1" ht="142.5" customHeight="1" x14ac:dyDescent="0.25">
      <c r="A83" s="2" t="s">
        <v>438</v>
      </c>
      <c r="B83" s="2" t="s">
        <v>4</v>
      </c>
      <c r="C83" s="2" t="s">
        <v>31</v>
      </c>
      <c r="D83" s="2" t="s">
        <v>162</v>
      </c>
      <c r="E83" s="2">
        <v>0</v>
      </c>
      <c r="F83" s="2" t="s">
        <v>32</v>
      </c>
      <c r="G83" s="903" t="s">
        <v>33</v>
      </c>
      <c r="H83" s="2" t="s">
        <v>34</v>
      </c>
      <c r="I83" s="2" t="s">
        <v>370</v>
      </c>
      <c r="J83" s="2">
        <v>0</v>
      </c>
      <c r="K83" s="2" t="s">
        <v>526</v>
      </c>
      <c r="L83" s="62">
        <v>1</v>
      </c>
      <c r="M83" s="62">
        <v>0.2</v>
      </c>
      <c r="N83" s="10" t="s">
        <v>370</v>
      </c>
      <c r="O83" s="36">
        <v>0.69</v>
      </c>
      <c r="P83" s="18">
        <v>11576</v>
      </c>
      <c r="Q83" s="21"/>
      <c r="R83" s="21"/>
      <c r="S83" s="21"/>
      <c r="T83" s="21"/>
      <c r="U83" s="18">
        <v>11576</v>
      </c>
      <c r="V83" s="21"/>
      <c r="W83" s="21"/>
      <c r="X83" s="21"/>
      <c r="Y83" s="21"/>
      <c r="Z83" s="21"/>
      <c r="AA83" s="21"/>
      <c r="AB83" s="18"/>
      <c r="AC83" s="21"/>
      <c r="AD83" s="21"/>
      <c r="AE83" s="21"/>
      <c r="AF83" s="21"/>
      <c r="AG83" s="10" t="s">
        <v>830</v>
      </c>
      <c r="AH83" s="10" t="s">
        <v>949</v>
      </c>
      <c r="AI83" s="77" t="s">
        <v>831</v>
      </c>
      <c r="AJ83" s="10" t="s">
        <v>832</v>
      </c>
      <c r="AK83" s="33">
        <v>1088373</v>
      </c>
      <c r="AL83" s="18">
        <v>11576</v>
      </c>
      <c r="AM83" s="10" t="s">
        <v>833</v>
      </c>
      <c r="AN83" s="21" t="s">
        <v>536</v>
      </c>
      <c r="AO83" s="21" t="s">
        <v>536</v>
      </c>
      <c r="AP83" s="21" t="s">
        <v>536</v>
      </c>
      <c r="AQ83" s="21" t="s">
        <v>536</v>
      </c>
      <c r="AR83" s="21" t="s">
        <v>536</v>
      </c>
      <c r="AS83" s="21" t="s">
        <v>536</v>
      </c>
      <c r="AT83" s="21" t="s">
        <v>536</v>
      </c>
      <c r="AU83" s="21" t="s">
        <v>536</v>
      </c>
      <c r="AV83" s="21" t="s">
        <v>536</v>
      </c>
      <c r="AW83" s="21" t="s">
        <v>536</v>
      </c>
      <c r="AX83" s="21" t="s">
        <v>536</v>
      </c>
      <c r="AY83" s="21" t="s">
        <v>536</v>
      </c>
      <c r="AZ83" s="10" t="s">
        <v>834</v>
      </c>
      <c r="BA83" s="10" t="s">
        <v>835</v>
      </c>
    </row>
    <row r="84" spans="1:53" s="20" customFormat="1" ht="122.25" customHeight="1" x14ac:dyDescent="0.25">
      <c r="A84" s="2" t="s">
        <v>438</v>
      </c>
      <c r="B84" s="2" t="s">
        <v>4</v>
      </c>
      <c r="C84" s="903" t="s">
        <v>163</v>
      </c>
      <c r="D84" s="903" t="s">
        <v>164</v>
      </c>
      <c r="E84" s="903">
        <v>0</v>
      </c>
      <c r="F84" s="2" t="s">
        <v>32</v>
      </c>
      <c r="G84" s="903"/>
      <c r="H84" s="2" t="s">
        <v>371</v>
      </c>
      <c r="I84" s="2" t="s">
        <v>372</v>
      </c>
      <c r="J84" s="2">
        <v>8</v>
      </c>
      <c r="K84" s="2" t="s">
        <v>526</v>
      </c>
      <c r="L84" s="2">
        <v>32</v>
      </c>
      <c r="M84" s="2">
        <v>8</v>
      </c>
      <c r="N84" s="10" t="s">
        <v>836</v>
      </c>
      <c r="O84" s="21">
        <v>18</v>
      </c>
      <c r="P84" s="18">
        <v>11576</v>
      </c>
      <c r="Q84" s="21"/>
      <c r="R84" s="21"/>
      <c r="S84" s="21"/>
      <c r="T84" s="21"/>
      <c r="U84" s="18">
        <v>11576</v>
      </c>
      <c r="V84" s="21"/>
      <c r="W84" s="21"/>
      <c r="X84" s="21"/>
      <c r="Y84" s="21"/>
      <c r="Z84" s="21"/>
      <c r="AA84" s="21"/>
      <c r="AB84" s="18"/>
      <c r="AC84" s="21"/>
      <c r="AD84" s="21"/>
      <c r="AE84" s="21"/>
      <c r="AF84" s="21"/>
      <c r="AG84" s="10" t="s">
        <v>830</v>
      </c>
      <c r="AH84" s="10" t="s">
        <v>949</v>
      </c>
      <c r="AI84" s="77" t="s">
        <v>837</v>
      </c>
      <c r="AJ84" s="10" t="s">
        <v>838</v>
      </c>
      <c r="AK84" s="33">
        <v>819</v>
      </c>
      <c r="AL84" s="18">
        <v>11576</v>
      </c>
      <c r="AM84" s="10" t="s">
        <v>839</v>
      </c>
      <c r="AN84" s="21" t="s">
        <v>536</v>
      </c>
      <c r="AO84" s="21" t="s">
        <v>536</v>
      </c>
      <c r="AP84" s="21" t="s">
        <v>536</v>
      </c>
      <c r="AQ84" s="21" t="s">
        <v>536</v>
      </c>
      <c r="AR84" s="21" t="s">
        <v>536</v>
      </c>
      <c r="AS84" s="21" t="s">
        <v>536</v>
      </c>
      <c r="AT84" s="21" t="s">
        <v>536</v>
      </c>
      <c r="AU84" s="21" t="s">
        <v>536</v>
      </c>
      <c r="AV84" s="21" t="s">
        <v>536</v>
      </c>
      <c r="AW84" s="21" t="s">
        <v>536</v>
      </c>
      <c r="AX84" s="21" t="s">
        <v>536</v>
      </c>
      <c r="AY84" s="21" t="s">
        <v>536</v>
      </c>
      <c r="AZ84" s="10" t="s">
        <v>834</v>
      </c>
      <c r="BA84" s="10" t="s">
        <v>840</v>
      </c>
    </row>
    <row r="85" spans="1:53" s="20" customFormat="1" ht="123.75" customHeight="1" x14ac:dyDescent="0.25">
      <c r="A85" s="2" t="s">
        <v>438</v>
      </c>
      <c r="B85" s="2" t="s">
        <v>4</v>
      </c>
      <c r="C85" s="903"/>
      <c r="D85" s="903"/>
      <c r="E85" s="903"/>
      <c r="F85" s="2" t="s">
        <v>32</v>
      </c>
      <c r="G85" s="903"/>
      <c r="H85" s="2" t="s">
        <v>165</v>
      </c>
      <c r="I85" s="2" t="s">
        <v>461</v>
      </c>
      <c r="J85" s="2">
        <v>8</v>
      </c>
      <c r="K85" s="2" t="s">
        <v>526</v>
      </c>
      <c r="L85" s="2">
        <v>32</v>
      </c>
      <c r="M85" s="2">
        <v>8</v>
      </c>
      <c r="N85" s="10" t="s">
        <v>461</v>
      </c>
      <c r="O85" s="21">
        <v>23</v>
      </c>
      <c r="P85" s="18">
        <v>23153</v>
      </c>
      <c r="Q85" s="21"/>
      <c r="R85" s="21"/>
      <c r="S85" s="21"/>
      <c r="T85" s="21"/>
      <c r="U85" s="18">
        <v>23153</v>
      </c>
      <c r="V85" s="21"/>
      <c r="W85" s="21"/>
      <c r="X85" s="21"/>
      <c r="Y85" s="21"/>
      <c r="Z85" s="21"/>
      <c r="AA85" s="21"/>
      <c r="AB85" s="18"/>
      <c r="AC85" s="21"/>
      <c r="AD85" s="21"/>
      <c r="AE85" s="21"/>
      <c r="AF85" s="21"/>
      <c r="AG85" s="10" t="s">
        <v>830</v>
      </c>
      <c r="AH85" s="10" t="s">
        <v>949</v>
      </c>
      <c r="AI85" s="77" t="s">
        <v>841</v>
      </c>
      <c r="AJ85" s="10" t="s">
        <v>842</v>
      </c>
      <c r="AK85" s="37">
        <v>119090</v>
      </c>
      <c r="AL85" s="18">
        <v>23153</v>
      </c>
      <c r="AM85" s="10" t="s">
        <v>843</v>
      </c>
      <c r="AN85" s="21" t="s">
        <v>536</v>
      </c>
      <c r="AO85" s="21" t="s">
        <v>536</v>
      </c>
      <c r="AP85" s="21" t="s">
        <v>536</v>
      </c>
      <c r="AQ85" s="21" t="s">
        <v>536</v>
      </c>
      <c r="AR85" s="21" t="s">
        <v>536</v>
      </c>
      <c r="AS85" s="21" t="s">
        <v>536</v>
      </c>
      <c r="AT85" s="21" t="s">
        <v>536</v>
      </c>
      <c r="AU85" s="21" t="s">
        <v>536</v>
      </c>
      <c r="AV85" s="21" t="s">
        <v>536</v>
      </c>
      <c r="AW85" s="21" t="s">
        <v>536</v>
      </c>
      <c r="AX85" s="21" t="s">
        <v>536</v>
      </c>
      <c r="AY85" s="21" t="s">
        <v>536</v>
      </c>
      <c r="AZ85" s="10" t="s">
        <v>834</v>
      </c>
      <c r="BA85" s="10" t="s">
        <v>844</v>
      </c>
    </row>
    <row r="86" spans="1:53" s="20" customFormat="1" ht="76.5" customHeight="1" x14ac:dyDescent="0.25">
      <c r="A86" s="2" t="s">
        <v>438</v>
      </c>
      <c r="B86" s="2" t="s">
        <v>4</v>
      </c>
      <c r="C86" s="903" t="s">
        <v>166</v>
      </c>
      <c r="D86" s="903" t="s">
        <v>167</v>
      </c>
      <c r="E86" s="903">
        <v>0.2</v>
      </c>
      <c r="F86" s="2" t="s">
        <v>35</v>
      </c>
      <c r="G86" s="903" t="s">
        <v>168</v>
      </c>
      <c r="H86" s="2" t="s">
        <v>169</v>
      </c>
      <c r="I86" s="2" t="s">
        <v>373</v>
      </c>
      <c r="J86" s="3">
        <v>1</v>
      </c>
      <c r="K86" s="3" t="s">
        <v>526</v>
      </c>
      <c r="L86" s="3">
        <v>0.45</v>
      </c>
      <c r="M86" s="3">
        <v>0.14000000000000001</v>
      </c>
      <c r="N86" s="10" t="s">
        <v>373</v>
      </c>
      <c r="O86" s="36">
        <v>0.23</v>
      </c>
      <c r="P86" s="18">
        <v>23153</v>
      </c>
      <c r="Q86" s="10"/>
      <c r="R86" s="21"/>
      <c r="S86" s="21"/>
      <c r="T86" s="21"/>
      <c r="U86" s="18">
        <v>23153</v>
      </c>
      <c r="V86" s="21"/>
      <c r="W86" s="21"/>
      <c r="X86" s="21"/>
      <c r="Y86" s="21"/>
      <c r="Z86" s="21"/>
      <c r="AA86" s="21"/>
      <c r="AB86" s="21"/>
      <c r="AC86" s="21"/>
      <c r="AD86" s="21"/>
      <c r="AE86" s="21"/>
      <c r="AF86" s="21"/>
      <c r="AG86" s="10" t="s">
        <v>863</v>
      </c>
      <c r="AH86" s="10" t="s">
        <v>949</v>
      </c>
      <c r="AI86" s="77" t="s">
        <v>864</v>
      </c>
      <c r="AJ86" s="10" t="s">
        <v>865</v>
      </c>
      <c r="AK86" s="21">
        <v>5158</v>
      </c>
      <c r="AL86" s="18">
        <v>23153</v>
      </c>
      <c r="AM86" s="10" t="s">
        <v>866</v>
      </c>
      <c r="AN86" s="21" t="s">
        <v>536</v>
      </c>
      <c r="AO86" s="21" t="s">
        <v>536</v>
      </c>
      <c r="AP86" s="21" t="s">
        <v>536</v>
      </c>
      <c r="AQ86" s="21" t="s">
        <v>536</v>
      </c>
      <c r="AR86" s="21" t="s">
        <v>536</v>
      </c>
      <c r="AS86" s="21" t="s">
        <v>536</v>
      </c>
      <c r="AT86" s="21" t="s">
        <v>536</v>
      </c>
      <c r="AU86" s="21" t="s">
        <v>536</v>
      </c>
      <c r="AV86" s="21" t="s">
        <v>536</v>
      </c>
      <c r="AW86" s="21"/>
      <c r="AX86" s="21"/>
      <c r="AY86" s="21"/>
      <c r="AZ86" s="10" t="s">
        <v>900</v>
      </c>
      <c r="BA86" s="10" t="s">
        <v>867</v>
      </c>
    </row>
    <row r="87" spans="1:53" s="20" customFormat="1" ht="58.5" customHeight="1" x14ac:dyDescent="0.25">
      <c r="A87" s="2" t="s">
        <v>438</v>
      </c>
      <c r="B87" s="2" t="s">
        <v>4</v>
      </c>
      <c r="C87" s="903"/>
      <c r="D87" s="903"/>
      <c r="E87" s="903"/>
      <c r="F87" s="2" t="s">
        <v>35</v>
      </c>
      <c r="G87" s="903"/>
      <c r="H87" s="2" t="s">
        <v>476</v>
      </c>
      <c r="I87" s="2" t="s">
        <v>477</v>
      </c>
      <c r="J87" s="3">
        <v>1</v>
      </c>
      <c r="K87" s="3" t="s">
        <v>526</v>
      </c>
      <c r="L87" s="3">
        <v>1</v>
      </c>
      <c r="M87" s="3">
        <v>0.3</v>
      </c>
      <c r="N87" s="2" t="s">
        <v>477</v>
      </c>
      <c r="O87" s="36">
        <v>0.52</v>
      </c>
      <c r="P87" s="18">
        <v>23153</v>
      </c>
      <c r="Q87" s="21"/>
      <c r="R87" s="21"/>
      <c r="S87" s="21"/>
      <c r="T87" s="21"/>
      <c r="U87" s="18">
        <v>23153</v>
      </c>
      <c r="V87" s="21"/>
      <c r="W87" s="21"/>
      <c r="X87" s="21"/>
      <c r="Y87" s="21"/>
      <c r="Z87" s="21"/>
      <c r="AA87" s="21"/>
      <c r="AB87" s="21"/>
      <c r="AC87" s="21"/>
      <c r="AD87" s="21"/>
      <c r="AE87" s="21"/>
      <c r="AF87" s="21"/>
      <c r="AG87" s="41" t="s">
        <v>35</v>
      </c>
      <c r="AH87" s="10" t="s">
        <v>949</v>
      </c>
      <c r="AI87" s="41" t="s">
        <v>911</v>
      </c>
      <c r="AJ87" s="41" t="s">
        <v>912</v>
      </c>
      <c r="AK87" s="18">
        <v>22293</v>
      </c>
      <c r="AL87" s="18">
        <v>23153</v>
      </c>
      <c r="AM87" s="41" t="s">
        <v>913</v>
      </c>
      <c r="AN87" s="21"/>
      <c r="AO87" s="39" t="s">
        <v>554</v>
      </c>
      <c r="AP87" s="39" t="s">
        <v>554</v>
      </c>
      <c r="AQ87" s="39" t="s">
        <v>554</v>
      </c>
      <c r="AR87" s="39" t="s">
        <v>554</v>
      </c>
      <c r="AS87" s="39" t="s">
        <v>554</v>
      </c>
      <c r="AT87" s="39" t="s">
        <v>554</v>
      </c>
      <c r="AU87" s="39" t="s">
        <v>554</v>
      </c>
      <c r="AV87" s="39" t="s">
        <v>554</v>
      </c>
      <c r="AW87" s="39" t="s">
        <v>554</v>
      </c>
      <c r="AX87" s="39" t="s">
        <v>554</v>
      </c>
      <c r="AY87" s="21"/>
      <c r="AZ87" s="27" t="s">
        <v>871</v>
      </c>
      <c r="BA87" s="27" t="s">
        <v>914</v>
      </c>
    </row>
    <row r="88" spans="1:53" s="20" customFormat="1" ht="42" customHeight="1" x14ac:dyDescent="0.25">
      <c r="A88" s="2" t="s">
        <v>438</v>
      </c>
      <c r="B88" s="2" t="s">
        <v>4</v>
      </c>
      <c r="C88" s="903"/>
      <c r="D88" s="903"/>
      <c r="E88" s="903"/>
      <c r="F88" s="2" t="s">
        <v>35</v>
      </c>
      <c r="G88" s="903"/>
      <c r="H88" s="2" t="s">
        <v>170</v>
      </c>
      <c r="I88" s="2" t="s">
        <v>374</v>
      </c>
      <c r="J88" s="3" t="s">
        <v>440</v>
      </c>
      <c r="K88" s="3" t="s">
        <v>526</v>
      </c>
      <c r="L88" s="3">
        <v>1</v>
      </c>
      <c r="M88" s="3">
        <v>0.3</v>
      </c>
      <c r="N88" s="2" t="s">
        <v>374</v>
      </c>
      <c r="O88" s="36">
        <v>0.49</v>
      </c>
      <c r="P88" s="18">
        <v>34728.75</v>
      </c>
      <c r="Q88" s="21"/>
      <c r="R88" s="21"/>
      <c r="S88" s="21"/>
      <c r="T88" s="21"/>
      <c r="U88" s="18">
        <v>34728.75</v>
      </c>
      <c r="V88" s="21"/>
      <c r="W88" s="21"/>
      <c r="X88" s="21"/>
      <c r="Y88" s="21"/>
      <c r="Z88" s="21"/>
      <c r="AA88" s="21"/>
      <c r="AB88" s="21"/>
      <c r="AC88" s="21"/>
      <c r="AD88" s="21"/>
      <c r="AE88" s="21"/>
      <c r="AF88" s="21"/>
      <c r="AG88" s="41" t="s">
        <v>35</v>
      </c>
      <c r="AH88" s="10" t="s">
        <v>949</v>
      </c>
      <c r="AI88" s="41" t="s">
        <v>907</v>
      </c>
      <c r="AJ88" s="41" t="s">
        <v>908</v>
      </c>
      <c r="AK88" s="18">
        <v>571274</v>
      </c>
      <c r="AL88" s="18">
        <v>34728.75</v>
      </c>
      <c r="AM88" s="41" t="s">
        <v>909</v>
      </c>
      <c r="AN88" s="21"/>
      <c r="AO88" s="39" t="s">
        <v>554</v>
      </c>
      <c r="AP88" s="39" t="s">
        <v>554</v>
      </c>
      <c r="AQ88" s="39" t="s">
        <v>554</v>
      </c>
      <c r="AR88" s="39" t="s">
        <v>554</v>
      </c>
      <c r="AS88" s="39" t="s">
        <v>554</v>
      </c>
      <c r="AT88" s="39" t="s">
        <v>554</v>
      </c>
      <c r="AU88" s="39" t="s">
        <v>554</v>
      </c>
      <c r="AV88" s="39" t="s">
        <v>554</v>
      </c>
      <c r="AW88" s="39" t="s">
        <v>554</v>
      </c>
      <c r="AX88" s="39" t="s">
        <v>554</v>
      </c>
      <c r="AY88" s="21"/>
      <c r="AZ88" s="27" t="s">
        <v>871</v>
      </c>
      <c r="BA88" s="27" t="s">
        <v>910</v>
      </c>
    </row>
    <row r="89" spans="1:53" s="20" customFormat="1" ht="47.25" customHeight="1" x14ac:dyDescent="0.25">
      <c r="A89" s="2" t="s">
        <v>438</v>
      </c>
      <c r="B89" s="2" t="s">
        <v>4</v>
      </c>
      <c r="C89" s="903"/>
      <c r="D89" s="903"/>
      <c r="E89" s="903"/>
      <c r="F89" s="2" t="s">
        <v>35</v>
      </c>
      <c r="G89" s="903"/>
      <c r="H89" s="2" t="s">
        <v>171</v>
      </c>
      <c r="I89" s="2" t="s">
        <v>375</v>
      </c>
      <c r="J89" s="4">
        <v>9</v>
      </c>
      <c r="K89" s="3" t="s">
        <v>526</v>
      </c>
      <c r="L89" s="4">
        <v>10</v>
      </c>
      <c r="M89" s="4">
        <v>3</v>
      </c>
      <c r="N89" s="2" t="s">
        <v>375</v>
      </c>
      <c r="O89" s="40" t="s">
        <v>901</v>
      </c>
      <c r="P89" s="18">
        <v>34729</v>
      </c>
      <c r="Q89" s="21"/>
      <c r="R89" s="21"/>
      <c r="S89" s="21"/>
      <c r="T89" s="21"/>
      <c r="U89" s="18">
        <v>34729</v>
      </c>
      <c r="V89" s="21"/>
      <c r="W89" s="21"/>
      <c r="X89" s="21"/>
      <c r="Y89" s="21"/>
      <c r="Z89" s="21"/>
      <c r="AA89" s="21"/>
      <c r="AB89" s="21"/>
      <c r="AC89" s="21"/>
      <c r="AD89" s="21"/>
      <c r="AE89" s="21"/>
      <c r="AF89" s="18"/>
      <c r="AG89" s="41" t="s">
        <v>35</v>
      </c>
      <c r="AH89" s="10" t="s">
        <v>949</v>
      </c>
      <c r="AI89" s="41" t="s">
        <v>868</v>
      </c>
      <c r="AJ89" s="41" t="s">
        <v>869</v>
      </c>
      <c r="AK89" s="18">
        <v>291097</v>
      </c>
      <c r="AL89" s="18">
        <v>34729</v>
      </c>
      <c r="AM89" s="41" t="s">
        <v>870</v>
      </c>
      <c r="AN89" s="21"/>
      <c r="AO89" s="39" t="s">
        <v>554</v>
      </c>
      <c r="AP89" s="39" t="s">
        <v>554</v>
      </c>
      <c r="AQ89" s="39" t="s">
        <v>554</v>
      </c>
      <c r="AR89" s="39" t="s">
        <v>554</v>
      </c>
      <c r="AS89" s="39" t="s">
        <v>554</v>
      </c>
      <c r="AT89" s="39" t="s">
        <v>554</v>
      </c>
      <c r="AU89" s="39" t="s">
        <v>554</v>
      </c>
      <c r="AV89" s="39" t="s">
        <v>554</v>
      </c>
      <c r="AW89" s="39" t="s">
        <v>554</v>
      </c>
      <c r="AX89" s="39" t="s">
        <v>554</v>
      </c>
      <c r="AY89" s="21"/>
      <c r="AZ89" s="27" t="s">
        <v>871</v>
      </c>
      <c r="BA89" s="27" t="s">
        <v>915</v>
      </c>
    </row>
    <row r="90" spans="1:53" s="20" customFormat="1" ht="62.25" customHeight="1" x14ac:dyDescent="0.25">
      <c r="A90" s="2" t="s">
        <v>438</v>
      </c>
      <c r="B90" s="2" t="s">
        <v>4</v>
      </c>
      <c r="C90" s="903"/>
      <c r="D90" s="903"/>
      <c r="E90" s="903"/>
      <c r="F90" s="2" t="s">
        <v>35</v>
      </c>
      <c r="G90" s="903"/>
      <c r="H90" s="2" t="s">
        <v>36</v>
      </c>
      <c r="I90" s="2" t="s">
        <v>376</v>
      </c>
      <c r="J90" s="3" t="s">
        <v>172</v>
      </c>
      <c r="K90" s="3" t="s">
        <v>526</v>
      </c>
      <c r="L90" s="70">
        <v>10</v>
      </c>
      <c r="M90" s="71">
        <v>3</v>
      </c>
      <c r="N90" s="2" t="s">
        <v>376</v>
      </c>
      <c r="O90" s="21">
        <v>10</v>
      </c>
      <c r="P90" s="18">
        <v>17364</v>
      </c>
      <c r="Q90" s="10"/>
      <c r="R90" s="21"/>
      <c r="S90" s="21"/>
      <c r="T90" s="21"/>
      <c r="U90" s="18">
        <v>17364</v>
      </c>
      <c r="V90" s="21"/>
      <c r="W90" s="21"/>
      <c r="X90" s="21"/>
      <c r="Y90" s="21"/>
      <c r="Z90" s="21"/>
      <c r="AA90" s="21"/>
      <c r="AB90" s="21"/>
      <c r="AC90" s="21"/>
      <c r="AD90" s="21"/>
      <c r="AE90" s="21"/>
      <c r="AF90" s="21"/>
      <c r="AG90" s="10" t="s">
        <v>872</v>
      </c>
      <c r="AH90" s="10" t="s">
        <v>949</v>
      </c>
      <c r="AI90" s="77" t="s">
        <v>873</v>
      </c>
      <c r="AJ90" s="21" t="s">
        <v>874</v>
      </c>
      <c r="AK90" s="21">
        <v>139220</v>
      </c>
      <c r="AL90" s="18">
        <v>17364</v>
      </c>
      <c r="AM90" s="10" t="s">
        <v>875</v>
      </c>
      <c r="AN90" s="21" t="s">
        <v>536</v>
      </c>
      <c r="AO90" s="21" t="s">
        <v>536</v>
      </c>
      <c r="AP90" s="21" t="s">
        <v>536</v>
      </c>
      <c r="AQ90" s="21" t="s">
        <v>536</v>
      </c>
      <c r="AR90" s="21" t="s">
        <v>536</v>
      </c>
      <c r="AS90" s="21" t="s">
        <v>536</v>
      </c>
      <c r="AT90" s="21" t="s">
        <v>536</v>
      </c>
      <c r="AU90" s="21" t="s">
        <v>536</v>
      </c>
      <c r="AV90" s="21" t="s">
        <v>536</v>
      </c>
      <c r="AW90" s="21"/>
      <c r="AX90" s="21"/>
      <c r="AY90" s="21"/>
      <c r="AZ90" s="10" t="s">
        <v>876</v>
      </c>
      <c r="BA90" s="10" t="s">
        <v>877</v>
      </c>
    </row>
    <row r="91" spans="1:53" s="20" customFormat="1" ht="72" customHeight="1" x14ac:dyDescent="0.25">
      <c r="A91" s="2" t="s">
        <v>438</v>
      </c>
      <c r="B91" s="2" t="s">
        <v>4</v>
      </c>
      <c r="C91" s="903" t="s">
        <v>173</v>
      </c>
      <c r="D91" s="903" t="s">
        <v>174</v>
      </c>
      <c r="E91" s="903">
        <v>0.35</v>
      </c>
      <c r="F91" s="2" t="s">
        <v>35</v>
      </c>
      <c r="G91" s="903"/>
      <c r="H91" s="2" t="s">
        <v>175</v>
      </c>
      <c r="I91" s="2" t="s">
        <v>377</v>
      </c>
      <c r="J91" s="4">
        <v>12</v>
      </c>
      <c r="K91" s="4" t="s">
        <v>526</v>
      </c>
      <c r="L91" s="4">
        <v>21</v>
      </c>
      <c r="M91" s="4">
        <v>6</v>
      </c>
      <c r="N91" s="2" t="s">
        <v>377</v>
      </c>
      <c r="O91" s="21">
        <v>13</v>
      </c>
      <c r="P91" s="18">
        <v>243101.25</v>
      </c>
      <c r="Q91" s="21"/>
      <c r="R91" s="21"/>
      <c r="S91" s="21"/>
      <c r="T91" s="21"/>
      <c r="U91" s="18">
        <v>243101.25</v>
      </c>
      <c r="V91" s="21"/>
      <c r="W91" s="21"/>
      <c r="X91" s="21"/>
      <c r="Y91" s="21"/>
      <c r="Z91" s="21"/>
      <c r="AA91" s="21"/>
      <c r="AB91" s="21"/>
      <c r="AC91" s="21"/>
      <c r="AD91" s="21"/>
      <c r="AE91" s="21"/>
      <c r="AF91" s="21"/>
      <c r="AG91" s="10" t="s">
        <v>916</v>
      </c>
      <c r="AH91" s="10" t="s">
        <v>949</v>
      </c>
      <c r="AI91" s="77" t="s">
        <v>917</v>
      </c>
      <c r="AJ91" s="10" t="s">
        <v>918</v>
      </c>
      <c r="AK91" s="21">
        <v>2016</v>
      </c>
      <c r="AL91" s="18">
        <v>243101.25</v>
      </c>
      <c r="AM91" s="10" t="s">
        <v>919</v>
      </c>
      <c r="AN91" s="21" t="s">
        <v>536</v>
      </c>
      <c r="AO91" s="21" t="s">
        <v>536</v>
      </c>
      <c r="AP91" s="21" t="s">
        <v>536</v>
      </c>
      <c r="AQ91" s="21" t="s">
        <v>536</v>
      </c>
      <c r="AR91" s="21" t="s">
        <v>536</v>
      </c>
      <c r="AS91" s="21" t="s">
        <v>536</v>
      </c>
      <c r="AT91" s="21" t="s">
        <v>536</v>
      </c>
      <c r="AU91" s="21" t="s">
        <v>536</v>
      </c>
      <c r="AV91" s="21" t="s">
        <v>536</v>
      </c>
      <c r="AW91" s="21"/>
      <c r="AX91" s="21"/>
      <c r="AY91" s="21"/>
      <c r="AZ91" s="73" t="s">
        <v>920</v>
      </c>
      <c r="BA91" s="10" t="s">
        <v>921</v>
      </c>
    </row>
    <row r="92" spans="1:53" s="20" customFormat="1" ht="81.75" customHeight="1" x14ac:dyDescent="0.25">
      <c r="A92" s="2" t="s">
        <v>438</v>
      </c>
      <c r="B92" s="2" t="s">
        <v>4</v>
      </c>
      <c r="C92" s="903"/>
      <c r="D92" s="903"/>
      <c r="E92" s="903"/>
      <c r="F92" s="2" t="s">
        <v>35</v>
      </c>
      <c r="G92" s="903"/>
      <c r="H92" s="2" t="s">
        <v>176</v>
      </c>
      <c r="I92" s="2" t="s">
        <v>378</v>
      </c>
      <c r="J92" s="4">
        <v>12</v>
      </c>
      <c r="K92" s="4" t="s">
        <v>526</v>
      </c>
      <c r="L92" s="4">
        <v>34</v>
      </c>
      <c r="M92" s="4">
        <v>10</v>
      </c>
      <c r="N92" s="10" t="s">
        <v>378</v>
      </c>
      <c r="O92" s="21">
        <v>10</v>
      </c>
      <c r="P92" s="18">
        <v>46305</v>
      </c>
      <c r="Q92" s="21"/>
      <c r="R92" s="21"/>
      <c r="S92" s="21"/>
      <c r="T92" s="21"/>
      <c r="U92" s="18">
        <v>46305</v>
      </c>
      <c r="V92" s="21"/>
      <c r="W92" s="21"/>
      <c r="X92" s="21"/>
      <c r="Y92" s="21"/>
      <c r="Z92" s="21"/>
      <c r="AA92" s="21"/>
      <c r="AB92" s="21"/>
      <c r="AC92" s="21"/>
      <c r="AD92" s="21"/>
      <c r="AE92" s="21"/>
      <c r="AF92" s="21"/>
      <c r="AG92" s="10" t="s">
        <v>872</v>
      </c>
      <c r="AH92" s="10" t="s">
        <v>949</v>
      </c>
      <c r="AI92" s="298" t="s">
        <v>878</v>
      </c>
      <c r="AJ92" s="21" t="s">
        <v>879</v>
      </c>
      <c r="AK92" s="21">
        <v>700</v>
      </c>
      <c r="AL92" s="18">
        <v>46305</v>
      </c>
      <c r="AM92" s="21" t="s">
        <v>880</v>
      </c>
      <c r="AN92" s="21" t="s">
        <v>536</v>
      </c>
      <c r="AO92" s="21" t="s">
        <v>536</v>
      </c>
      <c r="AP92" s="21" t="s">
        <v>536</v>
      </c>
      <c r="AQ92" s="21" t="s">
        <v>536</v>
      </c>
      <c r="AR92" s="21" t="s">
        <v>536</v>
      </c>
      <c r="AS92" s="21"/>
      <c r="AT92" s="21"/>
      <c r="AU92" s="21"/>
      <c r="AV92" s="21"/>
      <c r="AW92" s="21"/>
      <c r="AX92" s="21"/>
      <c r="AY92" s="21"/>
      <c r="AZ92" s="10" t="s">
        <v>876</v>
      </c>
      <c r="BA92" s="10" t="s">
        <v>881</v>
      </c>
    </row>
    <row r="93" spans="1:53" s="20" customFormat="1" ht="209.25" customHeight="1" x14ac:dyDescent="0.25">
      <c r="A93" s="2" t="s">
        <v>438</v>
      </c>
      <c r="B93" s="2" t="s">
        <v>4</v>
      </c>
      <c r="C93" s="903"/>
      <c r="D93" s="903"/>
      <c r="E93" s="903"/>
      <c r="F93" s="2" t="s">
        <v>35</v>
      </c>
      <c r="G93" s="903"/>
      <c r="H93" s="2" t="s">
        <v>379</v>
      </c>
      <c r="I93" s="2" t="s">
        <v>462</v>
      </c>
      <c r="J93" s="3">
        <v>0.75</v>
      </c>
      <c r="K93" s="3" t="s">
        <v>526</v>
      </c>
      <c r="L93" s="3">
        <v>1</v>
      </c>
      <c r="M93" s="3">
        <v>0.25</v>
      </c>
      <c r="N93" s="2" t="s">
        <v>462</v>
      </c>
      <c r="O93" s="21" t="s">
        <v>902</v>
      </c>
      <c r="P93" s="18">
        <v>69458</v>
      </c>
      <c r="Q93" s="21"/>
      <c r="R93" s="21"/>
      <c r="S93" s="21"/>
      <c r="T93" s="21"/>
      <c r="U93" s="18">
        <v>69458</v>
      </c>
      <c r="V93" s="21"/>
      <c r="W93" s="21"/>
      <c r="X93" s="21"/>
      <c r="Y93" s="21"/>
      <c r="Z93" s="21"/>
      <c r="AA93" s="21"/>
      <c r="AB93" s="21"/>
      <c r="AC93" s="21"/>
      <c r="AD93" s="21"/>
      <c r="AE93" s="21"/>
      <c r="AF93" s="21"/>
      <c r="AG93" s="10" t="s">
        <v>872</v>
      </c>
      <c r="AH93" s="10" t="s">
        <v>949</v>
      </c>
      <c r="AI93" s="77" t="s">
        <v>922</v>
      </c>
      <c r="AJ93" s="10" t="s">
        <v>923</v>
      </c>
      <c r="AK93" s="21"/>
      <c r="AL93" s="18">
        <v>69458</v>
      </c>
      <c r="AM93" s="10" t="s">
        <v>924</v>
      </c>
      <c r="AN93" s="21"/>
      <c r="AO93" s="21"/>
      <c r="AP93" s="21" t="s">
        <v>536</v>
      </c>
      <c r="AQ93" s="21" t="s">
        <v>536</v>
      </c>
      <c r="AR93" s="21" t="s">
        <v>536</v>
      </c>
      <c r="AS93" s="21" t="s">
        <v>536</v>
      </c>
      <c r="AT93" s="21" t="s">
        <v>536</v>
      </c>
      <c r="AU93" s="21" t="s">
        <v>536</v>
      </c>
      <c r="AV93" s="21" t="s">
        <v>536</v>
      </c>
      <c r="AW93" s="21" t="s">
        <v>536</v>
      </c>
      <c r="AX93" s="21" t="s">
        <v>536</v>
      </c>
      <c r="AY93" s="21" t="s">
        <v>536</v>
      </c>
      <c r="AZ93" s="73" t="s">
        <v>925</v>
      </c>
      <c r="BA93" s="10" t="s">
        <v>926</v>
      </c>
    </row>
    <row r="94" spans="1:53" s="20" customFormat="1" ht="122.25" customHeight="1" x14ac:dyDescent="0.25">
      <c r="A94" s="2" t="s">
        <v>438</v>
      </c>
      <c r="B94" s="2" t="s">
        <v>4</v>
      </c>
      <c r="C94" s="903"/>
      <c r="D94" s="903"/>
      <c r="E94" s="903"/>
      <c r="F94" s="2" t="s">
        <v>35</v>
      </c>
      <c r="G94" s="903"/>
      <c r="H94" s="2" t="s">
        <v>53</v>
      </c>
      <c r="I94" s="2" t="s">
        <v>380</v>
      </c>
      <c r="J94" s="5">
        <v>0.75</v>
      </c>
      <c r="K94" s="3" t="s">
        <v>526</v>
      </c>
      <c r="L94" s="5">
        <v>1</v>
      </c>
      <c r="M94" s="5">
        <v>0.3</v>
      </c>
      <c r="N94" s="2" t="s">
        <v>380</v>
      </c>
      <c r="O94" s="21" t="s">
        <v>903</v>
      </c>
      <c r="P94" s="18">
        <v>26250</v>
      </c>
      <c r="Q94" s="21"/>
      <c r="R94" s="21">
        <v>26250</v>
      </c>
      <c r="S94" s="21"/>
      <c r="T94" s="21"/>
      <c r="U94" s="18"/>
      <c r="V94" s="21"/>
      <c r="W94" s="21"/>
      <c r="X94" s="21"/>
      <c r="Y94" s="21"/>
      <c r="Z94" s="21"/>
      <c r="AA94" s="21"/>
      <c r="AB94" s="21"/>
      <c r="AC94" s="21"/>
      <c r="AD94" s="21"/>
      <c r="AE94" s="21"/>
      <c r="AF94" s="21"/>
      <c r="AG94" s="12" t="s">
        <v>927</v>
      </c>
      <c r="AH94" s="10" t="s">
        <v>949</v>
      </c>
      <c r="AI94" s="39">
        <v>42</v>
      </c>
      <c r="AJ94" s="41" t="s">
        <v>578</v>
      </c>
      <c r="AK94" s="42">
        <v>1426938</v>
      </c>
      <c r="AL94" s="18">
        <v>26250</v>
      </c>
      <c r="AM94" s="10" t="s">
        <v>928</v>
      </c>
      <c r="AN94" s="43" t="s">
        <v>536</v>
      </c>
      <c r="AO94" s="43" t="s">
        <v>536</v>
      </c>
      <c r="AP94" s="43" t="s">
        <v>536</v>
      </c>
      <c r="AQ94" s="43" t="s">
        <v>536</v>
      </c>
      <c r="AR94" s="43" t="s">
        <v>536</v>
      </c>
      <c r="AS94" s="43" t="s">
        <v>536</v>
      </c>
      <c r="AT94" s="43" t="s">
        <v>536</v>
      </c>
      <c r="AU94" s="43" t="s">
        <v>536</v>
      </c>
      <c r="AV94" s="43" t="s">
        <v>536</v>
      </c>
      <c r="AW94" s="43" t="s">
        <v>536</v>
      </c>
      <c r="AX94" s="43" t="s">
        <v>536</v>
      </c>
      <c r="AY94" s="43" t="s">
        <v>536</v>
      </c>
      <c r="AZ94" s="13" t="s">
        <v>929</v>
      </c>
      <c r="BA94" s="44" t="s">
        <v>581</v>
      </c>
    </row>
    <row r="95" spans="1:53" s="20" customFormat="1" ht="83.25" customHeight="1" x14ac:dyDescent="0.25">
      <c r="A95" s="2" t="s">
        <v>438</v>
      </c>
      <c r="B95" s="2" t="s">
        <v>4</v>
      </c>
      <c r="C95" s="903"/>
      <c r="D95" s="903"/>
      <c r="E95" s="903"/>
      <c r="F95" s="2" t="s">
        <v>35</v>
      </c>
      <c r="G95" s="903"/>
      <c r="H95" s="2" t="s">
        <v>381</v>
      </c>
      <c r="I95" s="2" t="s">
        <v>382</v>
      </c>
      <c r="J95" s="3">
        <v>0</v>
      </c>
      <c r="K95" s="5" t="s">
        <v>526</v>
      </c>
      <c r="L95" s="70">
        <v>5</v>
      </c>
      <c r="M95" s="71">
        <v>1</v>
      </c>
      <c r="N95" s="2" t="s">
        <v>382</v>
      </c>
      <c r="O95" s="21">
        <v>2</v>
      </c>
      <c r="P95" s="18">
        <v>46305</v>
      </c>
      <c r="Q95" s="21"/>
      <c r="R95" s="21"/>
      <c r="S95" s="21"/>
      <c r="T95" s="21"/>
      <c r="U95" s="18">
        <v>46305</v>
      </c>
      <c r="V95" s="21"/>
      <c r="W95" s="21"/>
      <c r="X95" s="21"/>
      <c r="Y95" s="21"/>
      <c r="Z95" s="21"/>
      <c r="AA95" s="21"/>
      <c r="AB95" s="21"/>
      <c r="AC95" s="21"/>
      <c r="AD95" s="21"/>
      <c r="AE95" s="21"/>
      <c r="AF95" s="21"/>
      <c r="AG95" s="10" t="s">
        <v>872</v>
      </c>
      <c r="AH95" s="10" t="s">
        <v>949</v>
      </c>
      <c r="AI95" s="77" t="s">
        <v>933</v>
      </c>
      <c r="AJ95" s="10" t="s">
        <v>931</v>
      </c>
      <c r="AK95" s="21">
        <v>123813</v>
      </c>
      <c r="AL95" s="18">
        <v>46305</v>
      </c>
      <c r="AM95" s="10" t="s">
        <v>947</v>
      </c>
      <c r="AN95" s="43"/>
      <c r="AO95" s="43"/>
      <c r="AP95" s="43" t="s">
        <v>536</v>
      </c>
      <c r="AQ95" s="43" t="s">
        <v>536</v>
      </c>
      <c r="AR95" s="43" t="s">
        <v>536</v>
      </c>
      <c r="AS95" s="43" t="s">
        <v>536</v>
      </c>
      <c r="AT95" s="43" t="s">
        <v>536</v>
      </c>
      <c r="AU95" s="43" t="s">
        <v>536</v>
      </c>
      <c r="AV95" s="43" t="s">
        <v>536</v>
      </c>
      <c r="AW95" s="43" t="s">
        <v>536</v>
      </c>
      <c r="AX95" s="43" t="s">
        <v>536</v>
      </c>
      <c r="AY95" s="43" t="s">
        <v>536</v>
      </c>
      <c r="AZ95" s="10" t="s">
        <v>932</v>
      </c>
      <c r="BA95" s="10" t="s">
        <v>934</v>
      </c>
    </row>
    <row r="96" spans="1:53" s="20" customFormat="1" ht="88.5" customHeight="1" x14ac:dyDescent="0.25">
      <c r="A96" s="2" t="s">
        <v>438</v>
      </c>
      <c r="B96" s="2" t="s">
        <v>4</v>
      </c>
      <c r="C96" s="903"/>
      <c r="D96" s="903"/>
      <c r="E96" s="903"/>
      <c r="F96" s="2" t="s">
        <v>35</v>
      </c>
      <c r="G96" s="903"/>
      <c r="H96" s="2" t="s">
        <v>54</v>
      </c>
      <c r="I96" s="2" t="s">
        <v>383</v>
      </c>
      <c r="J96" s="5">
        <v>0.85</v>
      </c>
      <c r="K96" s="5" t="s">
        <v>527</v>
      </c>
      <c r="L96" s="5">
        <v>1</v>
      </c>
      <c r="M96" s="5">
        <v>1</v>
      </c>
      <c r="N96" s="2" t="s">
        <v>383</v>
      </c>
      <c r="O96" s="21" t="s">
        <v>904</v>
      </c>
      <c r="P96" s="18">
        <v>26250</v>
      </c>
      <c r="Q96" s="21"/>
      <c r="R96" s="21">
        <v>26250</v>
      </c>
      <c r="S96" s="21"/>
      <c r="T96" s="21"/>
      <c r="U96" s="18"/>
      <c r="V96" s="21"/>
      <c r="W96" s="21"/>
      <c r="X96" s="21"/>
      <c r="Y96" s="21"/>
      <c r="Z96" s="21"/>
      <c r="AA96" s="21"/>
      <c r="AB96" s="21"/>
      <c r="AC96" s="21"/>
      <c r="AD96" s="21"/>
      <c r="AE96" s="21"/>
      <c r="AF96" s="21"/>
      <c r="AG96" s="10" t="s">
        <v>872</v>
      </c>
      <c r="AH96" s="10" t="s">
        <v>949</v>
      </c>
      <c r="AI96" s="39">
        <v>42</v>
      </c>
      <c r="AJ96" s="41" t="s">
        <v>578</v>
      </c>
      <c r="AK96" s="42">
        <v>1426938</v>
      </c>
      <c r="AL96" s="18">
        <v>26250</v>
      </c>
      <c r="AM96" s="10" t="s">
        <v>930</v>
      </c>
      <c r="AN96" s="43" t="s">
        <v>536</v>
      </c>
      <c r="AO96" s="43" t="s">
        <v>536</v>
      </c>
      <c r="AP96" s="43" t="s">
        <v>536</v>
      </c>
      <c r="AQ96" s="43" t="s">
        <v>536</v>
      </c>
      <c r="AR96" s="43" t="s">
        <v>536</v>
      </c>
      <c r="AS96" s="43" t="s">
        <v>536</v>
      </c>
      <c r="AT96" s="43" t="s">
        <v>536</v>
      </c>
      <c r="AU96" s="43" t="s">
        <v>536</v>
      </c>
      <c r="AV96" s="43" t="s">
        <v>536</v>
      </c>
      <c r="AW96" s="43" t="s">
        <v>536</v>
      </c>
      <c r="AX96" s="43" t="s">
        <v>536</v>
      </c>
      <c r="AY96" s="43" t="s">
        <v>536</v>
      </c>
      <c r="AZ96" s="13" t="s">
        <v>929</v>
      </c>
      <c r="BA96" s="44" t="s">
        <v>581</v>
      </c>
    </row>
    <row r="97" spans="1:53" s="20" customFormat="1" ht="75.75" customHeight="1" x14ac:dyDescent="0.25">
      <c r="A97" s="2" t="s">
        <v>438</v>
      </c>
      <c r="B97" s="2" t="s">
        <v>4</v>
      </c>
      <c r="C97" s="903" t="s">
        <v>384</v>
      </c>
      <c r="D97" s="903" t="s">
        <v>385</v>
      </c>
      <c r="E97" s="903" t="s">
        <v>441</v>
      </c>
      <c r="F97" s="2" t="s">
        <v>35</v>
      </c>
      <c r="G97" s="903"/>
      <c r="H97" s="2" t="s">
        <v>177</v>
      </c>
      <c r="I97" s="2" t="s">
        <v>386</v>
      </c>
      <c r="J97" s="3">
        <v>0</v>
      </c>
      <c r="K97" s="5" t="s">
        <v>527</v>
      </c>
      <c r="L97" s="70">
        <v>0</v>
      </c>
      <c r="M97" s="87">
        <v>0</v>
      </c>
      <c r="N97" s="2" t="s">
        <v>386</v>
      </c>
      <c r="O97" s="36">
        <v>1</v>
      </c>
      <c r="P97" s="18">
        <v>11576.25</v>
      </c>
      <c r="Q97" s="21"/>
      <c r="R97" s="21"/>
      <c r="S97" s="21"/>
      <c r="T97" s="21"/>
      <c r="U97" s="18">
        <v>11576.25</v>
      </c>
      <c r="V97" s="21"/>
      <c r="W97" s="21"/>
      <c r="X97" s="21"/>
      <c r="Y97" s="21"/>
      <c r="Z97" s="21"/>
      <c r="AA97" s="21"/>
      <c r="AB97" s="21"/>
      <c r="AC97" s="21"/>
      <c r="AD97" s="21"/>
      <c r="AE97" s="21"/>
      <c r="AF97" s="21"/>
      <c r="AG97" s="10" t="s">
        <v>872</v>
      </c>
      <c r="AH97" s="10" t="s">
        <v>949</v>
      </c>
      <c r="AI97" s="298" t="s">
        <v>882</v>
      </c>
      <c r="AJ97" s="9" t="s">
        <v>778</v>
      </c>
      <c r="AK97" s="9">
        <v>68.995000000000005</v>
      </c>
      <c r="AL97" s="18">
        <v>11576.25</v>
      </c>
      <c r="AM97" s="2" t="s">
        <v>883</v>
      </c>
      <c r="AN97" s="21" t="s">
        <v>536</v>
      </c>
      <c r="AO97" s="21" t="s">
        <v>536</v>
      </c>
      <c r="AP97" s="21" t="s">
        <v>536</v>
      </c>
      <c r="AQ97" s="21" t="s">
        <v>536</v>
      </c>
      <c r="AR97" s="21" t="s">
        <v>536</v>
      </c>
      <c r="AS97" s="21" t="s">
        <v>536</v>
      </c>
      <c r="AT97" s="21" t="s">
        <v>536</v>
      </c>
      <c r="AU97" s="21" t="s">
        <v>536</v>
      </c>
      <c r="AV97" s="21" t="s">
        <v>536</v>
      </c>
      <c r="AW97" s="21" t="s">
        <v>536</v>
      </c>
      <c r="AX97" s="21" t="s">
        <v>536</v>
      </c>
      <c r="AY97" s="21" t="s">
        <v>536</v>
      </c>
      <c r="AZ97" s="9" t="s">
        <v>689</v>
      </c>
      <c r="BA97" s="9" t="s">
        <v>786</v>
      </c>
    </row>
    <row r="98" spans="1:53" s="20" customFormat="1" ht="105" customHeight="1" x14ac:dyDescent="0.25">
      <c r="A98" s="2" t="s">
        <v>438</v>
      </c>
      <c r="B98" s="2" t="s">
        <v>4</v>
      </c>
      <c r="C98" s="903"/>
      <c r="D98" s="903"/>
      <c r="E98" s="903"/>
      <c r="F98" s="2" t="s">
        <v>35</v>
      </c>
      <c r="G98" s="903"/>
      <c r="H98" s="2" t="s">
        <v>178</v>
      </c>
      <c r="I98" s="2" t="s">
        <v>387</v>
      </c>
      <c r="J98" s="3">
        <v>0.14000000000000001</v>
      </c>
      <c r="K98" s="3" t="s">
        <v>526</v>
      </c>
      <c r="L98" s="3">
        <v>0.8</v>
      </c>
      <c r="M98" s="3">
        <v>0.3</v>
      </c>
      <c r="N98" s="10" t="s">
        <v>387</v>
      </c>
      <c r="O98" s="33" t="s">
        <v>905</v>
      </c>
      <c r="P98" s="18">
        <v>34728.75</v>
      </c>
      <c r="Q98" s="21"/>
      <c r="R98" s="21"/>
      <c r="S98" s="21"/>
      <c r="T98" s="21"/>
      <c r="U98" s="18">
        <v>34728.75</v>
      </c>
      <c r="V98" s="21"/>
      <c r="W98" s="21"/>
      <c r="X98" s="21"/>
      <c r="Y98" s="21"/>
      <c r="Z98" s="21"/>
      <c r="AA98" s="21"/>
      <c r="AB98" s="21"/>
      <c r="AC98" s="21"/>
      <c r="AD98" s="21"/>
      <c r="AE98" s="21"/>
      <c r="AF98" s="21"/>
      <c r="AG98" s="10" t="s">
        <v>35</v>
      </c>
      <c r="AH98" s="10" t="s">
        <v>949</v>
      </c>
      <c r="AI98" s="77" t="s">
        <v>884</v>
      </c>
      <c r="AJ98" s="10" t="s">
        <v>885</v>
      </c>
      <c r="AK98" s="33">
        <v>47869</v>
      </c>
      <c r="AL98" s="18">
        <v>34728.75</v>
      </c>
      <c r="AM98" s="10" t="s">
        <v>886</v>
      </c>
      <c r="AN98" s="21" t="s">
        <v>536</v>
      </c>
      <c r="AO98" s="21" t="s">
        <v>536</v>
      </c>
      <c r="AP98" s="21" t="s">
        <v>536</v>
      </c>
      <c r="AQ98" s="21" t="s">
        <v>536</v>
      </c>
      <c r="AR98" s="21" t="s">
        <v>536</v>
      </c>
      <c r="AS98" s="21" t="s">
        <v>536</v>
      </c>
      <c r="AT98" s="21" t="s">
        <v>536</v>
      </c>
      <c r="AU98" s="21" t="s">
        <v>536</v>
      </c>
      <c r="AV98" s="21" t="s">
        <v>536</v>
      </c>
      <c r="AW98" s="21" t="s">
        <v>536</v>
      </c>
      <c r="AX98" s="21" t="s">
        <v>536</v>
      </c>
      <c r="AY98" s="21" t="s">
        <v>536</v>
      </c>
      <c r="AZ98" s="11" t="s">
        <v>689</v>
      </c>
      <c r="BA98" s="11" t="s">
        <v>786</v>
      </c>
    </row>
    <row r="99" spans="1:53" s="20" customFormat="1" ht="102.75" customHeight="1" x14ac:dyDescent="0.25">
      <c r="A99" s="2" t="s">
        <v>438</v>
      </c>
      <c r="B99" s="2" t="s">
        <v>4</v>
      </c>
      <c r="C99" s="903"/>
      <c r="D99" s="903"/>
      <c r="E99" s="903"/>
      <c r="F99" s="2" t="s">
        <v>35</v>
      </c>
      <c r="G99" s="903"/>
      <c r="H99" s="2" t="s">
        <v>388</v>
      </c>
      <c r="I99" s="2" t="s">
        <v>389</v>
      </c>
      <c r="J99" s="4">
        <v>42</v>
      </c>
      <c r="K99" s="3" t="s">
        <v>526</v>
      </c>
      <c r="L99" s="4">
        <v>42</v>
      </c>
      <c r="M99" s="4">
        <v>12</v>
      </c>
      <c r="N99" s="10" t="s">
        <v>389</v>
      </c>
      <c r="O99" s="33">
        <v>25</v>
      </c>
      <c r="P99" s="18">
        <v>23153</v>
      </c>
      <c r="Q99" s="21"/>
      <c r="R99" s="21"/>
      <c r="S99" s="21"/>
      <c r="T99" s="21"/>
      <c r="U99" s="18">
        <v>23153</v>
      </c>
      <c r="V99" s="21"/>
      <c r="W99" s="21"/>
      <c r="X99" s="21"/>
      <c r="Y99" s="21"/>
      <c r="Z99" s="21"/>
      <c r="AA99" s="21"/>
      <c r="AB99" s="21"/>
      <c r="AC99" s="21"/>
      <c r="AD99" s="21"/>
      <c r="AE99" s="21"/>
      <c r="AF99" s="21"/>
      <c r="AG99" s="10" t="s">
        <v>35</v>
      </c>
      <c r="AH99" s="10" t="s">
        <v>949</v>
      </c>
      <c r="AI99" s="77" t="s">
        <v>887</v>
      </c>
      <c r="AJ99" s="10" t="s">
        <v>885</v>
      </c>
      <c r="AK99" s="33">
        <v>53829</v>
      </c>
      <c r="AL99" s="18">
        <v>23153</v>
      </c>
      <c r="AM99" s="10" t="s">
        <v>888</v>
      </c>
      <c r="AN99" s="21" t="s">
        <v>536</v>
      </c>
      <c r="AO99" s="21" t="s">
        <v>536</v>
      </c>
      <c r="AP99" s="21" t="s">
        <v>536</v>
      </c>
      <c r="AQ99" s="21" t="s">
        <v>536</v>
      </c>
      <c r="AR99" s="21" t="s">
        <v>536</v>
      </c>
      <c r="AS99" s="21" t="s">
        <v>536</v>
      </c>
      <c r="AT99" s="21" t="s">
        <v>536</v>
      </c>
      <c r="AU99" s="21" t="s">
        <v>536</v>
      </c>
      <c r="AV99" s="21" t="s">
        <v>536</v>
      </c>
      <c r="AW99" s="21" t="s">
        <v>536</v>
      </c>
      <c r="AX99" s="21" t="s">
        <v>536</v>
      </c>
      <c r="AY99" s="21" t="s">
        <v>536</v>
      </c>
      <c r="AZ99" s="11" t="s">
        <v>689</v>
      </c>
      <c r="BA99" s="11" t="s">
        <v>786</v>
      </c>
    </row>
    <row r="100" spans="1:53" s="20" customFormat="1" ht="100.5" customHeight="1" x14ac:dyDescent="0.25">
      <c r="A100" s="2" t="s">
        <v>438</v>
      </c>
      <c r="B100" s="2" t="s">
        <v>4</v>
      </c>
      <c r="C100" s="903"/>
      <c r="D100" s="903"/>
      <c r="E100" s="903"/>
      <c r="F100" s="2" t="s">
        <v>35</v>
      </c>
      <c r="G100" s="903"/>
      <c r="H100" s="2" t="s">
        <v>179</v>
      </c>
      <c r="I100" s="2" t="s">
        <v>390</v>
      </c>
      <c r="J100" s="4">
        <v>42</v>
      </c>
      <c r="K100" s="3" t="s">
        <v>526</v>
      </c>
      <c r="L100" s="4">
        <v>42</v>
      </c>
      <c r="M100" s="4">
        <v>12</v>
      </c>
      <c r="N100" s="10" t="s">
        <v>889</v>
      </c>
      <c r="O100" s="33">
        <v>25</v>
      </c>
      <c r="P100" s="18">
        <v>23153</v>
      </c>
      <c r="Q100" s="21"/>
      <c r="R100" s="21"/>
      <c r="S100" s="21"/>
      <c r="T100" s="21"/>
      <c r="U100" s="18">
        <v>23153</v>
      </c>
      <c r="V100" s="21"/>
      <c r="W100" s="21"/>
      <c r="X100" s="21"/>
      <c r="Y100" s="21"/>
      <c r="Z100" s="21"/>
      <c r="AA100" s="21"/>
      <c r="AB100" s="21"/>
      <c r="AC100" s="21"/>
      <c r="AD100" s="21"/>
      <c r="AE100" s="21"/>
      <c r="AF100" s="21"/>
      <c r="AG100" s="10" t="s">
        <v>35</v>
      </c>
      <c r="AH100" s="10" t="s">
        <v>949</v>
      </c>
      <c r="AI100" s="77" t="s">
        <v>890</v>
      </c>
      <c r="AJ100" s="10" t="s">
        <v>891</v>
      </c>
      <c r="AK100" s="33">
        <v>33883</v>
      </c>
      <c r="AL100" s="18">
        <v>23153</v>
      </c>
      <c r="AM100" s="10" t="s">
        <v>892</v>
      </c>
      <c r="AN100" s="21" t="s">
        <v>536</v>
      </c>
      <c r="AO100" s="21" t="s">
        <v>536</v>
      </c>
      <c r="AP100" s="21" t="s">
        <v>536</v>
      </c>
      <c r="AQ100" s="21" t="s">
        <v>536</v>
      </c>
      <c r="AR100" s="21" t="s">
        <v>536</v>
      </c>
      <c r="AS100" s="21" t="s">
        <v>536</v>
      </c>
      <c r="AT100" s="21" t="s">
        <v>536</v>
      </c>
      <c r="AU100" s="21" t="s">
        <v>536</v>
      </c>
      <c r="AV100" s="21" t="s">
        <v>536</v>
      </c>
      <c r="AW100" s="21" t="s">
        <v>536</v>
      </c>
      <c r="AX100" s="21" t="s">
        <v>536</v>
      </c>
      <c r="AY100" s="21" t="s">
        <v>536</v>
      </c>
      <c r="AZ100" s="11" t="s">
        <v>689</v>
      </c>
      <c r="BA100" s="11" t="s">
        <v>786</v>
      </c>
    </row>
    <row r="101" spans="1:53" s="20" customFormat="1" ht="105" customHeight="1" x14ac:dyDescent="0.25">
      <c r="A101" s="2" t="s">
        <v>438</v>
      </c>
      <c r="B101" s="2" t="s">
        <v>4</v>
      </c>
      <c r="C101" s="903"/>
      <c r="D101" s="903"/>
      <c r="E101" s="903"/>
      <c r="F101" s="2" t="s">
        <v>35</v>
      </c>
      <c r="G101" s="903"/>
      <c r="H101" s="2" t="s">
        <v>180</v>
      </c>
      <c r="I101" s="2" t="s">
        <v>391</v>
      </c>
      <c r="J101" s="4">
        <v>42</v>
      </c>
      <c r="K101" s="3" t="s">
        <v>526</v>
      </c>
      <c r="L101" s="4">
        <v>42</v>
      </c>
      <c r="M101" s="4">
        <v>12</v>
      </c>
      <c r="N101" s="10" t="s">
        <v>391</v>
      </c>
      <c r="O101" s="33">
        <v>25</v>
      </c>
      <c r="P101" s="18">
        <v>23153</v>
      </c>
      <c r="Q101" s="21"/>
      <c r="R101" s="21"/>
      <c r="S101" s="21"/>
      <c r="T101" s="21"/>
      <c r="U101" s="18">
        <v>23153</v>
      </c>
      <c r="V101" s="21"/>
      <c r="W101" s="21"/>
      <c r="X101" s="21"/>
      <c r="Y101" s="21"/>
      <c r="Z101" s="21"/>
      <c r="AA101" s="21"/>
      <c r="AB101" s="21"/>
      <c r="AC101" s="21"/>
      <c r="AD101" s="21"/>
      <c r="AE101" s="21"/>
      <c r="AF101" s="21"/>
      <c r="AG101" s="10" t="s">
        <v>35</v>
      </c>
      <c r="AH101" s="10" t="s">
        <v>949</v>
      </c>
      <c r="AI101" s="77" t="s">
        <v>893</v>
      </c>
      <c r="AJ101" s="10" t="s">
        <v>894</v>
      </c>
      <c r="AK101" s="33">
        <v>50052</v>
      </c>
      <c r="AL101" s="18">
        <v>23153</v>
      </c>
      <c r="AM101" s="10" t="s">
        <v>895</v>
      </c>
      <c r="AN101" s="21" t="s">
        <v>536</v>
      </c>
      <c r="AO101" s="21" t="s">
        <v>536</v>
      </c>
      <c r="AP101" s="21" t="s">
        <v>536</v>
      </c>
      <c r="AQ101" s="21" t="s">
        <v>536</v>
      </c>
      <c r="AR101" s="21" t="s">
        <v>536</v>
      </c>
      <c r="AS101" s="21" t="s">
        <v>536</v>
      </c>
      <c r="AT101" s="21" t="s">
        <v>536</v>
      </c>
      <c r="AU101" s="21" t="s">
        <v>536</v>
      </c>
      <c r="AV101" s="21" t="s">
        <v>536</v>
      </c>
      <c r="AW101" s="21" t="s">
        <v>536</v>
      </c>
      <c r="AX101" s="21" t="s">
        <v>536</v>
      </c>
      <c r="AY101" s="21" t="s">
        <v>536</v>
      </c>
      <c r="AZ101" s="11" t="s">
        <v>689</v>
      </c>
      <c r="BA101" s="11" t="s">
        <v>786</v>
      </c>
    </row>
    <row r="102" spans="1:53" s="20" customFormat="1" ht="105.75" customHeight="1" x14ac:dyDescent="0.25">
      <c r="A102" s="2" t="s">
        <v>438</v>
      </c>
      <c r="B102" s="2" t="s">
        <v>4</v>
      </c>
      <c r="C102" s="903"/>
      <c r="D102" s="903"/>
      <c r="E102" s="903"/>
      <c r="F102" s="2" t="s">
        <v>35</v>
      </c>
      <c r="G102" s="903"/>
      <c r="H102" s="2" t="s">
        <v>392</v>
      </c>
      <c r="I102" s="2" t="s">
        <v>393</v>
      </c>
      <c r="J102" s="3">
        <v>0</v>
      </c>
      <c r="K102" s="3" t="s">
        <v>526</v>
      </c>
      <c r="L102" s="70">
        <v>42</v>
      </c>
      <c r="M102" s="4">
        <v>12</v>
      </c>
      <c r="N102" s="10" t="s">
        <v>393</v>
      </c>
      <c r="O102" s="33" t="s">
        <v>906</v>
      </c>
      <c r="P102" s="18">
        <v>69458</v>
      </c>
      <c r="Q102" s="21"/>
      <c r="R102" s="21"/>
      <c r="S102" s="21"/>
      <c r="T102" s="21"/>
      <c r="U102" s="18">
        <v>69458</v>
      </c>
      <c r="V102" s="21"/>
      <c r="W102" s="21"/>
      <c r="X102" s="21"/>
      <c r="Y102" s="21"/>
      <c r="Z102" s="21"/>
      <c r="AA102" s="21"/>
      <c r="AB102" s="21"/>
      <c r="AC102" s="21"/>
      <c r="AD102" s="21"/>
      <c r="AE102" s="21"/>
      <c r="AF102" s="21"/>
      <c r="AG102" s="10" t="s">
        <v>35</v>
      </c>
      <c r="AH102" s="10" t="s">
        <v>949</v>
      </c>
      <c r="AI102" s="77" t="s">
        <v>896</v>
      </c>
      <c r="AJ102" s="21" t="s">
        <v>897</v>
      </c>
      <c r="AK102" s="21" t="s">
        <v>898</v>
      </c>
      <c r="AL102" s="18">
        <v>69458</v>
      </c>
      <c r="AM102" s="10" t="s">
        <v>899</v>
      </c>
      <c r="AN102" s="21" t="s">
        <v>536</v>
      </c>
      <c r="AO102" s="21" t="s">
        <v>536</v>
      </c>
      <c r="AP102" s="21" t="s">
        <v>536</v>
      </c>
      <c r="AQ102" s="21" t="s">
        <v>536</v>
      </c>
      <c r="AR102" s="21" t="s">
        <v>536</v>
      </c>
      <c r="AS102" s="21" t="s">
        <v>536</v>
      </c>
      <c r="AT102" s="21" t="s">
        <v>536</v>
      </c>
      <c r="AU102" s="21" t="s">
        <v>536</v>
      </c>
      <c r="AV102" s="21" t="s">
        <v>536</v>
      </c>
      <c r="AW102" s="21" t="s">
        <v>536</v>
      </c>
      <c r="AX102" s="21" t="s">
        <v>536</v>
      </c>
      <c r="AY102" s="21" t="s">
        <v>536</v>
      </c>
      <c r="AZ102" s="11" t="s">
        <v>689</v>
      </c>
      <c r="BA102" s="11" t="s">
        <v>786</v>
      </c>
    </row>
    <row r="103" spans="1:53" s="20" customFormat="1" ht="255" x14ac:dyDescent="0.25">
      <c r="A103" s="2" t="s">
        <v>438</v>
      </c>
      <c r="B103" s="2" t="s">
        <v>4</v>
      </c>
      <c r="C103" s="903"/>
      <c r="D103" s="903"/>
      <c r="E103" s="903"/>
      <c r="F103" s="2" t="s">
        <v>35</v>
      </c>
      <c r="G103" s="903"/>
      <c r="H103" s="2" t="s">
        <v>394</v>
      </c>
      <c r="I103" s="2" t="s">
        <v>395</v>
      </c>
      <c r="J103" s="3">
        <v>0</v>
      </c>
      <c r="K103" s="3" t="s">
        <v>526</v>
      </c>
      <c r="L103" s="3">
        <v>1</v>
      </c>
      <c r="M103" s="3">
        <v>0.35</v>
      </c>
      <c r="N103" s="2" t="s">
        <v>395</v>
      </c>
      <c r="O103" s="36">
        <v>0.28000000000000003</v>
      </c>
      <c r="P103" s="18">
        <v>23153</v>
      </c>
      <c r="Q103" s="21"/>
      <c r="R103" s="21"/>
      <c r="S103" s="21"/>
      <c r="T103" s="21"/>
      <c r="U103" s="18">
        <v>23153</v>
      </c>
      <c r="V103" s="21"/>
      <c r="W103" s="21"/>
      <c r="X103" s="21"/>
      <c r="Y103" s="21"/>
      <c r="Z103" s="21"/>
      <c r="AA103" s="21"/>
      <c r="AB103" s="21"/>
      <c r="AC103" s="21"/>
      <c r="AD103" s="21"/>
      <c r="AE103" s="21"/>
      <c r="AF103" s="21"/>
      <c r="AG103" s="10" t="s">
        <v>863</v>
      </c>
      <c r="AH103" s="10" t="s">
        <v>949</v>
      </c>
      <c r="AI103" s="298">
        <v>42</v>
      </c>
      <c r="AJ103" s="10" t="s">
        <v>860</v>
      </c>
      <c r="AK103" s="42">
        <v>1426938</v>
      </c>
      <c r="AL103" s="18">
        <v>23153</v>
      </c>
      <c r="AM103" s="10" t="s">
        <v>948</v>
      </c>
      <c r="AN103" s="21"/>
      <c r="AO103" s="21"/>
      <c r="AP103" s="21" t="s">
        <v>536</v>
      </c>
      <c r="AQ103" s="21" t="s">
        <v>536</v>
      </c>
      <c r="AR103" s="21" t="s">
        <v>536</v>
      </c>
      <c r="AS103" s="21" t="s">
        <v>536</v>
      </c>
      <c r="AT103" s="21" t="s">
        <v>536</v>
      </c>
      <c r="AU103" s="21" t="s">
        <v>536</v>
      </c>
      <c r="AV103" s="21" t="s">
        <v>536</v>
      </c>
      <c r="AW103" s="21" t="s">
        <v>536</v>
      </c>
      <c r="AX103" s="21" t="s">
        <v>536</v>
      </c>
      <c r="AY103" s="21" t="s">
        <v>536</v>
      </c>
      <c r="AZ103" s="10" t="s">
        <v>932</v>
      </c>
      <c r="BA103" s="10" t="s">
        <v>935</v>
      </c>
    </row>
    <row r="104" spans="1:53" s="20" customFormat="1" ht="114.75" customHeight="1" x14ac:dyDescent="0.25">
      <c r="A104" s="2" t="s">
        <v>438</v>
      </c>
      <c r="B104" s="2" t="s">
        <v>4</v>
      </c>
      <c r="C104" s="2" t="s">
        <v>181</v>
      </c>
      <c r="D104" s="2" t="s">
        <v>182</v>
      </c>
      <c r="E104" s="2">
        <v>1</v>
      </c>
      <c r="F104" s="2" t="s">
        <v>38</v>
      </c>
      <c r="G104" s="903" t="s">
        <v>39</v>
      </c>
      <c r="H104" s="2" t="s">
        <v>183</v>
      </c>
      <c r="I104" s="2" t="s">
        <v>396</v>
      </c>
      <c r="J104" s="3">
        <v>1</v>
      </c>
      <c r="K104" s="3" t="s">
        <v>527</v>
      </c>
      <c r="L104" s="3">
        <v>1</v>
      </c>
      <c r="M104" s="3">
        <v>1</v>
      </c>
      <c r="N104" s="10" t="s">
        <v>396</v>
      </c>
      <c r="O104" s="29">
        <v>1</v>
      </c>
      <c r="P104" s="45">
        <v>460771</v>
      </c>
      <c r="Q104" s="10"/>
      <c r="R104" s="10"/>
      <c r="S104" s="10"/>
      <c r="T104" s="10"/>
      <c r="U104" s="66">
        <v>460771</v>
      </c>
      <c r="V104" s="10"/>
      <c r="W104" s="10"/>
      <c r="X104" s="10"/>
      <c r="Y104" s="10"/>
      <c r="Z104" s="10"/>
      <c r="AA104" s="10"/>
      <c r="AB104" s="10"/>
      <c r="AC104" s="10"/>
      <c r="AD104" s="10"/>
      <c r="AE104" s="10"/>
      <c r="AF104" s="10"/>
      <c r="AG104" s="10" t="s">
        <v>845</v>
      </c>
      <c r="AH104" s="10" t="s">
        <v>949</v>
      </c>
      <c r="AI104" s="77" t="s">
        <v>618</v>
      </c>
      <c r="AJ104" s="10" t="s">
        <v>846</v>
      </c>
      <c r="AK104" s="66">
        <v>1426938</v>
      </c>
      <c r="AL104" s="45">
        <v>460771</v>
      </c>
      <c r="AM104" s="10" t="s">
        <v>847</v>
      </c>
      <c r="AN104" s="10" t="s">
        <v>536</v>
      </c>
      <c r="AO104" s="10" t="s">
        <v>536</v>
      </c>
      <c r="AP104" s="10" t="s">
        <v>536</v>
      </c>
      <c r="AQ104" s="10" t="s">
        <v>536</v>
      </c>
      <c r="AR104" s="10" t="s">
        <v>536</v>
      </c>
      <c r="AS104" s="10" t="s">
        <v>536</v>
      </c>
      <c r="AT104" s="10" t="s">
        <v>536</v>
      </c>
      <c r="AU104" s="10" t="s">
        <v>536</v>
      </c>
      <c r="AV104" s="10" t="s">
        <v>536</v>
      </c>
      <c r="AW104" s="10" t="s">
        <v>536</v>
      </c>
      <c r="AX104" s="10" t="s">
        <v>536</v>
      </c>
      <c r="AY104" s="10" t="s">
        <v>536</v>
      </c>
      <c r="AZ104" s="10" t="s">
        <v>848</v>
      </c>
      <c r="BA104" s="10"/>
    </row>
    <row r="105" spans="1:53" s="20" customFormat="1" ht="96.75" customHeight="1" x14ac:dyDescent="0.25">
      <c r="A105" s="2" t="s">
        <v>438</v>
      </c>
      <c r="B105" s="2" t="s">
        <v>4</v>
      </c>
      <c r="C105" s="2" t="s">
        <v>184</v>
      </c>
      <c r="D105" s="2" t="s">
        <v>185</v>
      </c>
      <c r="E105" s="2">
        <v>0</v>
      </c>
      <c r="F105" s="2" t="s">
        <v>38</v>
      </c>
      <c r="G105" s="903"/>
      <c r="H105" s="2" t="s">
        <v>186</v>
      </c>
      <c r="I105" s="2" t="s">
        <v>397</v>
      </c>
      <c r="J105" s="3">
        <v>0</v>
      </c>
      <c r="K105" s="3" t="s">
        <v>526</v>
      </c>
      <c r="L105" s="3">
        <v>0.5</v>
      </c>
      <c r="M105" s="3">
        <v>0.1</v>
      </c>
      <c r="N105" s="10" t="s">
        <v>397</v>
      </c>
      <c r="O105" s="36">
        <v>0.1</v>
      </c>
      <c r="P105" s="18">
        <v>4428001.7369999997</v>
      </c>
      <c r="Q105" s="21"/>
      <c r="R105" s="21"/>
      <c r="S105" s="21"/>
      <c r="T105" s="21"/>
      <c r="U105" s="18">
        <v>2428001.7370000002</v>
      </c>
      <c r="V105" s="18">
        <v>2000000</v>
      </c>
      <c r="W105" s="21"/>
      <c r="X105" s="21"/>
      <c r="Y105" s="21"/>
      <c r="Z105" s="21"/>
      <c r="AA105" s="21"/>
      <c r="AB105" s="21"/>
      <c r="AC105" s="21"/>
      <c r="AD105" s="21"/>
      <c r="AE105" s="21"/>
      <c r="AF105" s="21"/>
      <c r="AG105" s="10" t="s">
        <v>845</v>
      </c>
      <c r="AH105" s="10" t="s">
        <v>949</v>
      </c>
      <c r="AI105" s="77" t="s">
        <v>618</v>
      </c>
      <c r="AJ105" s="10" t="s">
        <v>846</v>
      </c>
      <c r="AK105" s="66">
        <v>1426938</v>
      </c>
      <c r="AL105" s="18">
        <v>4428001.7369999997</v>
      </c>
      <c r="AM105" s="10" t="s">
        <v>849</v>
      </c>
      <c r="AN105" s="21" t="s">
        <v>850</v>
      </c>
      <c r="AO105" s="21" t="s">
        <v>850</v>
      </c>
      <c r="AP105" s="21" t="s">
        <v>850</v>
      </c>
      <c r="AQ105" s="21" t="s">
        <v>850</v>
      </c>
      <c r="AR105" s="21" t="s">
        <v>850</v>
      </c>
      <c r="AS105" s="21" t="s">
        <v>850</v>
      </c>
      <c r="AT105" s="21" t="s">
        <v>850</v>
      </c>
      <c r="AU105" s="21" t="s">
        <v>850</v>
      </c>
      <c r="AV105" s="21" t="s">
        <v>850</v>
      </c>
      <c r="AW105" s="21" t="s">
        <v>850</v>
      </c>
      <c r="AX105" s="21" t="s">
        <v>850</v>
      </c>
      <c r="AY105" s="21" t="s">
        <v>850</v>
      </c>
      <c r="AZ105" s="38" t="s">
        <v>851</v>
      </c>
      <c r="BA105" s="10" t="s">
        <v>936</v>
      </c>
    </row>
    <row r="106" spans="1:53" s="20" customFormat="1" ht="180.75" customHeight="1" x14ac:dyDescent="0.25">
      <c r="A106" s="2" t="s">
        <v>438</v>
      </c>
      <c r="B106" s="2" t="s">
        <v>4</v>
      </c>
      <c r="C106" s="2" t="s">
        <v>187</v>
      </c>
      <c r="D106" s="2" t="s">
        <v>188</v>
      </c>
      <c r="E106" s="2">
        <v>1</v>
      </c>
      <c r="F106" s="2" t="s">
        <v>38</v>
      </c>
      <c r="G106" s="903"/>
      <c r="H106" s="2" t="s">
        <v>189</v>
      </c>
      <c r="I106" s="2" t="s">
        <v>398</v>
      </c>
      <c r="J106" s="3">
        <v>1</v>
      </c>
      <c r="K106" s="3" t="s">
        <v>527</v>
      </c>
      <c r="L106" s="3">
        <v>1</v>
      </c>
      <c r="M106" s="3">
        <v>1</v>
      </c>
      <c r="N106" s="10" t="s">
        <v>398</v>
      </c>
      <c r="O106" s="74">
        <v>1</v>
      </c>
      <c r="P106" s="18">
        <v>2093196.68775</v>
      </c>
      <c r="Q106" s="21"/>
      <c r="R106" s="21"/>
      <c r="S106" s="21"/>
      <c r="T106" s="21"/>
      <c r="U106" s="18">
        <v>2093196.68775</v>
      </c>
      <c r="V106" s="21"/>
      <c r="W106" s="21"/>
      <c r="X106" s="21"/>
      <c r="Y106" s="21"/>
      <c r="Z106" s="21"/>
      <c r="AA106" s="21"/>
      <c r="AB106" s="21"/>
      <c r="AC106" s="21"/>
      <c r="AD106" s="21"/>
      <c r="AE106" s="21"/>
      <c r="AF106" s="21"/>
      <c r="AG106" s="10" t="s">
        <v>845</v>
      </c>
      <c r="AH106" s="10" t="s">
        <v>949</v>
      </c>
      <c r="AI106" s="77" t="s">
        <v>618</v>
      </c>
      <c r="AJ106" s="10" t="s">
        <v>846</v>
      </c>
      <c r="AK106" s="33">
        <v>1426938</v>
      </c>
      <c r="AL106" s="18">
        <v>2093196.68775</v>
      </c>
      <c r="AM106" s="10" t="s">
        <v>852</v>
      </c>
      <c r="AN106" s="21" t="s">
        <v>850</v>
      </c>
      <c r="AO106" s="21" t="s">
        <v>850</v>
      </c>
      <c r="AP106" s="21" t="s">
        <v>850</v>
      </c>
      <c r="AQ106" s="21" t="s">
        <v>850</v>
      </c>
      <c r="AR106" s="21" t="s">
        <v>850</v>
      </c>
      <c r="AS106" s="21" t="s">
        <v>850</v>
      </c>
      <c r="AT106" s="21" t="s">
        <v>850</v>
      </c>
      <c r="AU106" s="21" t="s">
        <v>850</v>
      </c>
      <c r="AV106" s="21" t="s">
        <v>850</v>
      </c>
      <c r="AW106" s="21" t="s">
        <v>850</v>
      </c>
      <c r="AX106" s="21" t="s">
        <v>850</v>
      </c>
      <c r="AY106" s="21" t="s">
        <v>850</v>
      </c>
      <c r="AZ106" s="38" t="s">
        <v>851</v>
      </c>
      <c r="BA106" s="10" t="s">
        <v>937</v>
      </c>
    </row>
    <row r="107" spans="1:53" s="20" customFormat="1" ht="135" customHeight="1" x14ac:dyDescent="0.25">
      <c r="A107" s="2" t="s">
        <v>438</v>
      </c>
      <c r="B107" s="2" t="s">
        <v>4</v>
      </c>
      <c r="C107" s="2" t="s">
        <v>190</v>
      </c>
      <c r="D107" s="2" t="s">
        <v>191</v>
      </c>
      <c r="E107" s="1">
        <v>1</v>
      </c>
      <c r="F107" s="2" t="s">
        <v>38</v>
      </c>
      <c r="G107" s="2" t="s">
        <v>192</v>
      </c>
      <c r="H107" s="2" t="s">
        <v>193</v>
      </c>
      <c r="I107" s="2" t="s">
        <v>399</v>
      </c>
      <c r="J107" s="5">
        <v>1</v>
      </c>
      <c r="K107" s="5" t="s">
        <v>527</v>
      </c>
      <c r="L107" s="5">
        <v>1</v>
      </c>
      <c r="M107" s="5">
        <v>1</v>
      </c>
      <c r="N107" s="2" t="s">
        <v>399</v>
      </c>
      <c r="O107" s="58">
        <v>0.42</v>
      </c>
      <c r="P107" s="18">
        <v>145398</v>
      </c>
      <c r="Q107" s="1"/>
      <c r="R107" s="1"/>
      <c r="S107" s="1"/>
      <c r="T107" s="1"/>
      <c r="U107" s="18">
        <v>145398</v>
      </c>
      <c r="V107" s="1"/>
      <c r="W107" s="1"/>
      <c r="X107" s="1"/>
      <c r="Y107" s="1"/>
      <c r="Z107" s="1"/>
      <c r="AA107" s="1"/>
      <c r="AB107" s="1"/>
      <c r="AC107" s="1"/>
      <c r="AD107" s="1"/>
      <c r="AE107" s="1"/>
      <c r="AF107" s="1"/>
      <c r="AG107" s="10" t="s">
        <v>845</v>
      </c>
      <c r="AH107" s="10" t="s">
        <v>949</v>
      </c>
      <c r="AI107" s="302" t="s">
        <v>853</v>
      </c>
      <c r="AJ107" s="2" t="s">
        <v>854</v>
      </c>
      <c r="AK107" s="6">
        <v>385337</v>
      </c>
      <c r="AL107" s="18">
        <v>145398</v>
      </c>
      <c r="AM107" s="2" t="s">
        <v>857</v>
      </c>
      <c r="AN107" s="1" t="s">
        <v>850</v>
      </c>
      <c r="AO107" s="1" t="s">
        <v>850</v>
      </c>
      <c r="AP107" s="1" t="s">
        <v>850</v>
      </c>
      <c r="AQ107" s="1" t="s">
        <v>850</v>
      </c>
      <c r="AR107" s="1" t="s">
        <v>850</v>
      </c>
      <c r="AS107" s="1" t="s">
        <v>850</v>
      </c>
      <c r="AT107" s="1" t="s">
        <v>850</v>
      </c>
      <c r="AU107" s="1" t="s">
        <v>850</v>
      </c>
      <c r="AV107" s="1" t="s">
        <v>850</v>
      </c>
      <c r="AW107" s="1" t="s">
        <v>850</v>
      </c>
      <c r="AX107" s="1" t="s">
        <v>850</v>
      </c>
      <c r="AY107" s="1" t="s">
        <v>850</v>
      </c>
      <c r="AZ107" s="46" t="s">
        <v>855</v>
      </c>
      <c r="BA107" s="2" t="s">
        <v>938</v>
      </c>
    </row>
    <row r="108" spans="1:53" s="20" customFormat="1" ht="135" customHeight="1" x14ac:dyDescent="0.25">
      <c r="A108" s="2" t="s">
        <v>438</v>
      </c>
      <c r="B108" s="2" t="s">
        <v>4</v>
      </c>
      <c r="C108" s="2" t="s">
        <v>194</v>
      </c>
      <c r="D108" s="2" t="s">
        <v>195</v>
      </c>
      <c r="E108" s="1">
        <v>0.25</v>
      </c>
      <c r="F108" s="2" t="s">
        <v>38</v>
      </c>
      <c r="G108" s="2" t="s">
        <v>196</v>
      </c>
      <c r="H108" s="2" t="s">
        <v>197</v>
      </c>
      <c r="I108" s="2" t="s">
        <v>400</v>
      </c>
      <c r="J108" s="5">
        <v>0.25</v>
      </c>
      <c r="K108" s="5" t="s">
        <v>526</v>
      </c>
      <c r="L108" s="5">
        <v>1</v>
      </c>
      <c r="M108" s="5">
        <v>0.25</v>
      </c>
      <c r="N108" s="2" t="s">
        <v>400</v>
      </c>
      <c r="O108" s="58">
        <v>0.25</v>
      </c>
      <c r="P108" s="18">
        <v>20258</v>
      </c>
      <c r="Q108" s="1"/>
      <c r="R108" s="1"/>
      <c r="S108" s="1"/>
      <c r="T108" s="1"/>
      <c r="U108" s="18">
        <v>20258</v>
      </c>
      <c r="V108" s="1"/>
      <c r="W108" s="1"/>
      <c r="X108" s="1"/>
      <c r="Y108" s="1"/>
      <c r="Z108" s="1"/>
      <c r="AA108" s="1"/>
      <c r="AB108" s="1"/>
      <c r="AC108" s="1"/>
      <c r="AD108" s="1"/>
      <c r="AE108" s="1"/>
      <c r="AF108" s="1"/>
      <c r="AG108" s="10" t="s">
        <v>845</v>
      </c>
      <c r="AH108" s="10" t="s">
        <v>949</v>
      </c>
      <c r="AI108" s="303" t="s">
        <v>618</v>
      </c>
      <c r="AJ108" s="2" t="s">
        <v>856</v>
      </c>
      <c r="AK108" s="6">
        <v>1426197</v>
      </c>
      <c r="AL108" s="18">
        <v>20258</v>
      </c>
      <c r="AM108" s="2" t="s">
        <v>858</v>
      </c>
      <c r="AN108" s="1" t="s">
        <v>850</v>
      </c>
      <c r="AO108" s="1" t="s">
        <v>850</v>
      </c>
      <c r="AP108" s="1" t="s">
        <v>850</v>
      </c>
      <c r="AQ108" s="1" t="s">
        <v>850</v>
      </c>
      <c r="AR108" s="1" t="s">
        <v>850</v>
      </c>
      <c r="AS108" s="1" t="s">
        <v>850</v>
      </c>
      <c r="AT108" s="1" t="s">
        <v>850</v>
      </c>
      <c r="AU108" s="1" t="s">
        <v>850</v>
      </c>
      <c r="AV108" s="1" t="s">
        <v>850</v>
      </c>
      <c r="AW108" s="1" t="s">
        <v>850</v>
      </c>
      <c r="AX108" s="1" t="s">
        <v>850</v>
      </c>
      <c r="AY108" s="1" t="s">
        <v>850</v>
      </c>
      <c r="AZ108" s="46" t="s">
        <v>855</v>
      </c>
      <c r="BA108" s="2" t="s">
        <v>939</v>
      </c>
    </row>
    <row r="109" spans="1:53" s="20" customFormat="1" ht="111.75" customHeight="1" x14ac:dyDescent="0.25">
      <c r="A109" s="2" t="s">
        <v>438</v>
      </c>
      <c r="B109" s="2" t="s">
        <v>4</v>
      </c>
      <c r="C109" s="2" t="s">
        <v>198</v>
      </c>
      <c r="D109" s="2" t="s">
        <v>199</v>
      </c>
      <c r="E109" s="1">
        <v>0.4</v>
      </c>
      <c r="F109" s="2" t="s">
        <v>442</v>
      </c>
      <c r="G109" s="903" t="s">
        <v>40</v>
      </c>
      <c r="H109" s="2" t="s">
        <v>200</v>
      </c>
      <c r="I109" s="2" t="s">
        <v>401</v>
      </c>
      <c r="J109" s="5">
        <v>0.1</v>
      </c>
      <c r="K109" s="5" t="s">
        <v>526</v>
      </c>
      <c r="L109" s="5">
        <v>1</v>
      </c>
      <c r="M109" s="5">
        <v>0.25</v>
      </c>
      <c r="N109" s="10" t="str">
        <f>I109</f>
        <v>Porcentaje de la red departamental de bancos de sangre con visitas de asistencia técnica para el fortalecimiento  y apoyo en la hemovigilancia  efectuados.</v>
      </c>
      <c r="O109" s="21" t="s">
        <v>622</v>
      </c>
      <c r="P109" s="33">
        <v>82150</v>
      </c>
      <c r="Q109" s="21"/>
      <c r="R109" s="21"/>
      <c r="S109" s="21"/>
      <c r="T109" s="21"/>
      <c r="U109" s="33">
        <v>82150</v>
      </c>
      <c r="V109" s="21"/>
      <c r="W109" s="21"/>
      <c r="X109" s="21"/>
      <c r="Y109" s="21"/>
      <c r="Z109" s="21"/>
      <c r="AA109" s="21"/>
      <c r="AB109" s="21"/>
      <c r="AC109" s="21"/>
      <c r="AD109" s="21"/>
      <c r="AE109" s="21"/>
      <c r="AF109" s="21"/>
      <c r="AG109" s="10" t="s">
        <v>859</v>
      </c>
      <c r="AH109" s="10" t="s">
        <v>949</v>
      </c>
      <c r="AI109" s="298">
        <v>42</v>
      </c>
      <c r="AJ109" s="10" t="s">
        <v>578</v>
      </c>
      <c r="AK109" s="66">
        <v>1426938</v>
      </c>
      <c r="AL109" s="33">
        <v>82150</v>
      </c>
      <c r="AM109" s="10" t="s">
        <v>623</v>
      </c>
      <c r="AN109" s="21"/>
      <c r="AO109" s="21" t="s">
        <v>554</v>
      </c>
      <c r="AP109" s="21" t="s">
        <v>554</v>
      </c>
      <c r="AQ109" s="21" t="s">
        <v>554</v>
      </c>
      <c r="AR109" s="21" t="s">
        <v>554</v>
      </c>
      <c r="AS109" s="21" t="s">
        <v>554</v>
      </c>
      <c r="AT109" s="21" t="s">
        <v>554</v>
      </c>
      <c r="AU109" s="21" t="s">
        <v>554</v>
      </c>
      <c r="AV109" s="21" t="s">
        <v>554</v>
      </c>
      <c r="AW109" s="21" t="s">
        <v>554</v>
      </c>
      <c r="AX109" s="21" t="s">
        <v>554</v>
      </c>
      <c r="AY109" s="21" t="s">
        <v>554</v>
      </c>
      <c r="AZ109" s="9" t="s">
        <v>624</v>
      </c>
      <c r="BA109" s="10"/>
    </row>
    <row r="110" spans="1:53" s="20" customFormat="1" ht="158.25" customHeight="1" x14ac:dyDescent="0.25">
      <c r="A110" s="2" t="s">
        <v>438</v>
      </c>
      <c r="B110" s="2" t="s">
        <v>4</v>
      </c>
      <c r="C110" s="2" t="s">
        <v>201</v>
      </c>
      <c r="D110" s="2" t="s">
        <v>202</v>
      </c>
      <c r="E110" s="1">
        <v>0.35</v>
      </c>
      <c r="F110" s="2" t="s">
        <v>442</v>
      </c>
      <c r="G110" s="903"/>
      <c r="H110" s="2" t="s">
        <v>402</v>
      </c>
      <c r="I110" s="2" t="s">
        <v>403</v>
      </c>
      <c r="J110" s="5">
        <v>0.35</v>
      </c>
      <c r="K110" s="5" t="s">
        <v>526</v>
      </c>
      <c r="L110" s="5">
        <v>1</v>
      </c>
      <c r="M110" s="5">
        <v>0.25</v>
      </c>
      <c r="N110" s="10" t="str">
        <f t="shared" ref="N110:N112" si="1">I110</f>
        <v xml:space="preserve">Porcentaje del análisis y consolidación de la participación en los programas de evaluación del desempeño del Laboratorio de salud pública y los laboratorios de la red departamental de laboratorios como apoyo a la gestión de la vigilancia en salud pública efectuado </v>
      </c>
      <c r="O110" s="21" t="s">
        <v>625</v>
      </c>
      <c r="P110" s="33">
        <v>23153</v>
      </c>
      <c r="Q110" s="21"/>
      <c r="R110" s="21"/>
      <c r="S110" s="21"/>
      <c r="T110" s="21"/>
      <c r="U110" s="33">
        <v>23153</v>
      </c>
      <c r="V110" s="21"/>
      <c r="W110" s="21"/>
      <c r="X110" s="21"/>
      <c r="Y110" s="21"/>
      <c r="Z110" s="21"/>
      <c r="AA110" s="21"/>
      <c r="AB110" s="21"/>
      <c r="AC110" s="21"/>
      <c r="AD110" s="21"/>
      <c r="AE110" s="21"/>
      <c r="AF110" s="21"/>
      <c r="AG110" s="10" t="s">
        <v>859</v>
      </c>
      <c r="AH110" s="10" t="s">
        <v>949</v>
      </c>
      <c r="AI110" s="298">
        <v>42</v>
      </c>
      <c r="AJ110" s="10" t="s">
        <v>578</v>
      </c>
      <c r="AK110" s="66">
        <v>1426938</v>
      </c>
      <c r="AL110" s="33">
        <v>23153</v>
      </c>
      <c r="AM110" s="10" t="s">
        <v>626</v>
      </c>
      <c r="AN110" s="21"/>
      <c r="AO110" s="21" t="s">
        <v>554</v>
      </c>
      <c r="AP110" s="21" t="s">
        <v>554</v>
      </c>
      <c r="AQ110" s="21" t="s">
        <v>554</v>
      </c>
      <c r="AR110" s="21" t="s">
        <v>554</v>
      </c>
      <c r="AS110" s="21" t="s">
        <v>554</v>
      </c>
      <c r="AT110" s="21" t="s">
        <v>554</v>
      </c>
      <c r="AU110" s="21" t="s">
        <v>554</v>
      </c>
      <c r="AV110" s="21" t="s">
        <v>554</v>
      </c>
      <c r="AW110" s="21" t="s">
        <v>554</v>
      </c>
      <c r="AX110" s="21" t="s">
        <v>554</v>
      </c>
      <c r="AY110" s="21" t="s">
        <v>554</v>
      </c>
      <c r="AZ110" s="9" t="s">
        <v>624</v>
      </c>
      <c r="BA110" s="10" t="s">
        <v>940</v>
      </c>
    </row>
    <row r="111" spans="1:53" s="20" customFormat="1" ht="84" customHeight="1" x14ac:dyDescent="0.25">
      <c r="A111" s="2" t="s">
        <v>438</v>
      </c>
      <c r="B111" s="2" t="s">
        <v>4</v>
      </c>
      <c r="C111" s="2" t="s">
        <v>203</v>
      </c>
      <c r="D111" s="2" t="s">
        <v>204</v>
      </c>
      <c r="E111" s="1">
        <v>0</v>
      </c>
      <c r="F111" s="2" t="s">
        <v>442</v>
      </c>
      <c r="G111" s="903"/>
      <c r="H111" s="2" t="s">
        <v>41</v>
      </c>
      <c r="I111" s="2" t="s">
        <v>404</v>
      </c>
      <c r="J111" s="5">
        <v>0</v>
      </c>
      <c r="K111" s="5" t="s">
        <v>526</v>
      </c>
      <c r="L111" s="5">
        <v>1</v>
      </c>
      <c r="M111" s="5">
        <v>0.6</v>
      </c>
      <c r="N111" s="10" t="str">
        <f t="shared" si="1"/>
        <v>Porcentaje del Laboratorio de salud publica construido.</v>
      </c>
      <c r="O111" s="21">
        <v>0</v>
      </c>
      <c r="P111" s="33">
        <v>2650000</v>
      </c>
      <c r="Q111" s="21"/>
      <c r="R111" s="21"/>
      <c r="S111" s="21"/>
      <c r="T111" s="21"/>
      <c r="U111" s="33">
        <v>0</v>
      </c>
      <c r="V111" s="33">
        <v>2650000</v>
      </c>
      <c r="W111" s="21"/>
      <c r="X111" s="21"/>
      <c r="Y111" s="21"/>
      <c r="Z111" s="21"/>
      <c r="AA111" s="21"/>
      <c r="AB111" s="21"/>
      <c r="AC111" s="21"/>
      <c r="AD111" s="21"/>
      <c r="AE111" s="21"/>
      <c r="AF111" s="21"/>
      <c r="AG111" s="10" t="s">
        <v>859</v>
      </c>
      <c r="AH111" s="10" t="s">
        <v>949</v>
      </c>
      <c r="AI111" s="298">
        <v>42</v>
      </c>
      <c r="AJ111" s="10" t="s">
        <v>578</v>
      </c>
      <c r="AK111" s="66">
        <v>1426938</v>
      </c>
      <c r="AL111" s="33">
        <v>2650000</v>
      </c>
      <c r="AM111" s="2" t="s">
        <v>627</v>
      </c>
      <c r="AN111" s="21"/>
      <c r="AO111" s="21" t="s">
        <v>554</v>
      </c>
      <c r="AP111" s="21" t="s">
        <v>554</v>
      </c>
      <c r="AQ111" s="21" t="s">
        <v>554</v>
      </c>
      <c r="AR111" s="21" t="s">
        <v>554</v>
      </c>
      <c r="AS111" s="21" t="s">
        <v>554</v>
      </c>
      <c r="AT111" s="21" t="s">
        <v>554</v>
      </c>
      <c r="AU111" s="21" t="s">
        <v>554</v>
      </c>
      <c r="AV111" s="21" t="s">
        <v>554</v>
      </c>
      <c r="AW111" s="21" t="s">
        <v>554</v>
      </c>
      <c r="AX111" s="21" t="s">
        <v>554</v>
      </c>
      <c r="AY111" s="21" t="s">
        <v>554</v>
      </c>
      <c r="AZ111" s="9" t="s">
        <v>624</v>
      </c>
      <c r="BA111" s="10"/>
    </row>
    <row r="112" spans="1:53" s="20" customFormat="1" ht="84" customHeight="1" x14ac:dyDescent="0.25">
      <c r="A112" s="2" t="s">
        <v>438</v>
      </c>
      <c r="B112" s="2" t="s">
        <v>4</v>
      </c>
      <c r="C112" s="2" t="s">
        <v>205</v>
      </c>
      <c r="D112" s="2" t="s">
        <v>206</v>
      </c>
      <c r="E112" s="1">
        <v>0</v>
      </c>
      <c r="F112" s="2" t="s">
        <v>442</v>
      </c>
      <c r="G112" s="903"/>
      <c r="H112" s="2" t="s">
        <v>207</v>
      </c>
      <c r="I112" s="2" t="s">
        <v>405</v>
      </c>
      <c r="J112" s="5">
        <v>0</v>
      </c>
      <c r="K112" s="5" t="s">
        <v>526</v>
      </c>
      <c r="L112" s="5">
        <v>0.5</v>
      </c>
      <c r="M112" s="88">
        <v>0.125</v>
      </c>
      <c r="N112" s="10" t="str">
        <f t="shared" si="1"/>
        <v>Porcentaje de parámetros analíticos  en el laboratorio de salud publica acreditadas por organismo nacional de acreditación realizados</v>
      </c>
      <c r="O112" s="21" t="s">
        <v>628</v>
      </c>
      <c r="P112" s="33">
        <v>616774</v>
      </c>
      <c r="Q112" s="21"/>
      <c r="R112" s="21"/>
      <c r="S112" s="21"/>
      <c r="T112" s="21"/>
      <c r="U112" s="33">
        <v>616774</v>
      </c>
      <c r="V112" s="21"/>
      <c r="W112" s="21"/>
      <c r="X112" s="21"/>
      <c r="Y112" s="21"/>
      <c r="Z112" s="21"/>
      <c r="AA112" s="21"/>
      <c r="AB112" s="21"/>
      <c r="AC112" s="21"/>
      <c r="AD112" s="21"/>
      <c r="AE112" s="21"/>
      <c r="AF112" s="21"/>
      <c r="AG112" s="10" t="s">
        <v>859</v>
      </c>
      <c r="AH112" s="10" t="s">
        <v>949</v>
      </c>
      <c r="AI112" s="298">
        <v>42</v>
      </c>
      <c r="AJ112" s="10" t="s">
        <v>578</v>
      </c>
      <c r="AK112" s="66">
        <v>1426938</v>
      </c>
      <c r="AL112" s="33">
        <v>616774</v>
      </c>
      <c r="AM112" s="11" t="s">
        <v>629</v>
      </c>
      <c r="AN112" s="21"/>
      <c r="AO112" s="21" t="s">
        <v>554</v>
      </c>
      <c r="AP112" s="21" t="s">
        <v>554</v>
      </c>
      <c r="AQ112" s="21" t="s">
        <v>554</v>
      </c>
      <c r="AR112" s="21" t="s">
        <v>554</v>
      </c>
      <c r="AS112" s="21" t="s">
        <v>554</v>
      </c>
      <c r="AT112" s="21" t="s">
        <v>554</v>
      </c>
      <c r="AU112" s="21" t="s">
        <v>554</v>
      </c>
      <c r="AV112" s="21" t="s">
        <v>554</v>
      </c>
      <c r="AW112" s="21" t="s">
        <v>554</v>
      </c>
      <c r="AX112" s="21" t="s">
        <v>554</v>
      </c>
      <c r="AY112" s="21" t="s">
        <v>554</v>
      </c>
      <c r="AZ112" s="9" t="s">
        <v>624</v>
      </c>
      <c r="BA112" s="10" t="s">
        <v>941</v>
      </c>
    </row>
    <row r="113" spans="1:53" s="20" customFormat="1" ht="105.75" customHeight="1" x14ac:dyDescent="0.25">
      <c r="A113" s="2" t="s">
        <v>438</v>
      </c>
      <c r="B113" s="2" t="s">
        <v>4</v>
      </c>
      <c r="C113" s="2" t="s">
        <v>252</v>
      </c>
      <c r="D113" s="2" t="s">
        <v>253</v>
      </c>
      <c r="E113" s="2" t="s">
        <v>57</v>
      </c>
      <c r="F113" s="2" t="s">
        <v>58</v>
      </c>
      <c r="G113" s="903" t="s">
        <v>254</v>
      </c>
      <c r="H113" s="2" t="s">
        <v>59</v>
      </c>
      <c r="I113" s="2" t="s">
        <v>406</v>
      </c>
      <c r="J113" s="2" t="s">
        <v>57</v>
      </c>
      <c r="K113" s="2" t="s">
        <v>527</v>
      </c>
      <c r="L113" s="62">
        <v>1</v>
      </c>
      <c r="M113" s="62">
        <v>1</v>
      </c>
      <c r="N113" s="2" t="s">
        <v>406</v>
      </c>
      <c r="O113" s="21" t="s">
        <v>861</v>
      </c>
      <c r="P113" s="18">
        <v>255007</v>
      </c>
      <c r="Q113" s="21"/>
      <c r="R113" s="21"/>
      <c r="S113" s="21"/>
      <c r="T113" s="21"/>
      <c r="U113" s="18">
        <v>255007</v>
      </c>
      <c r="V113" s="21"/>
      <c r="W113" s="21"/>
      <c r="X113" s="21"/>
      <c r="Y113" s="21"/>
      <c r="Z113" s="21"/>
      <c r="AA113" s="21"/>
      <c r="AB113" s="21"/>
      <c r="AC113" s="21"/>
      <c r="AD113" s="21"/>
      <c r="AE113" s="21"/>
      <c r="AF113" s="21"/>
      <c r="AG113" s="7" t="s">
        <v>58</v>
      </c>
      <c r="AH113" s="10" t="s">
        <v>949</v>
      </c>
      <c r="AI113" s="304" t="s">
        <v>618</v>
      </c>
      <c r="AJ113" s="10" t="s">
        <v>860</v>
      </c>
      <c r="AK113" s="33">
        <v>1426938</v>
      </c>
      <c r="AL113" s="18">
        <v>255007</v>
      </c>
      <c r="AM113" s="75" t="s">
        <v>619</v>
      </c>
      <c r="AN113" s="21" t="s">
        <v>536</v>
      </c>
      <c r="AO113" s="21" t="s">
        <v>536</v>
      </c>
      <c r="AP113" s="21" t="s">
        <v>536</v>
      </c>
      <c r="AQ113" s="21" t="s">
        <v>536</v>
      </c>
      <c r="AR113" s="21" t="s">
        <v>536</v>
      </c>
      <c r="AS113" s="21" t="s">
        <v>536</v>
      </c>
      <c r="AT113" s="21" t="s">
        <v>536</v>
      </c>
      <c r="AU113" s="21" t="s">
        <v>536</v>
      </c>
      <c r="AV113" s="21" t="s">
        <v>536</v>
      </c>
      <c r="AW113" s="21" t="s">
        <v>536</v>
      </c>
      <c r="AX113" s="21" t="s">
        <v>536</v>
      </c>
      <c r="AY113" s="21" t="s">
        <v>536</v>
      </c>
      <c r="AZ113" s="76" t="s">
        <v>620</v>
      </c>
      <c r="BA113" s="47" t="s">
        <v>942</v>
      </c>
    </row>
    <row r="114" spans="1:53" s="20" customFormat="1" ht="124.5" customHeight="1" x14ac:dyDescent="0.25">
      <c r="A114" s="2" t="s">
        <v>438</v>
      </c>
      <c r="B114" s="2" t="s">
        <v>4</v>
      </c>
      <c r="C114" s="2" t="s">
        <v>255</v>
      </c>
      <c r="D114" s="2" t="s">
        <v>256</v>
      </c>
      <c r="E114" s="2" t="s">
        <v>57</v>
      </c>
      <c r="F114" s="2" t="s">
        <v>58</v>
      </c>
      <c r="G114" s="903"/>
      <c r="H114" s="2" t="s">
        <v>257</v>
      </c>
      <c r="I114" s="2" t="s">
        <v>407</v>
      </c>
      <c r="J114" s="2" t="s">
        <v>57</v>
      </c>
      <c r="K114" s="2" t="s">
        <v>527</v>
      </c>
      <c r="L114" s="62">
        <v>0.95</v>
      </c>
      <c r="M114" s="62">
        <v>0.95</v>
      </c>
      <c r="N114" s="2" t="s">
        <v>407</v>
      </c>
      <c r="O114" s="21" t="s">
        <v>862</v>
      </c>
      <c r="P114" s="18">
        <v>260437</v>
      </c>
      <c r="Q114" s="21"/>
      <c r="R114" s="21"/>
      <c r="S114" s="21"/>
      <c r="T114" s="21"/>
      <c r="U114" s="18">
        <v>260437</v>
      </c>
      <c r="V114" s="21"/>
      <c r="W114" s="21"/>
      <c r="X114" s="21"/>
      <c r="Y114" s="21"/>
      <c r="Z114" s="21"/>
      <c r="AA114" s="21"/>
      <c r="AB114" s="21"/>
      <c r="AC114" s="21"/>
      <c r="AD114" s="21"/>
      <c r="AE114" s="21"/>
      <c r="AF114" s="21"/>
      <c r="AG114" s="7" t="s">
        <v>58</v>
      </c>
      <c r="AH114" s="10" t="s">
        <v>949</v>
      </c>
      <c r="AI114" s="304" t="s">
        <v>618</v>
      </c>
      <c r="AJ114" s="10" t="s">
        <v>860</v>
      </c>
      <c r="AK114" s="33">
        <v>1426938</v>
      </c>
      <c r="AL114" s="18">
        <v>260437</v>
      </c>
      <c r="AM114" s="75" t="s">
        <v>621</v>
      </c>
      <c r="AN114" s="21" t="s">
        <v>536</v>
      </c>
      <c r="AO114" s="21" t="s">
        <v>536</v>
      </c>
      <c r="AP114" s="21" t="s">
        <v>536</v>
      </c>
      <c r="AQ114" s="21" t="s">
        <v>536</v>
      </c>
      <c r="AR114" s="21" t="s">
        <v>536</v>
      </c>
      <c r="AS114" s="21" t="s">
        <v>536</v>
      </c>
      <c r="AT114" s="21" t="s">
        <v>536</v>
      </c>
      <c r="AU114" s="21" t="s">
        <v>536</v>
      </c>
      <c r="AV114" s="21" t="s">
        <v>536</v>
      </c>
      <c r="AW114" s="21" t="s">
        <v>536</v>
      </c>
      <c r="AX114" s="21" t="s">
        <v>536</v>
      </c>
      <c r="AY114" s="21" t="s">
        <v>536</v>
      </c>
      <c r="AZ114" s="77" t="s">
        <v>620</v>
      </c>
      <c r="BA114" s="47" t="s">
        <v>943</v>
      </c>
    </row>
    <row r="115" spans="1:53" s="20" customFormat="1" ht="285" customHeight="1" x14ac:dyDescent="0.25">
      <c r="A115" s="2" t="s">
        <v>438</v>
      </c>
      <c r="B115" s="2" t="s">
        <v>4</v>
      </c>
      <c r="C115" s="903" t="s">
        <v>42</v>
      </c>
      <c r="D115" s="903" t="s">
        <v>208</v>
      </c>
      <c r="E115" s="904">
        <v>1</v>
      </c>
      <c r="F115" s="2" t="s">
        <v>43</v>
      </c>
      <c r="G115" s="903" t="s">
        <v>44</v>
      </c>
      <c r="H115" s="2" t="s">
        <v>45</v>
      </c>
      <c r="I115" s="2" t="s">
        <v>408</v>
      </c>
      <c r="J115" s="5">
        <v>1</v>
      </c>
      <c r="K115" s="2" t="s">
        <v>527</v>
      </c>
      <c r="L115" s="5">
        <v>1</v>
      </c>
      <c r="M115" s="5">
        <v>1</v>
      </c>
      <c r="N115" s="10" t="s">
        <v>408</v>
      </c>
      <c r="O115" s="5">
        <v>1</v>
      </c>
      <c r="P115" s="18">
        <v>4732988</v>
      </c>
      <c r="Q115" s="21"/>
      <c r="R115" s="18">
        <v>4732988</v>
      </c>
      <c r="S115" s="21"/>
      <c r="T115" s="21"/>
      <c r="U115" s="21"/>
      <c r="V115" s="21"/>
      <c r="W115" s="21"/>
      <c r="X115" s="21"/>
      <c r="Y115" s="21"/>
      <c r="Z115" s="21"/>
      <c r="AA115" s="21"/>
      <c r="AB115" s="21"/>
      <c r="AC115" s="21"/>
      <c r="AD115" s="21"/>
      <c r="AE115" s="21"/>
      <c r="AF115" s="21"/>
      <c r="AG115" s="21" t="s">
        <v>557</v>
      </c>
      <c r="AH115" s="10" t="s">
        <v>556</v>
      </c>
      <c r="AI115" s="77">
        <v>42</v>
      </c>
      <c r="AJ115" s="10" t="s">
        <v>553</v>
      </c>
      <c r="AK115" s="10" t="s">
        <v>549</v>
      </c>
      <c r="AL115" s="18">
        <v>4732988</v>
      </c>
      <c r="AM115" s="10" t="s">
        <v>550</v>
      </c>
      <c r="AN115" s="21" t="s">
        <v>554</v>
      </c>
      <c r="AO115" s="21" t="s">
        <v>554</v>
      </c>
      <c r="AP115" s="21" t="s">
        <v>554</v>
      </c>
      <c r="AQ115" s="21" t="s">
        <v>554</v>
      </c>
      <c r="AR115" s="21" t="s">
        <v>554</v>
      </c>
      <c r="AS115" s="21" t="s">
        <v>554</v>
      </c>
      <c r="AT115" s="21" t="s">
        <v>554</v>
      </c>
      <c r="AU115" s="21" t="s">
        <v>554</v>
      </c>
      <c r="AV115" s="21" t="s">
        <v>554</v>
      </c>
      <c r="AW115" s="21" t="s">
        <v>554</v>
      </c>
      <c r="AX115" s="21" t="s">
        <v>554</v>
      </c>
      <c r="AY115" s="21" t="s">
        <v>554</v>
      </c>
      <c r="AZ115" s="10" t="s">
        <v>555</v>
      </c>
      <c r="BA115" s="10" t="s">
        <v>944</v>
      </c>
    </row>
    <row r="116" spans="1:53" s="20" customFormat="1" ht="285" customHeight="1" x14ac:dyDescent="0.25">
      <c r="A116" s="2" t="s">
        <v>438</v>
      </c>
      <c r="B116" s="2" t="s">
        <v>4</v>
      </c>
      <c r="C116" s="903"/>
      <c r="D116" s="903"/>
      <c r="E116" s="904"/>
      <c r="F116" s="2" t="s">
        <v>43</v>
      </c>
      <c r="G116" s="903"/>
      <c r="H116" s="2" t="s">
        <v>46</v>
      </c>
      <c r="I116" s="2" t="s">
        <v>409</v>
      </c>
      <c r="J116" s="5">
        <v>1</v>
      </c>
      <c r="K116" s="2" t="s">
        <v>527</v>
      </c>
      <c r="L116" s="5">
        <v>1</v>
      </c>
      <c r="M116" s="5">
        <v>1</v>
      </c>
      <c r="N116" s="10" t="s">
        <v>409</v>
      </c>
      <c r="O116" s="5">
        <v>1</v>
      </c>
      <c r="P116" s="18">
        <v>166000</v>
      </c>
      <c r="Q116" s="21"/>
      <c r="R116" s="18">
        <v>166000</v>
      </c>
      <c r="S116" s="21"/>
      <c r="T116" s="21"/>
      <c r="U116" s="21"/>
      <c r="V116" s="21"/>
      <c r="W116" s="21"/>
      <c r="X116" s="21"/>
      <c r="Y116" s="21"/>
      <c r="Z116" s="21"/>
      <c r="AA116" s="21"/>
      <c r="AB116" s="21"/>
      <c r="AC116" s="21"/>
      <c r="AD116" s="21"/>
      <c r="AE116" s="21"/>
      <c r="AF116" s="21"/>
      <c r="AG116" s="21" t="s">
        <v>557</v>
      </c>
      <c r="AH116" s="10" t="s">
        <v>556</v>
      </c>
      <c r="AI116" s="77">
        <v>42</v>
      </c>
      <c r="AJ116" s="10" t="s">
        <v>553</v>
      </c>
      <c r="AK116" s="10" t="s">
        <v>549</v>
      </c>
      <c r="AL116" s="18">
        <v>166000</v>
      </c>
      <c r="AM116" s="10" t="s">
        <v>551</v>
      </c>
      <c r="AN116" s="21" t="s">
        <v>554</v>
      </c>
      <c r="AO116" s="21" t="s">
        <v>554</v>
      </c>
      <c r="AP116" s="21" t="s">
        <v>554</v>
      </c>
      <c r="AQ116" s="21" t="s">
        <v>554</v>
      </c>
      <c r="AR116" s="21" t="s">
        <v>554</v>
      </c>
      <c r="AS116" s="21" t="s">
        <v>554</v>
      </c>
      <c r="AT116" s="21" t="s">
        <v>554</v>
      </c>
      <c r="AU116" s="21" t="s">
        <v>554</v>
      </c>
      <c r="AV116" s="21" t="s">
        <v>554</v>
      </c>
      <c r="AW116" s="21" t="s">
        <v>554</v>
      </c>
      <c r="AX116" s="21" t="s">
        <v>554</v>
      </c>
      <c r="AY116" s="21" t="s">
        <v>554</v>
      </c>
      <c r="AZ116" s="10" t="s">
        <v>555</v>
      </c>
      <c r="BA116" s="10" t="s">
        <v>945</v>
      </c>
    </row>
    <row r="117" spans="1:53" s="20" customFormat="1" ht="285" customHeight="1" x14ac:dyDescent="0.25">
      <c r="A117" s="2" t="s">
        <v>438</v>
      </c>
      <c r="B117" s="2" t="s">
        <v>4</v>
      </c>
      <c r="C117" s="903"/>
      <c r="D117" s="903"/>
      <c r="E117" s="904"/>
      <c r="F117" s="2" t="s">
        <v>43</v>
      </c>
      <c r="G117" s="903"/>
      <c r="H117" s="2" t="s">
        <v>47</v>
      </c>
      <c r="I117" s="2" t="s">
        <v>410</v>
      </c>
      <c r="J117" s="5">
        <v>1</v>
      </c>
      <c r="K117" s="2" t="s">
        <v>527</v>
      </c>
      <c r="L117" s="5">
        <v>1</v>
      </c>
      <c r="M117" s="5">
        <v>1</v>
      </c>
      <c r="N117" s="10" t="s">
        <v>410</v>
      </c>
      <c r="O117" s="5">
        <v>1</v>
      </c>
      <c r="P117" s="18">
        <v>255000</v>
      </c>
      <c r="Q117" s="21"/>
      <c r="R117" s="18">
        <v>255000</v>
      </c>
      <c r="S117" s="21"/>
      <c r="T117" s="21"/>
      <c r="U117" s="21"/>
      <c r="V117" s="21"/>
      <c r="W117" s="21"/>
      <c r="X117" s="21"/>
      <c r="Y117" s="21"/>
      <c r="Z117" s="21"/>
      <c r="AA117" s="21"/>
      <c r="AB117" s="21"/>
      <c r="AC117" s="21"/>
      <c r="AD117" s="21"/>
      <c r="AE117" s="21"/>
      <c r="AF117" s="21"/>
      <c r="AG117" s="21" t="s">
        <v>557</v>
      </c>
      <c r="AH117" s="10" t="s">
        <v>556</v>
      </c>
      <c r="AI117" s="77">
        <v>42</v>
      </c>
      <c r="AJ117" s="10" t="s">
        <v>553</v>
      </c>
      <c r="AK117" s="10" t="s">
        <v>549</v>
      </c>
      <c r="AL117" s="18">
        <v>255000</v>
      </c>
      <c r="AM117" s="10" t="s">
        <v>552</v>
      </c>
      <c r="AN117" s="21" t="s">
        <v>554</v>
      </c>
      <c r="AO117" s="21" t="s">
        <v>554</v>
      </c>
      <c r="AP117" s="21" t="s">
        <v>554</v>
      </c>
      <c r="AQ117" s="21" t="s">
        <v>554</v>
      </c>
      <c r="AR117" s="21" t="s">
        <v>554</v>
      </c>
      <c r="AS117" s="21" t="s">
        <v>554</v>
      </c>
      <c r="AT117" s="21" t="s">
        <v>554</v>
      </c>
      <c r="AU117" s="21" t="s">
        <v>554</v>
      </c>
      <c r="AV117" s="21" t="s">
        <v>554</v>
      </c>
      <c r="AW117" s="21" t="s">
        <v>554</v>
      </c>
      <c r="AX117" s="21" t="s">
        <v>554</v>
      </c>
      <c r="AY117" s="21" t="s">
        <v>554</v>
      </c>
      <c r="AZ117" s="10" t="s">
        <v>555</v>
      </c>
      <c r="BA117" s="10" t="s">
        <v>946</v>
      </c>
    </row>
    <row r="118" spans="1:53" s="20" customFormat="1" ht="117.75" customHeight="1" x14ac:dyDescent="0.25">
      <c r="A118" s="2" t="s">
        <v>438</v>
      </c>
      <c r="B118" s="2" t="s">
        <v>4</v>
      </c>
      <c r="C118" s="903" t="s">
        <v>209</v>
      </c>
      <c r="D118" s="903" t="s">
        <v>210</v>
      </c>
      <c r="E118" s="904">
        <v>1</v>
      </c>
      <c r="F118" s="1" t="s">
        <v>48</v>
      </c>
      <c r="G118" s="903" t="s">
        <v>49</v>
      </c>
      <c r="H118" s="1" t="s">
        <v>211</v>
      </c>
      <c r="I118" s="1" t="s">
        <v>411</v>
      </c>
      <c r="J118" s="2">
        <v>1</v>
      </c>
      <c r="K118" s="2" t="s">
        <v>527</v>
      </c>
      <c r="L118" s="62">
        <v>1</v>
      </c>
      <c r="M118" s="62">
        <v>1</v>
      </c>
      <c r="N118" s="1" t="s">
        <v>411</v>
      </c>
      <c r="O118" s="21">
        <v>100</v>
      </c>
      <c r="P118" s="18">
        <v>17693827</v>
      </c>
      <c r="Q118" s="21"/>
      <c r="R118" s="33">
        <v>6160476</v>
      </c>
      <c r="S118" s="21"/>
      <c r="T118" s="21"/>
      <c r="U118" s="33">
        <v>11533351</v>
      </c>
      <c r="V118" s="21"/>
      <c r="W118" s="21"/>
      <c r="X118" s="21"/>
      <c r="Y118" s="21"/>
      <c r="Z118" s="21"/>
      <c r="AA118" s="21"/>
      <c r="AB118" s="21"/>
      <c r="AC118" s="21"/>
      <c r="AD118" s="21"/>
      <c r="AE118" s="21"/>
      <c r="AF118" s="21"/>
      <c r="AG118" s="10" t="s">
        <v>564</v>
      </c>
      <c r="AH118" s="10" t="s">
        <v>556</v>
      </c>
      <c r="AI118" s="298">
        <v>42</v>
      </c>
      <c r="AJ118" s="10" t="s">
        <v>563</v>
      </c>
      <c r="AK118" s="33">
        <v>1426938</v>
      </c>
      <c r="AL118" s="18">
        <v>17693827</v>
      </c>
      <c r="AM118" s="7" t="s">
        <v>565</v>
      </c>
      <c r="AN118" s="21" t="s">
        <v>536</v>
      </c>
      <c r="AO118" s="21" t="s">
        <v>536</v>
      </c>
      <c r="AP118" s="21" t="s">
        <v>536</v>
      </c>
      <c r="AQ118" s="21" t="s">
        <v>536</v>
      </c>
      <c r="AR118" s="21" t="s">
        <v>536</v>
      </c>
      <c r="AS118" s="21" t="s">
        <v>536</v>
      </c>
      <c r="AT118" s="21" t="s">
        <v>536</v>
      </c>
      <c r="AU118" s="21" t="s">
        <v>536</v>
      </c>
      <c r="AV118" s="21" t="s">
        <v>536</v>
      </c>
      <c r="AW118" s="21" t="s">
        <v>536</v>
      </c>
      <c r="AX118" s="21" t="s">
        <v>536</v>
      </c>
      <c r="AY118" s="21" t="s">
        <v>536</v>
      </c>
      <c r="AZ118" s="10" t="s">
        <v>561</v>
      </c>
      <c r="BA118" s="2" t="s">
        <v>558</v>
      </c>
    </row>
    <row r="119" spans="1:53" s="20" customFormat="1" ht="132" customHeight="1" x14ac:dyDescent="0.25">
      <c r="A119" s="2" t="s">
        <v>438</v>
      </c>
      <c r="B119" s="2" t="s">
        <v>4</v>
      </c>
      <c r="C119" s="903"/>
      <c r="D119" s="903"/>
      <c r="E119" s="904"/>
      <c r="F119" s="1" t="s">
        <v>48</v>
      </c>
      <c r="G119" s="903"/>
      <c r="H119" s="1" t="s">
        <v>212</v>
      </c>
      <c r="I119" s="1" t="s">
        <v>412</v>
      </c>
      <c r="J119" s="2">
        <v>1</v>
      </c>
      <c r="K119" s="2" t="s">
        <v>527</v>
      </c>
      <c r="L119" s="62">
        <v>1</v>
      </c>
      <c r="M119" s="62">
        <v>1</v>
      </c>
      <c r="N119" s="1" t="s">
        <v>412</v>
      </c>
      <c r="O119" s="21">
        <v>100</v>
      </c>
      <c r="P119" s="18">
        <v>9019532</v>
      </c>
      <c r="Q119" s="21"/>
      <c r="R119" s="33">
        <v>0</v>
      </c>
      <c r="S119" s="21"/>
      <c r="T119" s="21"/>
      <c r="U119" s="33">
        <v>9019532</v>
      </c>
      <c r="V119" s="21"/>
      <c r="W119" s="21"/>
      <c r="X119" s="21"/>
      <c r="Y119" s="21"/>
      <c r="Z119" s="21"/>
      <c r="AA119" s="21"/>
      <c r="AB119" s="21"/>
      <c r="AC119" s="21"/>
      <c r="AD119" s="21"/>
      <c r="AE119" s="21"/>
      <c r="AF119" s="21"/>
      <c r="AG119" s="10" t="s">
        <v>564</v>
      </c>
      <c r="AH119" s="10" t="s">
        <v>556</v>
      </c>
      <c r="AI119" s="298">
        <v>42</v>
      </c>
      <c r="AJ119" s="10" t="s">
        <v>563</v>
      </c>
      <c r="AK119" s="33">
        <v>1426938</v>
      </c>
      <c r="AL119" s="18">
        <v>9019532</v>
      </c>
      <c r="AM119" s="7" t="s">
        <v>566</v>
      </c>
      <c r="AN119" s="21" t="s">
        <v>536</v>
      </c>
      <c r="AO119" s="21" t="s">
        <v>536</v>
      </c>
      <c r="AP119" s="21" t="s">
        <v>536</v>
      </c>
      <c r="AQ119" s="21" t="s">
        <v>536</v>
      </c>
      <c r="AR119" s="21" t="s">
        <v>536</v>
      </c>
      <c r="AS119" s="21" t="s">
        <v>536</v>
      </c>
      <c r="AT119" s="21" t="s">
        <v>536</v>
      </c>
      <c r="AU119" s="21" t="s">
        <v>536</v>
      </c>
      <c r="AV119" s="21" t="s">
        <v>536</v>
      </c>
      <c r="AW119" s="21" t="s">
        <v>536</v>
      </c>
      <c r="AX119" s="21" t="s">
        <v>536</v>
      </c>
      <c r="AY119" s="21" t="s">
        <v>536</v>
      </c>
      <c r="AZ119" s="10" t="s">
        <v>561</v>
      </c>
      <c r="BA119" s="2" t="s">
        <v>559</v>
      </c>
    </row>
    <row r="120" spans="1:53" s="20" customFormat="1" ht="115.5" customHeight="1" x14ac:dyDescent="0.25">
      <c r="A120" s="2" t="s">
        <v>438</v>
      </c>
      <c r="B120" s="2" t="s">
        <v>4</v>
      </c>
      <c r="C120" s="903"/>
      <c r="D120" s="903"/>
      <c r="E120" s="904"/>
      <c r="F120" s="1" t="s">
        <v>48</v>
      </c>
      <c r="G120" s="903"/>
      <c r="H120" s="1" t="s">
        <v>213</v>
      </c>
      <c r="I120" s="1" t="s">
        <v>413</v>
      </c>
      <c r="J120" s="2">
        <v>1</v>
      </c>
      <c r="K120" s="2" t="s">
        <v>527</v>
      </c>
      <c r="L120" s="62">
        <v>1</v>
      </c>
      <c r="M120" s="62">
        <v>1</v>
      </c>
      <c r="N120" s="1" t="s">
        <v>413</v>
      </c>
      <c r="O120" s="21">
        <v>100</v>
      </c>
      <c r="P120" s="18">
        <v>577785</v>
      </c>
      <c r="Q120" s="21"/>
      <c r="R120" s="33">
        <v>577785</v>
      </c>
      <c r="S120" s="21"/>
      <c r="T120" s="21"/>
      <c r="U120" s="21"/>
      <c r="V120" s="21"/>
      <c r="W120" s="21"/>
      <c r="X120" s="21"/>
      <c r="Y120" s="21"/>
      <c r="Z120" s="21"/>
      <c r="AA120" s="21"/>
      <c r="AB120" s="21"/>
      <c r="AC120" s="21"/>
      <c r="AD120" s="21"/>
      <c r="AE120" s="21"/>
      <c r="AF120" s="21"/>
      <c r="AG120" s="10" t="s">
        <v>564</v>
      </c>
      <c r="AH120" s="10" t="s">
        <v>556</v>
      </c>
      <c r="AI120" s="298">
        <v>42</v>
      </c>
      <c r="AJ120" s="10" t="s">
        <v>563</v>
      </c>
      <c r="AK120" s="33">
        <v>1426938</v>
      </c>
      <c r="AL120" s="18">
        <v>577785</v>
      </c>
      <c r="AM120" s="7" t="s">
        <v>567</v>
      </c>
      <c r="AN120" s="21" t="s">
        <v>536</v>
      </c>
      <c r="AO120" s="21" t="s">
        <v>536</v>
      </c>
      <c r="AP120" s="21" t="s">
        <v>536</v>
      </c>
      <c r="AQ120" s="21" t="s">
        <v>536</v>
      </c>
      <c r="AR120" s="21" t="s">
        <v>536</v>
      </c>
      <c r="AS120" s="21" t="s">
        <v>536</v>
      </c>
      <c r="AT120" s="21" t="s">
        <v>536</v>
      </c>
      <c r="AU120" s="21" t="s">
        <v>536</v>
      </c>
      <c r="AV120" s="21" t="s">
        <v>536</v>
      </c>
      <c r="AW120" s="21" t="s">
        <v>536</v>
      </c>
      <c r="AX120" s="21" t="s">
        <v>536</v>
      </c>
      <c r="AY120" s="21" t="s">
        <v>536</v>
      </c>
      <c r="AZ120" s="10" t="s">
        <v>561</v>
      </c>
      <c r="BA120" s="10" t="s">
        <v>560</v>
      </c>
    </row>
    <row r="121" spans="1:53" s="20" customFormat="1" ht="81" customHeight="1" x14ac:dyDescent="0.25">
      <c r="A121" s="2" t="s">
        <v>438</v>
      </c>
      <c r="B121" s="2" t="s">
        <v>4</v>
      </c>
      <c r="C121" s="903"/>
      <c r="D121" s="903"/>
      <c r="E121" s="904"/>
      <c r="F121" s="1" t="s">
        <v>48</v>
      </c>
      <c r="G121" s="903"/>
      <c r="H121" s="1" t="s">
        <v>214</v>
      </c>
      <c r="I121" s="1" t="s">
        <v>414</v>
      </c>
      <c r="J121" s="2">
        <v>1</v>
      </c>
      <c r="K121" s="2" t="s">
        <v>527</v>
      </c>
      <c r="L121" s="62">
        <v>1</v>
      </c>
      <c r="M121" s="62">
        <v>1</v>
      </c>
      <c r="N121" s="1" t="s">
        <v>414</v>
      </c>
      <c r="O121" s="21">
        <v>100</v>
      </c>
      <c r="P121" s="18">
        <v>1451765</v>
      </c>
      <c r="Q121" s="21"/>
      <c r="R121" s="33">
        <v>1451765</v>
      </c>
      <c r="S121" s="21"/>
      <c r="T121" s="21"/>
      <c r="U121" s="21"/>
      <c r="V121" s="21"/>
      <c r="W121" s="21"/>
      <c r="X121" s="21"/>
      <c r="Y121" s="21"/>
      <c r="Z121" s="21"/>
      <c r="AA121" s="21"/>
      <c r="AB121" s="21"/>
      <c r="AC121" s="21"/>
      <c r="AD121" s="21"/>
      <c r="AE121" s="21"/>
      <c r="AF121" s="21"/>
      <c r="AG121" s="10" t="s">
        <v>564</v>
      </c>
      <c r="AH121" s="10" t="s">
        <v>556</v>
      </c>
      <c r="AI121" s="298">
        <v>42</v>
      </c>
      <c r="AJ121" s="10" t="s">
        <v>563</v>
      </c>
      <c r="AK121" s="33">
        <v>1426938</v>
      </c>
      <c r="AL121" s="18">
        <v>1451765</v>
      </c>
      <c r="AM121" s="7" t="s">
        <v>568</v>
      </c>
      <c r="AN121" s="21" t="s">
        <v>536</v>
      </c>
      <c r="AO121" s="21" t="s">
        <v>536</v>
      </c>
      <c r="AP121" s="21" t="s">
        <v>536</v>
      </c>
      <c r="AQ121" s="21" t="s">
        <v>536</v>
      </c>
      <c r="AR121" s="21" t="s">
        <v>536</v>
      </c>
      <c r="AS121" s="21" t="s">
        <v>536</v>
      </c>
      <c r="AT121" s="21" t="s">
        <v>536</v>
      </c>
      <c r="AU121" s="21" t="s">
        <v>536</v>
      </c>
      <c r="AV121" s="21" t="s">
        <v>536</v>
      </c>
      <c r="AW121" s="21" t="s">
        <v>536</v>
      </c>
      <c r="AX121" s="21" t="s">
        <v>536</v>
      </c>
      <c r="AY121" s="21" t="s">
        <v>536</v>
      </c>
      <c r="AZ121" s="10" t="s">
        <v>561</v>
      </c>
      <c r="BA121" s="10" t="s">
        <v>560</v>
      </c>
    </row>
    <row r="122" spans="1:53" s="20" customFormat="1" ht="79.5" customHeight="1" x14ac:dyDescent="0.25">
      <c r="A122" s="2" t="s">
        <v>438</v>
      </c>
      <c r="B122" s="2" t="s">
        <v>4</v>
      </c>
      <c r="C122" s="1" t="s">
        <v>215</v>
      </c>
      <c r="D122" s="1" t="s">
        <v>216</v>
      </c>
      <c r="E122" s="1">
        <v>0</v>
      </c>
      <c r="F122" s="2" t="s">
        <v>50</v>
      </c>
      <c r="G122" s="903" t="s">
        <v>51</v>
      </c>
      <c r="H122" s="2" t="s">
        <v>217</v>
      </c>
      <c r="I122" s="2" t="s">
        <v>415</v>
      </c>
      <c r="J122" s="5">
        <v>0</v>
      </c>
      <c r="K122" s="5" t="s">
        <v>526</v>
      </c>
      <c r="L122" s="78">
        <v>4</v>
      </c>
      <c r="M122" s="79">
        <v>1</v>
      </c>
      <c r="N122" s="8" t="str">
        <f t="shared" ref="N122:N127" si="2">+I122</f>
        <v xml:space="preserve">Número de ESE   con  una estrategia piloto de atención integral en salud, en el marco del post conflicto, con capacidad para el desarrollo de la oferta de servicios en términos de calidad, acceso y oportunidad trabajada.
</v>
      </c>
      <c r="O122" s="48">
        <f>1+0.5+1.52</f>
        <v>3.02</v>
      </c>
      <c r="P122" s="18">
        <v>500000</v>
      </c>
      <c r="Q122" s="21"/>
      <c r="R122" s="21"/>
      <c r="S122" s="21"/>
      <c r="T122" s="21"/>
      <c r="U122" s="21"/>
      <c r="V122" s="18">
        <v>500000</v>
      </c>
      <c r="W122" s="21"/>
      <c r="X122" s="21"/>
      <c r="Y122" s="21"/>
      <c r="Z122" s="21"/>
      <c r="AA122" s="21"/>
      <c r="AB122" s="21"/>
      <c r="AC122" s="21"/>
      <c r="AD122" s="21"/>
      <c r="AE122" s="21"/>
      <c r="AF122" s="21"/>
      <c r="AG122" s="41" t="s">
        <v>50</v>
      </c>
      <c r="AH122" s="10" t="s">
        <v>556</v>
      </c>
      <c r="AI122" s="49" t="s">
        <v>569</v>
      </c>
      <c r="AJ122" s="41" t="s">
        <v>570</v>
      </c>
      <c r="AK122" s="42">
        <v>196863</v>
      </c>
      <c r="AL122" s="18">
        <v>500000</v>
      </c>
      <c r="AM122" s="50" t="s">
        <v>571</v>
      </c>
      <c r="AN122" s="21"/>
      <c r="AO122" s="43" t="s">
        <v>536</v>
      </c>
      <c r="AP122" s="43" t="s">
        <v>536</v>
      </c>
      <c r="AQ122" s="43" t="s">
        <v>536</v>
      </c>
      <c r="AR122" s="43" t="s">
        <v>536</v>
      </c>
      <c r="AS122" s="43" t="s">
        <v>536</v>
      </c>
      <c r="AT122" s="43" t="s">
        <v>536</v>
      </c>
      <c r="AU122" s="43" t="s">
        <v>536</v>
      </c>
      <c r="AV122" s="21"/>
      <c r="AW122" s="21"/>
      <c r="AX122" s="21"/>
      <c r="AY122" s="21"/>
      <c r="AZ122" s="44" t="s">
        <v>572</v>
      </c>
      <c r="BA122" s="44" t="s">
        <v>573</v>
      </c>
    </row>
    <row r="123" spans="1:53" s="20" customFormat="1" ht="98.25" customHeight="1" x14ac:dyDescent="0.25">
      <c r="A123" s="2" t="s">
        <v>438</v>
      </c>
      <c r="B123" s="2" t="s">
        <v>4</v>
      </c>
      <c r="C123" s="2" t="s">
        <v>218</v>
      </c>
      <c r="D123" s="2" t="s">
        <v>463</v>
      </c>
      <c r="E123" s="1">
        <v>0.5</v>
      </c>
      <c r="F123" s="2" t="s">
        <v>50</v>
      </c>
      <c r="G123" s="903"/>
      <c r="H123" s="2" t="s">
        <v>219</v>
      </c>
      <c r="I123" s="2" t="s">
        <v>416</v>
      </c>
      <c r="J123" s="5">
        <v>0.5</v>
      </c>
      <c r="K123" s="5" t="s">
        <v>527</v>
      </c>
      <c r="L123" s="5">
        <v>1</v>
      </c>
      <c r="M123" s="5">
        <v>1</v>
      </c>
      <c r="N123" s="8" t="str">
        <f t="shared" si="2"/>
        <v>Porcentaje de las  ESE de la Costa Pacifica y Bota Caucana con demanda de servicios de Telemedicina, para su implementación asesoradas.</v>
      </c>
      <c r="O123" s="5">
        <v>1</v>
      </c>
      <c r="P123" s="18">
        <v>65100</v>
      </c>
      <c r="Q123" s="21"/>
      <c r="R123" s="18">
        <v>65100</v>
      </c>
      <c r="S123" s="21"/>
      <c r="T123" s="21"/>
      <c r="U123" s="21"/>
      <c r="V123" s="21"/>
      <c r="W123" s="21"/>
      <c r="X123" s="21"/>
      <c r="Y123" s="21"/>
      <c r="Z123" s="21"/>
      <c r="AA123" s="21"/>
      <c r="AB123" s="21"/>
      <c r="AC123" s="21"/>
      <c r="AD123" s="21"/>
      <c r="AE123" s="21"/>
      <c r="AF123" s="21"/>
      <c r="AG123" s="41" t="s">
        <v>50</v>
      </c>
      <c r="AH123" s="10" t="s">
        <v>556</v>
      </c>
      <c r="AI123" s="39" t="s">
        <v>574</v>
      </c>
      <c r="AJ123" s="41" t="s">
        <v>575</v>
      </c>
      <c r="AK123" s="42">
        <v>80403</v>
      </c>
      <c r="AL123" s="18">
        <v>65100</v>
      </c>
      <c r="AM123" s="50" t="s">
        <v>576</v>
      </c>
      <c r="AN123" s="21"/>
      <c r="AO123" s="43" t="s">
        <v>536</v>
      </c>
      <c r="AP123" s="43" t="s">
        <v>536</v>
      </c>
      <c r="AQ123" s="43" t="s">
        <v>536</v>
      </c>
      <c r="AR123" s="43" t="s">
        <v>536</v>
      </c>
      <c r="AS123" s="43" t="s">
        <v>536</v>
      </c>
      <c r="AT123" s="21"/>
      <c r="AU123" s="21"/>
      <c r="AV123" s="21"/>
      <c r="AW123" s="21"/>
      <c r="AX123" s="21"/>
      <c r="AY123" s="21"/>
      <c r="AZ123" s="44" t="s">
        <v>572</v>
      </c>
      <c r="BA123" s="44" t="s">
        <v>577</v>
      </c>
    </row>
    <row r="124" spans="1:53" s="20" customFormat="1" ht="117.75" customHeight="1" x14ac:dyDescent="0.25">
      <c r="A124" s="2" t="s">
        <v>438</v>
      </c>
      <c r="B124" s="2" t="s">
        <v>4</v>
      </c>
      <c r="C124" s="905" t="s">
        <v>220</v>
      </c>
      <c r="D124" s="905" t="s">
        <v>221</v>
      </c>
      <c r="E124" s="908">
        <v>0.25</v>
      </c>
      <c r="F124" s="2" t="s">
        <v>50</v>
      </c>
      <c r="G124" s="903"/>
      <c r="H124" s="2" t="s">
        <v>222</v>
      </c>
      <c r="I124" s="2" t="s">
        <v>417</v>
      </c>
      <c r="J124" s="5">
        <v>0.3</v>
      </c>
      <c r="K124" s="5" t="s">
        <v>527</v>
      </c>
      <c r="L124" s="5">
        <v>1</v>
      </c>
      <c r="M124" s="5">
        <v>1</v>
      </c>
      <c r="N124" s="8" t="str">
        <f t="shared" si="2"/>
        <v>Porcentaje de las ESE  con visitas de verificación del plan de mantenimiento hospitalario efectuadas.</v>
      </c>
      <c r="O124" s="36">
        <v>1</v>
      </c>
      <c r="P124" s="18">
        <v>65100</v>
      </c>
      <c r="Q124" s="21"/>
      <c r="R124" s="18">
        <v>65100</v>
      </c>
      <c r="S124" s="21"/>
      <c r="T124" s="21"/>
      <c r="U124" s="21"/>
      <c r="V124" s="21"/>
      <c r="W124" s="21"/>
      <c r="X124" s="21"/>
      <c r="Y124" s="21"/>
      <c r="Z124" s="21"/>
      <c r="AA124" s="21"/>
      <c r="AB124" s="21"/>
      <c r="AC124" s="21"/>
      <c r="AD124" s="21"/>
      <c r="AE124" s="21"/>
      <c r="AF124" s="21"/>
      <c r="AG124" s="41" t="s">
        <v>50</v>
      </c>
      <c r="AH124" s="10" t="s">
        <v>556</v>
      </c>
      <c r="AI124" s="39">
        <v>42</v>
      </c>
      <c r="AJ124" s="41" t="s">
        <v>578</v>
      </c>
      <c r="AK124" s="42">
        <v>1426938</v>
      </c>
      <c r="AL124" s="18">
        <v>65100</v>
      </c>
      <c r="AM124" s="50" t="s">
        <v>579</v>
      </c>
      <c r="AN124" s="43" t="s">
        <v>536</v>
      </c>
      <c r="AO124" s="43" t="s">
        <v>536</v>
      </c>
      <c r="AP124" s="43" t="s">
        <v>536</v>
      </c>
      <c r="AQ124" s="43" t="s">
        <v>536</v>
      </c>
      <c r="AR124" s="43" t="s">
        <v>536</v>
      </c>
      <c r="AS124" s="43" t="s">
        <v>536</v>
      </c>
      <c r="AT124" s="43" t="s">
        <v>536</v>
      </c>
      <c r="AU124" s="43" t="s">
        <v>536</v>
      </c>
      <c r="AV124" s="43" t="s">
        <v>536</v>
      </c>
      <c r="AW124" s="43" t="s">
        <v>536</v>
      </c>
      <c r="AX124" s="43" t="s">
        <v>536</v>
      </c>
      <c r="AY124" s="43" t="s">
        <v>536</v>
      </c>
      <c r="AZ124" s="44" t="s">
        <v>580</v>
      </c>
      <c r="BA124" s="44" t="s">
        <v>581</v>
      </c>
    </row>
    <row r="125" spans="1:53" s="20" customFormat="1" ht="114" customHeight="1" x14ac:dyDescent="0.25">
      <c r="A125" s="2" t="s">
        <v>438</v>
      </c>
      <c r="B125" s="2" t="s">
        <v>4</v>
      </c>
      <c r="C125" s="906"/>
      <c r="D125" s="906"/>
      <c r="E125" s="909"/>
      <c r="F125" s="2" t="s">
        <v>50</v>
      </c>
      <c r="G125" s="903"/>
      <c r="H125" s="2" t="s">
        <v>470</v>
      </c>
      <c r="I125" s="2" t="s">
        <v>418</v>
      </c>
      <c r="J125" s="5">
        <v>0.85</v>
      </c>
      <c r="K125" s="5" t="s">
        <v>527</v>
      </c>
      <c r="L125" s="5">
        <v>1</v>
      </c>
      <c r="M125" s="5">
        <v>1</v>
      </c>
      <c r="N125" s="8" t="str">
        <f t="shared" si="2"/>
        <v>Porcentaje de las ESE  con  asesoría  y asistencia técnica  para la formulación, validación y ejecución del plan bienal del inversiones efectuada.</v>
      </c>
      <c r="O125" s="36">
        <v>1</v>
      </c>
      <c r="P125" s="18">
        <v>65100</v>
      </c>
      <c r="Q125" s="21"/>
      <c r="R125" s="18">
        <v>65100</v>
      </c>
      <c r="S125" s="21"/>
      <c r="T125" s="21"/>
      <c r="U125" s="21"/>
      <c r="V125" s="21"/>
      <c r="W125" s="21"/>
      <c r="X125" s="21"/>
      <c r="Y125" s="21"/>
      <c r="Z125" s="21"/>
      <c r="AA125" s="21"/>
      <c r="AB125" s="21"/>
      <c r="AC125" s="21"/>
      <c r="AD125" s="21"/>
      <c r="AE125" s="21"/>
      <c r="AF125" s="21"/>
      <c r="AG125" s="41" t="s">
        <v>50</v>
      </c>
      <c r="AH125" s="10" t="s">
        <v>556</v>
      </c>
      <c r="AI125" s="39">
        <v>42</v>
      </c>
      <c r="AJ125" s="41" t="s">
        <v>578</v>
      </c>
      <c r="AK125" s="42">
        <v>1426938</v>
      </c>
      <c r="AL125" s="18">
        <v>65100</v>
      </c>
      <c r="AM125" s="50" t="s">
        <v>582</v>
      </c>
      <c r="AN125" s="39" t="s">
        <v>536</v>
      </c>
      <c r="AO125" s="39" t="s">
        <v>536</v>
      </c>
      <c r="AP125" s="39" t="s">
        <v>536</v>
      </c>
      <c r="AQ125" s="39" t="s">
        <v>536</v>
      </c>
      <c r="AR125" s="39" t="s">
        <v>536</v>
      </c>
      <c r="AS125" s="39" t="s">
        <v>536</v>
      </c>
      <c r="AT125" s="39" t="s">
        <v>536</v>
      </c>
      <c r="AU125" s="39" t="s">
        <v>536</v>
      </c>
      <c r="AV125" s="39" t="s">
        <v>536</v>
      </c>
      <c r="AW125" s="39" t="s">
        <v>536</v>
      </c>
      <c r="AX125" s="39" t="s">
        <v>536</v>
      </c>
      <c r="AY125" s="39" t="s">
        <v>536</v>
      </c>
      <c r="AZ125" s="44" t="s">
        <v>580</v>
      </c>
      <c r="BA125" s="44" t="s">
        <v>581</v>
      </c>
    </row>
    <row r="126" spans="1:53" s="20" customFormat="1" ht="95.25" customHeight="1" x14ac:dyDescent="0.25">
      <c r="A126" s="2" t="s">
        <v>438</v>
      </c>
      <c r="B126" s="2" t="s">
        <v>4</v>
      </c>
      <c r="C126" s="906"/>
      <c r="D126" s="906"/>
      <c r="E126" s="909"/>
      <c r="F126" s="2" t="s">
        <v>50</v>
      </c>
      <c r="G126" s="903"/>
      <c r="H126" s="2" t="s">
        <v>223</v>
      </c>
      <c r="I126" s="2" t="s">
        <v>419</v>
      </c>
      <c r="J126" s="5">
        <v>0.9</v>
      </c>
      <c r="K126" s="5" t="s">
        <v>526</v>
      </c>
      <c r="L126" s="5">
        <v>1</v>
      </c>
      <c r="M126" s="5">
        <v>0.3</v>
      </c>
      <c r="N126" s="8" t="str">
        <f t="shared" si="2"/>
        <v>Porcentaje de las  ESE del Departamento del Cauca, asesoradas y asistidas técnicamente en la formulación y ejecución de proyectos de infraestructura y dotación hospitalaria</v>
      </c>
      <c r="O126" s="36">
        <v>0.7</v>
      </c>
      <c r="P126" s="24">
        <v>37605</v>
      </c>
      <c r="Q126" s="21"/>
      <c r="R126" s="21"/>
      <c r="S126" s="21"/>
      <c r="T126" s="21"/>
      <c r="U126" s="21"/>
      <c r="V126" s="21"/>
      <c r="W126" s="21"/>
      <c r="X126" s="21"/>
      <c r="Y126" s="21"/>
      <c r="Z126" s="21"/>
      <c r="AA126" s="24">
        <v>37605</v>
      </c>
      <c r="AB126" s="21"/>
      <c r="AC126" s="21"/>
      <c r="AD126" s="21"/>
      <c r="AE126" s="21"/>
      <c r="AF126" s="21"/>
      <c r="AG126" s="41" t="s">
        <v>50</v>
      </c>
      <c r="AH126" s="10" t="s">
        <v>556</v>
      </c>
      <c r="AI126" s="39">
        <v>42</v>
      </c>
      <c r="AJ126" s="41" t="s">
        <v>578</v>
      </c>
      <c r="AK126" s="42">
        <v>1426938</v>
      </c>
      <c r="AL126" s="24">
        <v>37605</v>
      </c>
      <c r="AM126" s="50" t="s">
        <v>583</v>
      </c>
      <c r="AN126" s="21"/>
      <c r="AO126" s="21"/>
      <c r="AP126" s="21"/>
      <c r="AQ126" s="21"/>
      <c r="AR126" s="39" t="s">
        <v>536</v>
      </c>
      <c r="AS126" s="21"/>
      <c r="AT126" s="21"/>
      <c r="AU126" s="21"/>
      <c r="AV126" s="21"/>
      <c r="AW126" s="39" t="s">
        <v>536</v>
      </c>
      <c r="AX126" s="21"/>
      <c r="AY126" s="21"/>
      <c r="AZ126" s="44" t="s">
        <v>580</v>
      </c>
      <c r="BA126" s="44" t="s">
        <v>581</v>
      </c>
    </row>
    <row r="127" spans="1:53" s="20" customFormat="1" ht="124.5" customHeight="1" x14ac:dyDescent="0.25">
      <c r="A127" s="2" t="s">
        <v>438</v>
      </c>
      <c r="B127" s="2" t="s">
        <v>4</v>
      </c>
      <c r="C127" s="907"/>
      <c r="D127" s="907"/>
      <c r="E127" s="909"/>
      <c r="F127" s="2" t="s">
        <v>50</v>
      </c>
      <c r="G127" s="903"/>
      <c r="H127" s="2" t="s">
        <v>478</v>
      </c>
      <c r="I127" s="2" t="s">
        <v>479</v>
      </c>
      <c r="J127" s="5">
        <v>0.2</v>
      </c>
      <c r="K127" s="5" t="s">
        <v>526</v>
      </c>
      <c r="L127" s="5">
        <v>0.1</v>
      </c>
      <c r="M127" s="5">
        <v>0.03</v>
      </c>
      <c r="N127" s="8" t="str">
        <f t="shared" si="2"/>
        <v>Porcentaje de la infraestructura física y la dotación hospitalaria de la red Pública del Departamento mejorada</v>
      </c>
      <c r="O127" s="51">
        <v>5.7599999999999998E-2</v>
      </c>
      <c r="P127" s="18">
        <v>10212495</v>
      </c>
      <c r="Q127" s="52">
        <v>1500000</v>
      </c>
      <c r="R127" s="21"/>
      <c r="S127" s="21"/>
      <c r="T127" s="21"/>
      <c r="U127" s="21"/>
      <c r="V127" s="52">
        <v>4298155</v>
      </c>
      <c r="W127" s="52">
        <v>4000000</v>
      </c>
      <c r="X127" s="21"/>
      <c r="Y127" s="21"/>
      <c r="Z127" s="21"/>
      <c r="AA127" s="21"/>
      <c r="AB127" s="21"/>
      <c r="AC127" s="21"/>
      <c r="AD127" s="52">
        <v>414340</v>
      </c>
      <c r="AE127" s="21"/>
      <c r="AF127" s="21"/>
      <c r="AG127" s="41" t="s">
        <v>50</v>
      </c>
      <c r="AH127" s="10" t="s">
        <v>556</v>
      </c>
      <c r="AI127" s="39">
        <v>42</v>
      </c>
      <c r="AJ127" s="41" t="s">
        <v>578</v>
      </c>
      <c r="AK127" s="42">
        <v>1426938</v>
      </c>
      <c r="AL127" s="18">
        <v>10212495</v>
      </c>
      <c r="AM127" s="50" t="s">
        <v>584</v>
      </c>
      <c r="AN127" s="39" t="s">
        <v>536</v>
      </c>
      <c r="AO127" s="39" t="s">
        <v>536</v>
      </c>
      <c r="AP127" s="39" t="s">
        <v>536</v>
      </c>
      <c r="AQ127" s="39" t="s">
        <v>536</v>
      </c>
      <c r="AR127" s="39" t="s">
        <v>536</v>
      </c>
      <c r="AS127" s="39" t="s">
        <v>536</v>
      </c>
      <c r="AT127" s="39" t="s">
        <v>536</v>
      </c>
      <c r="AU127" s="39" t="s">
        <v>536</v>
      </c>
      <c r="AV127" s="39" t="s">
        <v>536</v>
      </c>
      <c r="AW127" s="39" t="s">
        <v>536</v>
      </c>
      <c r="AX127" s="39" t="s">
        <v>536</v>
      </c>
      <c r="AY127" s="39" t="s">
        <v>536</v>
      </c>
      <c r="AZ127" s="44" t="s">
        <v>580</v>
      </c>
      <c r="BA127" s="44" t="s">
        <v>581</v>
      </c>
    </row>
    <row r="128" spans="1:53" s="20" customFormat="1" ht="125.25" customHeight="1" x14ac:dyDescent="0.25">
      <c r="A128" s="2" t="s">
        <v>438</v>
      </c>
      <c r="B128" s="2" t="s">
        <v>4</v>
      </c>
      <c r="C128" s="903" t="s">
        <v>224</v>
      </c>
      <c r="D128" s="903" t="s">
        <v>225</v>
      </c>
      <c r="E128" s="909"/>
      <c r="F128" s="2" t="s">
        <v>50</v>
      </c>
      <c r="G128" s="903"/>
      <c r="H128" s="2" t="s">
        <v>226</v>
      </c>
      <c r="I128" s="2" t="s">
        <v>420</v>
      </c>
      <c r="J128" s="5">
        <v>0.75</v>
      </c>
      <c r="K128" s="5" t="s">
        <v>527</v>
      </c>
      <c r="L128" s="5">
        <v>1</v>
      </c>
      <c r="M128" s="5">
        <v>1</v>
      </c>
      <c r="N128" s="8" t="str">
        <f>+I128</f>
        <v>Porcentaje de Peticiones, Quejas y Reclamos frente a la atención en salud,  en el SAC, tramitadas, gestionadas, favorablemente recepcionadas.</v>
      </c>
      <c r="O128" s="53">
        <v>1</v>
      </c>
      <c r="P128" s="18">
        <v>65100</v>
      </c>
      <c r="Q128" s="21"/>
      <c r="R128" s="18">
        <v>65100</v>
      </c>
      <c r="S128" s="21"/>
      <c r="T128" s="21"/>
      <c r="U128" s="21"/>
      <c r="V128" s="21"/>
      <c r="W128" s="21"/>
      <c r="X128" s="21"/>
      <c r="Y128" s="21"/>
      <c r="Z128" s="21"/>
      <c r="AA128" s="21"/>
      <c r="AB128" s="21"/>
      <c r="AC128" s="21"/>
      <c r="AD128" s="21"/>
      <c r="AE128" s="21"/>
      <c r="AF128" s="21"/>
      <c r="AG128" s="41" t="s">
        <v>50</v>
      </c>
      <c r="AH128" s="10" t="s">
        <v>556</v>
      </c>
      <c r="AI128" s="43">
        <v>42</v>
      </c>
      <c r="AJ128" s="41" t="s">
        <v>578</v>
      </c>
      <c r="AK128" s="42">
        <v>1426938</v>
      </c>
      <c r="AL128" s="18">
        <v>65100</v>
      </c>
      <c r="AM128" s="41" t="s">
        <v>585</v>
      </c>
      <c r="AN128" s="43" t="s">
        <v>536</v>
      </c>
      <c r="AO128" s="43" t="s">
        <v>536</v>
      </c>
      <c r="AP128" s="43" t="s">
        <v>536</v>
      </c>
      <c r="AQ128" s="43" t="s">
        <v>536</v>
      </c>
      <c r="AR128" s="43" t="s">
        <v>536</v>
      </c>
      <c r="AS128" s="43" t="s">
        <v>536</v>
      </c>
      <c r="AT128" s="43" t="s">
        <v>536</v>
      </c>
      <c r="AU128" s="43" t="s">
        <v>536</v>
      </c>
      <c r="AV128" s="43" t="s">
        <v>536</v>
      </c>
      <c r="AW128" s="43" t="s">
        <v>536</v>
      </c>
      <c r="AX128" s="43" t="s">
        <v>536</v>
      </c>
      <c r="AY128" s="43" t="s">
        <v>536</v>
      </c>
      <c r="AZ128" s="44" t="s">
        <v>586</v>
      </c>
      <c r="BA128" s="44" t="s">
        <v>581</v>
      </c>
    </row>
    <row r="129" spans="1:53" s="20" customFormat="1" ht="125.25" customHeight="1" x14ac:dyDescent="0.25">
      <c r="A129" s="2" t="s">
        <v>438</v>
      </c>
      <c r="B129" s="2" t="s">
        <v>4</v>
      </c>
      <c r="C129" s="903"/>
      <c r="D129" s="903"/>
      <c r="E129" s="910"/>
      <c r="F129" s="2" t="s">
        <v>50</v>
      </c>
      <c r="G129" s="903"/>
      <c r="H129" s="2" t="s">
        <v>52</v>
      </c>
      <c r="I129" s="2" t="s">
        <v>421</v>
      </c>
      <c r="J129" s="5">
        <v>0.15</v>
      </c>
      <c r="K129" s="5" t="s">
        <v>526</v>
      </c>
      <c r="L129" s="5">
        <v>0.25</v>
      </c>
      <c r="M129" s="5">
        <v>7.0000000000000007E-2</v>
      </c>
      <c r="N129" s="8" t="str">
        <f t="shared" ref="N129:N133" si="3">+I129</f>
        <v>Porcentaje de la participación de los usuarios en la presentación de PQR incrementadas.</v>
      </c>
      <c r="O129" s="54">
        <v>0.18</v>
      </c>
      <c r="P129" s="18">
        <v>65100</v>
      </c>
      <c r="Q129" s="21"/>
      <c r="R129" s="18">
        <v>65100</v>
      </c>
      <c r="S129" s="21"/>
      <c r="T129" s="21"/>
      <c r="U129" s="21"/>
      <c r="V129" s="21"/>
      <c r="W129" s="21"/>
      <c r="X129" s="21"/>
      <c r="Y129" s="21"/>
      <c r="Z129" s="21"/>
      <c r="AA129" s="21"/>
      <c r="AB129" s="21"/>
      <c r="AC129" s="21"/>
      <c r="AD129" s="21"/>
      <c r="AE129" s="21"/>
      <c r="AF129" s="21"/>
      <c r="AG129" s="41" t="s">
        <v>50</v>
      </c>
      <c r="AH129" s="10" t="s">
        <v>556</v>
      </c>
      <c r="AI129" s="43">
        <v>42</v>
      </c>
      <c r="AJ129" s="41" t="s">
        <v>578</v>
      </c>
      <c r="AK129" s="42">
        <v>1426938</v>
      </c>
      <c r="AL129" s="18">
        <v>65100</v>
      </c>
      <c r="AM129" s="41" t="s">
        <v>587</v>
      </c>
      <c r="AN129" s="43" t="s">
        <v>536</v>
      </c>
      <c r="AO129" s="43" t="s">
        <v>536</v>
      </c>
      <c r="AP129" s="43" t="s">
        <v>536</v>
      </c>
      <c r="AQ129" s="43" t="s">
        <v>536</v>
      </c>
      <c r="AR129" s="43" t="s">
        <v>536</v>
      </c>
      <c r="AS129" s="43" t="s">
        <v>536</v>
      </c>
      <c r="AT129" s="43" t="s">
        <v>536</v>
      </c>
      <c r="AU129" s="43" t="s">
        <v>536</v>
      </c>
      <c r="AV129" s="43" t="s">
        <v>536</v>
      </c>
      <c r="AW129" s="43" t="s">
        <v>536</v>
      </c>
      <c r="AX129" s="43" t="s">
        <v>536</v>
      </c>
      <c r="AY129" s="43" t="s">
        <v>536</v>
      </c>
      <c r="AZ129" s="44" t="s">
        <v>586</v>
      </c>
      <c r="BA129" s="44" t="s">
        <v>581</v>
      </c>
    </row>
    <row r="130" spans="1:53" s="20" customFormat="1" ht="131.25" customHeight="1" x14ac:dyDescent="0.25">
      <c r="A130" s="2" t="s">
        <v>438</v>
      </c>
      <c r="B130" s="2" t="s">
        <v>4</v>
      </c>
      <c r="C130" s="903" t="s">
        <v>227</v>
      </c>
      <c r="D130" s="903" t="s">
        <v>228</v>
      </c>
      <c r="E130" s="904">
        <v>0.4</v>
      </c>
      <c r="F130" s="2" t="s">
        <v>50</v>
      </c>
      <c r="G130" s="903"/>
      <c r="H130" s="2" t="s">
        <v>229</v>
      </c>
      <c r="I130" s="2" t="s">
        <v>422</v>
      </c>
      <c r="J130" s="5">
        <v>1</v>
      </c>
      <c r="K130" s="5" t="s">
        <v>527</v>
      </c>
      <c r="L130" s="5">
        <v>1</v>
      </c>
      <c r="M130" s="5">
        <v>1</v>
      </c>
      <c r="N130" s="8" t="str">
        <f t="shared" si="3"/>
        <v>Porcentaje de las ESE  con Información del Decreto 2193 de 2004, enviado al MSPS en los periodos establecidos: Trimestral, Semestral y Anual entregada.</v>
      </c>
      <c r="O130" s="55">
        <v>1</v>
      </c>
      <c r="P130" s="18">
        <v>130200</v>
      </c>
      <c r="Q130" s="21"/>
      <c r="R130" s="18">
        <v>130200</v>
      </c>
      <c r="S130" s="21"/>
      <c r="T130" s="21"/>
      <c r="U130" s="21"/>
      <c r="V130" s="21"/>
      <c r="W130" s="21"/>
      <c r="X130" s="21"/>
      <c r="Y130" s="21"/>
      <c r="Z130" s="21"/>
      <c r="AA130" s="21"/>
      <c r="AB130" s="21"/>
      <c r="AC130" s="21"/>
      <c r="AD130" s="21"/>
      <c r="AE130" s="21"/>
      <c r="AF130" s="21"/>
      <c r="AG130" s="41" t="s">
        <v>50</v>
      </c>
      <c r="AH130" s="10" t="s">
        <v>556</v>
      </c>
      <c r="AI130" s="39">
        <v>42</v>
      </c>
      <c r="AJ130" s="41" t="s">
        <v>578</v>
      </c>
      <c r="AK130" s="42">
        <v>1426938</v>
      </c>
      <c r="AL130" s="18">
        <v>130200</v>
      </c>
      <c r="AM130" s="41" t="s">
        <v>588</v>
      </c>
      <c r="AN130" s="39" t="s">
        <v>589</v>
      </c>
      <c r="AO130" s="39" t="s">
        <v>536</v>
      </c>
      <c r="AP130" s="39" t="s">
        <v>536</v>
      </c>
      <c r="AQ130" s="39"/>
      <c r="AR130" s="39" t="s">
        <v>536</v>
      </c>
      <c r="AS130" s="39"/>
      <c r="AT130" s="39"/>
      <c r="AU130" s="39" t="s">
        <v>536</v>
      </c>
      <c r="AV130" s="39"/>
      <c r="AW130" s="39"/>
      <c r="AX130" s="39" t="s">
        <v>536</v>
      </c>
      <c r="AY130" s="39"/>
      <c r="AZ130" s="44" t="s">
        <v>590</v>
      </c>
      <c r="BA130" s="44" t="s">
        <v>581</v>
      </c>
    </row>
    <row r="131" spans="1:53" s="20" customFormat="1" ht="83.25" customHeight="1" x14ac:dyDescent="0.25">
      <c r="A131" s="2" t="s">
        <v>438</v>
      </c>
      <c r="B131" s="2" t="s">
        <v>4</v>
      </c>
      <c r="C131" s="903"/>
      <c r="D131" s="903"/>
      <c r="E131" s="904"/>
      <c r="F131" s="2" t="s">
        <v>50</v>
      </c>
      <c r="G131" s="903"/>
      <c r="H131" s="2" t="s">
        <v>423</v>
      </c>
      <c r="I131" s="2" t="s">
        <v>424</v>
      </c>
      <c r="J131" s="5">
        <v>1</v>
      </c>
      <c r="K131" s="5" t="s">
        <v>527</v>
      </c>
      <c r="L131" s="5">
        <v>1</v>
      </c>
      <c r="M131" s="5">
        <v>1</v>
      </c>
      <c r="N131" s="8" t="str">
        <f t="shared" si="3"/>
        <v xml:space="preserve">Porcentaje de las  ESE del Departamento en  Desempeño Semestrales y Anuales (ESE en convenio y sin convenio), en indicadores Financieros, Contables de Producción y Calidad de los servicios de salud evaluados </v>
      </c>
      <c r="O131" s="56">
        <v>1</v>
      </c>
      <c r="P131" s="18">
        <v>65100</v>
      </c>
      <c r="Q131" s="21"/>
      <c r="R131" s="18">
        <v>65100</v>
      </c>
      <c r="S131" s="21"/>
      <c r="T131" s="21"/>
      <c r="U131" s="21"/>
      <c r="V131" s="21"/>
      <c r="W131" s="21"/>
      <c r="X131" s="21"/>
      <c r="Y131" s="21"/>
      <c r="Z131" s="21"/>
      <c r="AA131" s="21"/>
      <c r="AB131" s="21"/>
      <c r="AC131" s="21"/>
      <c r="AD131" s="21"/>
      <c r="AE131" s="21"/>
      <c r="AF131" s="21"/>
      <c r="AG131" s="41" t="s">
        <v>50</v>
      </c>
      <c r="AH131" s="10" t="s">
        <v>556</v>
      </c>
      <c r="AI131" s="39">
        <v>42</v>
      </c>
      <c r="AJ131" s="41" t="s">
        <v>578</v>
      </c>
      <c r="AK131" s="42">
        <v>1426938</v>
      </c>
      <c r="AL131" s="18">
        <v>65100</v>
      </c>
      <c r="AM131" s="41" t="s">
        <v>591</v>
      </c>
      <c r="AN131" s="39" t="s">
        <v>589</v>
      </c>
      <c r="AO131" s="39"/>
      <c r="AP131" s="39"/>
      <c r="AQ131" s="39"/>
      <c r="AR131" s="39" t="s">
        <v>536</v>
      </c>
      <c r="AS131" s="39"/>
      <c r="AT131" s="39"/>
      <c r="AU131" s="39"/>
      <c r="AV131" s="39" t="s">
        <v>536</v>
      </c>
      <c r="AW131" s="39"/>
      <c r="AX131" s="39"/>
      <c r="AY131" s="39"/>
      <c r="AZ131" s="44" t="s">
        <v>590</v>
      </c>
      <c r="BA131" s="44" t="s">
        <v>581</v>
      </c>
    </row>
    <row r="132" spans="1:53" s="20" customFormat="1" ht="102" customHeight="1" x14ac:dyDescent="0.25">
      <c r="A132" s="2" t="s">
        <v>438</v>
      </c>
      <c r="B132" s="2" t="s">
        <v>4</v>
      </c>
      <c r="C132" s="903"/>
      <c r="D132" s="903"/>
      <c r="E132" s="904"/>
      <c r="F132" s="2" t="s">
        <v>50</v>
      </c>
      <c r="G132" s="903"/>
      <c r="H132" s="2" t="s">
        <v>230</v>
      </c>
      <c r="I132" s="2" t="s">
        <v>425</v>
      </c>
      <c r="J132" s="5">
        <v>1</v>
      </c>
      <c r="K132" s="5" t="s">
        <v>527</v>
      </c>
      <c r="L132" s="5">
        <v>1</v>
      </c>
      <c r="M132" s="5">
        <v>1</v>
      </c>
      <c r="N132" s="8" t="str">
        <f t="shared" si="3"/>
        <v>Porcentaje de los presupuestos  para la vigencia siguiente con revisión y asistencia técnica para su aprobación formulados.</v>
      </c>
      <c r="O132" s="55">
        <v>1</v>
      </c>
      <c r="P132" s="18">
        <v>65100</v>
      </c>
      <c r="Q132" s="21"/>
      <c r="R132" s="18">
        <v>65100</v>
      </c>
      <c r="S132" s="21"/>
      <c r="T132" s="21"/>
      <c r="U132" s="21"/>
      <c r="V132" s="21"/>
      <c r="W132" s="21"/>
      <c r="X132" s="21"/>
      <c r="Y132" s="21"/>
      <c r="Z132" s="21"/>
      <c r="AA132" s="21"/>
      <c r="AB132" s="21"/>
      <c r="AC132" s="21"/>
      <c r="AD132" s="21"/>
      <c r="AE132" s="21"/>
      <c r="AF132" s="21"/>
      <c r="AG132" s="41" t="s">
        <v>50</v>
      </c>
      <c r="AH132" s="10" t="s">
        <v>556</v>
      </c>
      <c r="AI132" s="39">
        <v>42</v>
      </c>
      <c r="AJ132" s="41" t="s">
        <v>578</v>
      </c>
      <c r="AK132" s="42">
        <v>1426938</v>
      </c>
      <c r="AL132" s="18">
        <v>65100</v>
      </c>
      <c r="AM132" s="41" t="s">
        <v>592</v>
      </c>
      <c r="AN132" s="39" t="s">
        <v>589</v>
      </c>
      <c r="AO132" s="39"/>
      <c r="AP132" s="39"/>
      <c r="AQ132" s="39"/>
      <c r="AR132" s="39"/>
      <c r="AS132" s="39"/>
      <c r="AT132" s="39"/>
      <c r="AU132" s="39"/>
      <c r="AV132" s="39" t="s">
        <v>536</v>
      </c>
      <c r="AW132" s="39" t="s">
        <v>536</v>
      </c>
      <c r="AX132" s="39"/>
      <c r="AY132" s="39"/>
      <c r="AZ132" s="44" t="s">
        <v>590</v>
      </c>
      <c r="BA132" s="44" t="s">
        <v>581</v>
      </c>
    </row>
    <row r="133" spans="1:53" s="20" customFormat="1" ht="100.5" customHeight="1" x14ac:dyDescent="0.25">
      <c r="A133" s="2" t="s">
        <v>438</v>
      </c>
      <c r="B133" s="2" t="s">
        <v>4</v>
      </c>
      <c r="C133" s="903"/>
      <c r="D133" s="903"/>
      <c r="E133" s="904"/>
      <c r="F133" s="2" t="s">
        <v>50</v>
      </c>
      <c r="G133" s="903"/>
      <c r="H133" s="1" t="s">
        <v>55</v>
      </c>
      <c r="I133" s="2" t="s">
        <v>426</v>
      </c>
      <c r="J133" s="5">
        <v>1</v>
      </c>
      <c r="K133" s="5" t="s">
        <v>527</v>
      </c>
      <c r="L133" s="5">
        <v>1</v>
      </c>
      <c r="M133" s="5">
        <v>1</v>
      </c>
      <c r="N133" s="8" t="str">
        <f t="shared" si="3"/>
        <v>Porcentaje de  los Planes de Gestión de los Gerentes de las Empresas Sociales del Estado del Departamento revisados.</v>
      </c>
      <c r="O133" s="56">
        <v>1</v>
      </c>
      <c r="P133" s="18">
        <v>65100</v>
      </c>
      <c r="Q133" s="21"/>
      <c r="R133" s="18">
        <v>65100</v>
      </c>
      <c r="S133" s="21"/>
      <c r="T133" s="21"/>
      <c r="U133" s="21"/>
      <c r="V133" s="21"/>
      <c r="W133" s="21"/>
      <c r="X133" s="21"/>
      <c r="Y133" s="21"/>
      <c r="Z133" s="21"/>
      <c r="AA133" s="21"/>
      <c r="AB133" s="21"/>
      <c r="AC133" s="21"/>
      <c r="AD133" s="21"/>
      <c r="AE133" s="21"/>
      <c r="AF133" s="21"/>
      <c r="AG133" s="41" t="s">
        <v>50</v>
      </c>
      <c r="AH133" s="10" t="s">
        <v>556</v>
      </c>
      <c r="AI133" s="39">
        <v>42</v>
      </c>
      <c r="AJ133" s="41" t="s">
        <v>578</v>
      </c>
      <c r="AK133" s="42">
        <v>1426938</v>
      </c>
      <c r="AL133" s="18">
        <v>65100</v>
      </c>
      <c r="AM133" s="41" t="s">
        <v>593</v>
      </c>
      <c r="AN133" s="39" t="s">
        <v>589</v>
      </c>
      <c r="AO133" s="39"/>
      <c r="AP133" s="39" t="s">
        <v>536</v>
      </c>
      <c r="AQ133" s="39" t="s">
        <v>536</v>
      </c>
      <c r="AR133" s="39"/>
      <c r="AS133" s="39"/>
      <c r="AT133" s="39"/>
      <c r="AU133" s="39"/>
      <c r="AV133" s="39"/>
      <c r="AW133" s="39"/>
      <c r="AX133" s="39"/>
      <c r="AY133" s="39"/>
      <c r="AZ133" s="44" t="s">
        <v>590</v>
      </c>
      <c r="BA133" s="44" t="s">
        <v>581</v>
      </c>
    </row>
    <row r="134" spans="1:53" s="20" customFormat="1" ht="106.5" customHeight="1" x14ac:dyDescent="0.25">
      <c r="A134" s="2" t="s">
        <v>438</v>
      </c>
      <c r="B134" s="2" t="s">
        <v>4</v>
      </c>
      <c r="C134" s="2" t="s">
        <v>231</v>
      </c>
      <c r="D134" s="2" t="s">
        <v>232</v>
      </c>
      <c r="E134" s="2">
        <v>0.9</v>
      </c>
      <c r="F134" s="2" t="s">
        <v>56</v>
      </c>
      <c r="G134" s="2" t="s">
        <v>233</v>
      </c>
      <c r="H134" s="2" t="s">
        <v>234</v>
      </c>
      <c r="I134" s="2" t="s">
        <v>427</v>
      </c>
      <c r="J134" s="1">
        <v>1</v>
      </c>
      <c r="K134" s="5" t="s">
        <v>527</v>
      </c>
      <c r="L134" s="58">
        <v>1</v>
      </c>
      <c r="M134" s="58">
        <v>1</v>
      </c>
      <c r="N134" s="2" t="s">
        <v>427</v>
      </c>
      <c r="O134" s="21"/>
      <c r="P134" s="80">
        <v>117884</v>
      </c>
      <c r="Q134" s="21"/>
      <c r="R134" s="80">
        <v>117884</v>
      </c>
      <c r="S134" s="21"/>
      <c r="T134" s="21"/>
      <c r="U134" s="21"/>
      <c r="V134" s="21"/>
      <c r="W134" s="21"/>
      <c r="X134" s="21"/>
      <c r="Y134" s="21"/>
      <c r="Z134" s="21"/>
      <c r="AA134" s="21"/>
      <c r="AB134" s="21"/>
      <c r="AC134" s="21"/>
      <c r="AD134" s="21"/>
      <c r="AE134" s="21"/>
      <c r="AF134" s="21"/>
      <c r="AG134" s="2" t="s">
        <v>56</v>
      </c>
      <c r="AH134" s="10" t="s">
        <v>556</v>
      </c>
      <c r="AI134" s="298">
        <v>42</v>
      </c>
      <c r="AJ134" s="21">
        <v>7</v>
      </c>
      <c r="AK134" s="21" t="s">
        <v>594</v>
      </c>
      <c r="AL134" s="80">
        <v>117884</v>
      </c>
      <c r="AM134" s="81" t="s">
        <v>595</v>
      </c>
      <c r="AN134" s="21" t="s">
        <v>554</v>
      </c>
      <c r="AO134" s="21" t="s">
        <v>554</v>
      </c>
      <c r="AP134" s="21" t="s">
        <v>554</v>
      </c>
      <c r="AQ134" s="21" t="s">
        <v>554</v>
      </c>
      <c r="AR134" s="21" t="s">
        <v>554</v>
      </c>
      <c r="AS134" s="21" t="s">
        <v>554</v>
      </c>
      <c r="AT134" s="21" t="s">
        <v>554</v>
      </c>
      <c r="AU134" s="21" t="s">
        <v>554</v>
      </c>
      <c r="AV134" s="21" t="s">
        <v>554</v>
      </c>
      <c r="AW134" s="21" t="s">
        <v>554</v>
      </c>
      <c r="AX134" s="21" t="s">
        <v>554</v>
      </c>
      <c r="AY134" s="21" t="s">
        <v>554</v>
      </c>
      <c r="AZ134" s="2" t="s">
        <v>596</v>
      </c>
      <c r="BA134" s="21"/>
    </row>
    <row r="135" spans="1:53" s="20" customFormat="1" ht="49.5" customHeight="1" x14ac:dyDescent="0.25">
      <c r="A135" s="2" t="s">
        <v>438</v>
      </c>
      <c r="B135" s="2" t="s">
        <v>4</v>
      </c>
      <c r="C135" s="2" t="s">
        <v>235</v>
      </c>
      <c r="D135" s="2" t="s">
        <v>236</v>
      </c>
      <c r="E135" s="1">
        <v>1</v>
      </c>
      <c r="F135" s="2" t="s">
        <v>56</v>
      </c>
      <c r="G135" s="2"/>
      <c r="H135" s="2" t="s">
        <v>237</v>
      </c>
      <c r="I135" s="2" t="s">
        <v>428</v>
      </c>
      <c r="J135" s="1">
        <v>1</v>
      </c>
      <c r="K135" s="5" t="s">
        <v>527</v>
      </c>
      <c r="L135" s="58">
        <v>1</v>
      </c>
      <c r="M135" s="58">
        <v>1</v>
      </c>
      <c r="N135" s="2" t="s">
        <v>428</v>
      </c>
      <c r="O135" s="21"/>
      <c r="P135" s="80">
        <v>23577</v>
      </c>
      <c r="Q135" s="21"/>
      <c r="R135" s="80">
        <v>23577</v>
      </c>
      <c r="S135" s="21"/>
      <c r="T135" s="21"/>
      <c r="U135" s="21"/>
      <c r="V135" s="21"/>
      <c r="W135" s="21"/>
      <c r="X135" s="21"/>
      <c r="Y135" s="21"/>
      <c r="Z135" s="21"/>
      <c r="AA135" s="21"/>
      <c r="AB135" s="21"/>
      <c r="AC135" s="21"/>
      <c r="AD135" s="21"/>
      <c r="AE135" s="21"/>
      <c r="AF135" s="21"/>
      <c r="AG135" s="2" t="s">
        <v>56</v>
      </c>
      <c r="AH135" s="10" t="s">
        <v>556</v>
      </c>
      <c r="AI135" s="298">
        <v>42</v>
      </c>
      <c r="AJ135" s="21">
        <v>7</v>
      </c>
      <c r="AK135" s="21" t="s">
        <v>594</v>
      </c>
      <c r="AL135" s="80">
        <v>23577</v>
      </c>
      <c r="AM135" s="2" t="s">
        <v>597</v>
      </c>
      <c r="AN135" s="21" t="s">
        <v>554</v>
      </c>
      <c r="AO135" s="21" t="s">
        <v>554</v>
      </c>
      <c r="AP135" s="21" t="s">
        <v>554</v>
      </c>
      <c r="AQ135" s="21" t="s">
        <v>554</v>
      </c>
      <c r="AR135" s="21" t="s">
        <v>554</v>
      </c>
      <c r="AS135" s="21" t="s">
        <v>554</v>
      </c>
      <c r="AT135" s="21" t="s">
        <v>554</v>
      </c>
      <c r="AU135" s="21" t="s">
        <v>554</v>
      </c>
      <c r="AV135" s="21" t="s">
        <v>554</v>
      </c>
      <c r="AW135" s="21" t="s">
        <v>554</v>
      </c>
      <c r="AX135" s="21" t="s">
        <v>554</v>
      </c>
      <c r="AY135" s="21" t="s">
        <v>554</v>
      </c>
      <c r="AZ135" s="2" t="s">
        <v>598</v>
      </c>
      <c r="BA135" s="21"/>
    </row>
    <row r="136" spans="1:53" s="20" customFormat="1" ht="57.75" customHeight="1" x14ac:dyDescent="0.25">
      <c r="A136" s="2" t="s">
        <v>438</v>
      </c>
      <c r="B136" s="2" t="s">
        <v>4</v>
      </c>
      <c r="C136" s="2" t="s">
        <v>238</v>
      </c>
      <c r="D136" s="2" t="s">
        <v>239</v>
      </c>
      <c r="E136" s="1">
        <v>1</v>
      </c>
      <c r="F136" s="2" t="s">
        <v>56</v>
      </c>
      <c r="G136" s="905" t="s">
        <v>233</v>
      </c>
      <c r="H136" s="2" t="s">
        <v>240</v>
      </c>
      <c r="I136" s="2" t="s">
        <v>429</v>
      </c>
      <c r="J136" s="1">
        <v>1</v>
      </c>
      <c r="K136" s="5" t="s">
        <v>527</v>
      </c>
      <c r="L136" s="58">
        <v>1</v>
      </c>
      <c r="M136" s="58">
        <v>1</v>
      </c>
      <c r="N136" s="2" t="s">
        <v>429</v>
      </c>
      <c r="O136" s="21"/>
      <c r="P136" s="80">
        <v>176827</v>
      </c>
      <c r="Q136" s="21"/>
      <c r="R136" s="80">
        <v>176827</v>
      </c>
      <c r="S136" s="21"/>
      <c r="T136" s="21"/>
      <c r="U136" s="21"/>
      <c r="V136" s="21"/>
      <c r="W136" s="21"/>
      <c r="X136" s="21"/>
      <c r="Y136" s="21"/>
      <c r="Z136" s="21"/>
      <c r="AA136" s="21"/>
      <c r="AB136" s="21"/>
      <c r="AC136" s="21"/>
      <c r="AD136" s="21"/>
      <c r="AE136" s="21"/>
      <c r="AF136" s="21"/>
      <c r="AG136" s="2" t="s">
        <v>56</v>
      </c>
      <c r="AH136" s="10" t="s">
        <v>556</v>
      </c>
      <c r="AI136" s="298">
        <v>42</v>
      </c>
      <c r="AJ136" s="21">
        <v>7</v>
      </c>
      <c r="AK136" s="21" t="s">
        <v>594</v>
      </c>
      <c r="AL136" s="80">
        <v>176827</v>
      </c>
      <c r="AM136" s="2" t="s">
        <v>599</v>
      </c>
      <c r="AN136" s="21" t="s">
        <v>554</v>
      </c>
      <c r="AO136" s="21" t="s">
        <v>554</v>
      </c>
      <c r="AP136" s="21" t="s">
        <v>554</v>
      </c>
      <c r="AQ136" s="21" t="s">
        <v>554</v>
      </c>
      <c r="AR136" s="21" t="s">
        <v>554</v>
      </c>
      <c r="AS136" s="21" t="s">
        <v>554</v>
      </c>
      <c r="AT136" s="21" t="s">
        <v>554</v>
      </c>
      <c r="AU136" s="21" t="s">
        <v>554</v>
      </c>
      <c r="AV136" s="21" t="s">
        <v>554</v>
      </c>
      <c r="AW136" s="21" t="s">
        <v>554</v>
      </c>
      <c r="AX136" s="21" t="s">
        <v>554</v>
      </c>
      <c r="AY136" s="21" t="s">
        <v>554</v>
      </c>
      <c r="AZ136" s="2" t="s">
        <v>600</v>
      </c>
      <c r="BA136" s="21"/>
    </row>
    <row r="137" spans="1:53" s="20" customFormat="1" ht="41.25" customHeight="1" x14ac:dyDescent="0.25">
      <c r="A137" s="2" t="s">
        <v>438</v>
      </c>
      <c r="B137" s="2" t="s">
        <v>4</v>
      </c>
      <c r="C137" s="2" t="s">
        <v>241</v>
      </c>
      <c r="D137" s="2" t="s">
        <v>242</v>
      </c>
      <c r="E137" s="2">
        <v>1</v>
      </c>
      <c r="F137" s="2" t="s">
        <v>56</v>
      </c>
      <c r="G137" s="906"/>
      <c r="H137" s="2" t="s">
        <v>430</v>
      </c>
      <c r="I137" s="2" t="s">
        <v>431</v>
      </c>
      <c r="J137" s="1">
        <v>1</v>
      </c>
      <c r="K137" s="5" t="s">
        <v>527</v>
      </c>
      <c r="L137" s="58">
        <v>1</v>
      </c>
      <c r="M137" s="58">
        <v>1</v>
      </c>
      <c r="N137" s="2" t="s">
        <v>431</v>
      </c>
      <c r="O137" s="21"/>
      <c r="P137" s="80">
        <v>825194</v>
      </c>
      <c r="Q137" s="21"/>
      <c r="R137" s="80">
        <v>825194</v>
      </c>
      <c r="S137" s="21"/>
      <c r="T137" s="21"/>
      <c r="U137" s="21"/>
      <c r="V137" s="21"/>
      <c r="W137" s="21"/>
      <c r="X137" s="21"/>
      <c r="Y137" s="21"/>
      <c r="Z137" s="21"/>
      <c r="AA137" s="21"/>
      <c r="AB137" s="21"/>
      <c r="AC137" s="21"/>
      <c r="AD137" s="21"/>
      <c r="AE137" s="21"/>
      <c r="AF137" s="21"/>
      <c r="AG137" s="2" t="s">
        <v>56</v>
      </c>
      <c r="AH137" s="10" t="s">
        <v>556</v>
      </c>
      <c r="AI137" s="298">
        <v>42</v>
      </c>
      <c r="AJ137" s="21">
        <v>7</v>
      </c>
      <c r="AK137" s="21" t="s">
        <v>594</v>
      </c>
      <c r="AL137" s="80">
        <v>825194</v>
      </c>
      <c r="AM137" s="2" t="s">
        <v>601</v>
      </c>
      <c r="AN137" s="21" t="s">
        <v>554</v>
      </c>
      <c r="AO137" s="21" t="s">
        <v>554</v>
      </c>
      <c r="AP137" s="21" t="s">
        <v>554</v>
      </c>
      <c r="AQ137" s="21" t="s">
        <v>554</v>
      </c>
      <c r="AR137" s="21" t="s">
        <v>554</v>
      </c>
      <c r="AS137" s="21" t="s">
        <v>554</v>
      </c>
      <c r="AT137" s="21" t="s">
        <v>554</v>
      </c>
      <c r="AU137" s="21" t="s">
        <v>554</v>
      </c>
      <c r="AV137" s="21" t="s">
        <v>554</v>
      </c>
      <c r="AW137" s="21" t="s">
        <v>554</v>
      </c>
      <c r="AX137" s="21" t="s">
        <v>554</v>
      </c>
      <c r="AY137" s="21" t="s">
        <v>554</v>
      </c>
      <c r="AZ137" s="2" t="s">
        <v>600</v>
      </c>
      <c r="BA137" s="21"/>
    </row>
    <row r="138" spans="1:53" s="20" customFormat="1" ht="60" customHeight="1" x14ac:dyDescent="0.25">
      <c r="A138" s="2" t="s">
        <v>438</v>
      </c>
      <c r="B138" s="2" t="s">
        <v>4</v>
      </c>
      <c r="C138" s="2" t="s">
        <v>243</v>
      </c>
      <c r="D138" s="2" t="s">
        <v>244</v>
      </c>
      <c r="E138" s="1">
        <v>1</v>
      </c>
      <c r="F138" s="2" t="s">
        <v>56</v>
      </c>
      <c r="G138" s="906"/>
      <c r="H138" s="2" t="s">
        <v>245</v>
      </c>
      <c r="I138" s="2" t="s">
        <v>432</v>
      </c>
      <c r="J138" s="1">
        <v>1</v>
      </c>
      <c r="K138" s="5" t="s">
        <v>527</v>
      </c>
      <c r="L138" s="58">
        <v>1</v>
      </c>
      <c r="M138" s="58">
        <v>1</v>
      </c>
      <c r="N138" s="2" t="s">
        <v>432</v>
      </c>
      <c r="O138" s="21"/>
      <c r="P138" s="80">
        <v>17683</v>
      </c>
      <c r="Q138" s="21"/>
      <c r="R138" s="80">
        <v>17683</v>
      </c>
      <c r="S138" s="21"/>
      <c r="T138" s="21"/>
      <c r="U138" s="21"/>
      <c r="V138" s="21"/>
      <c r="W138" s="21"/>
      <c r="X138" s="21"/>
      <c r="Y138" s="21"/>
      <c r="Z138" s="21"/>
      <c r="AA138" s="21"/>
      <c r="AB138" s="21"/>
      <c r="AC138" s="21"/>
      <c r="AD138" s="21"/>
      <c r="AE138" s="21"/>
      <c r="AF138" s="21"/>
      <c r="AG138" s="2" t="s">
        <v>56</v>
      </c>
      <c r="AH138" s="10" t="s">
        <v>556</v>
      </c>
      <c r="AI138" s="298">
        <v>42</v>
      </c>
      <c r="AJ138" s="21">
        <v>7</v>
      </c>
      <c r="AK138" s="21" t="s">
        <v>594</v>
      </c>
      <c r="AL138" s="80">
        <v>17683</v>
      </c>
      <c r="AM138" s="2" t="s">
        <v>602</v>
      </c>
      <c r="AN138" s="21" t="s">
        <v>554</v>
      </c>
      <c r="AO138" s="21" t="s">
        <v>554</v>
      </c>
      <c r="AP138" s="21" t="s">
        <v>554</v>
      </c>
      <c r="AQ138" s="21" t="s">
        <v>554</v>
      </c>
      <c r="AR138" s="21" t="s">
        <v>554</v>
      </c>
      <c r="AS138" s="21" t="s">
        <v>554</v>
      </c>
      <c r="AT138" s="21" t="s">
        <v>554</v>
      </c>
      <c r="AU138" s="21" t="s">
        <v>554</v>
      </c>
      <c r="AV138" s="21" t="s">
        <v>554</v>
      </c>
      <c r="AW138" s="21" t="s">
        <v>554</v>
      </c>
      <c r="AX138" s="21" t="s">
        <v>554</v>
      </c>
      <c r="AY138" s="21" t="s">
        <v>554</v>
      </c>
      <c r="AZ138" s="2" t="s">
        <v>603</v>
      </c>
      <c r="BA138" s="21"/>
    </row>
    <row r="139" spans="1:53" s="20" customFormat="1" ht="48" customHeight="1" x14ac:dyDescent="0.25">
      <c r="A139" s="2" t="s">
        <v>438</v>
      </c>
      <c r="B139" s="2" t="s">
        <v>4</v>
      </c>
      <c r="C139" s="2" t="s">
        <v>246</v>
      </c>
      <c r="D139" s="2" t="s">
        <v>247</v>
      </c>
      <c r="E139" s="1">
        <v>1</v>
      </c>
      <c r="F139" s="2" t="s">
        <v>56</v>
      </c>
      <c r="G139" s="907"/>
      <c r="H139" s="2" t="s">
        <v>248</v>
      </c>
      <c r="I139" s="2" t="s">
        <v>433</v>
      </c>
      <c r="J139" s="1">
        <v>0.7</v>
      </c>
      <c r="K139" s="5" t="s">
        <v>527</v>
      </c>
      <c r="L139" s="58">
        <v>1</v>
      </c>
      <c r="M139" s="58">
        <v>1</v>
      </c>
      <c r="N139" s="2" t="s">
        <v>433</v>
      </c>
      <c r="O139" s="21"/>
      <c r="P139" s="80">
        <v>17683</v>
      </c>
      <c r="Q139" s="21"/>
      <c r="R139" s="80">
        <v>17683</v>
      </c>
      <c r="S139" s="21"/>
      <c r="T139" s="21"/>
      <c r="U139" s="21"/>
      <c r="V139" s="21"/>
      <c r="W139" s="21"/>
      <c r="X139" s="21"/>
      <c r="Y139" s="21"/>
      <c r="Z139" s="21"/>
      <c r="AA139" s="21"/>
      <c r="AB139" s="21"/>
      <c r="AC139" s="21"/>
      <c r="AD139" s="21"/>
      <c r="AE139" s="21"/>
      <c r="AF139" s="21"/>
      <c r="AG139" s="2" t="s">
        <v>56</v>
      </c>
      <c r="AH139" s="10" t="s">
        <v>556</v>
      </c>
      <c r="AI139" s="298">
        <v>42</v>
      </c>
      <c r="AJ139" s="21">
        <v>7</v>
      </c>
      <c r="AK139" s="21" t="s">
        <v>594</v>
      </c>
      <c r="AL139" s="80">
        <v>17683</v>
      </c>
      <c r="AM139" s="2" t="s">
        <v>604</v>
      </c>
      <c r="AN139" s="21" t="s">
        <v>554</v>
      </c>
      <c r="AO139" s="21" t="s">
        <v>554</v>
      </c>
      <c r="AP139" s="21" t="s">
        <v>554</v>
      </c>
      <c r="AQ139" s="21" t="s">
        <v>554</v>
      </c>
      <c r="AR139" s="21" t="s">
        <v>554</v>
      </c>
      <c r="AS139" s="21" t="s">
        <v>554</v>
      </c>
      <c r="AT139" s="21" t="s">
        <v>554</v>
      </c>
      <c r="AU139" s="21" t="s">
        <v>554</v>
      </c>
      <c r="AV139" s="21" t="s">
        <v>554</v>
      </c>
      <c r="AW139" s="21" t="s">
        <v>554</v>
      </c>
      <c r="AX139" s="21" t="s">
        <v>554</v>
      </c>
      <c r="AY139" s="21" t="s">
        <v>554</v>
      </c>
      <c r="AZ139" s="2" t="s">
        <v>605</v>
      </c>
      <c r="BA139" s="21"/>
    </row>
    <row r="140" spans="1:53" s="20" customFormat="1" ht="77.25" customHeight="1" x14ac:dyDescent="0.25">
      <c r="A140" s="2" t="s">
        <v>438</v>
      </c>
      <c r="B140" s="2" t="s">
        <v>4</v>
      </c>
      <c r="C140" s="2" t="s">
        <v>249</v>
      </c>
      <c r="D140" s="2" t="s">
        <v>250</v>
      </c>
      <c r="E140" s="2">
        <v>0.5</v>
      </c>
      <c r="F140" s="2" t="s">
        <v>56</v>
      </c>
      <c r="G140" s="2" t="s">
        <v>233</v>
      </c>
      <c r="H140" s="2" t="s">
        <v>251</v>
      </c>
      <c r="I140" s="2" t="s">
        <v>464</v>
      </c>
      <c r="J140" s="2">
        <v>0.2</v>
      </c>
      <c r="K140" s="5" t="s">
        <v>526</v>
      </c>
      <c r="L140" s="62">
        <v>0.5</v>
      </c>
      <c r="M140" s="82" t="s">
        <v>525</v>
      </c>
      <c r="N140" s="10" t="str">
        <f>I140</f>
        <v>Porcentaje de los procesos de la Gestión administrativa de la Secretaria de salud  fortalecidos</v>
      </c>
      <c r="O140" s="83">
        <f>12.5%*3</f>
        <v>0.375</v>
      </c>
      <c r="P140" s="33">
        <v>127454</v>
      </c>
      <c r="Q140" s="21"/>
      <c r="R140" s="33">
        <v>127454</v>
      </c>
      <c r="S140" s="21"/>
      <c r="T140" s="21"/>
      <c r="U140" s="21"/>
      <c r="V140" s="21"/>
      <c r="W140" s="21"/>
      <c r="X140" s="21"/>
      <c r="Y140" s="21"/>
      <c r="Z140" s="21"/>
      <c r="AA140" s="21"/>
      <c r="AB140" s="21"/>
      <c r="AC140" s="21"/>
      <c r="AD140" s="21"/>
      <c r="AE140" s="21"/>
      <c r="AF140" s="21"/>
      <c r="AG140" s="10" t="s">
        <v>56</v>
      </c>
      <c r="AH140" s="10" t="s">
        <v>556</v>
      </c>
      <c r="AI140" s="298">
        <v>42</v>
      </c>
      <c r="AJ140" s="10" t="s">
        <v>606</v>
      </c>
      <c r="AK140" s="21">
        <v>1426938</v>
      </c>
      <c r="AL140" s="33">
        <v>127454</v>
      </c>
      <c r="AM140" s="10" t="s">
        <v>607</v>
      </c>
      <c r="AN140" s="21"/>
      <c r="AO140" s="21"/>
      <c r="AP140" s="21" t="s">
        <v>554</v>
      </c>
      <c r="AQ140" s="21" t="s">
        <v>554</v>
      </c>
      <c r="AR140" s="21" t="s">
        <v>554</v>
      </c>
      <c r="AS140" s="21" t="s">
        <v>554</v>
      </c>
      <c r="AT140" s="21" t="s">
        <v>554</v>
      </c>
      <c r="AU140" s="21" t="s">
        <v>554</v>
      </c>
      <c r="AV140" s="21" t="s">
        <v>554</v>
      </c>
      <c r="AW140" s="21" t="s">
        <v>554</v>
      </c>
      <c r="AX140" s="21" t="s">
        <v>554</v>
      </c>
      <c r="AY140" s="21" t="s">
        <v>554</v>
      </c>
      <c r="AZ140" s="10" t="s">
        <v>608</v>
      </c>
      <c r="BA140" s="10" t="s">
        <v>609</v>
      </c>
    </row>
    <row r="141" spans="1:53" s="20" customFormat="1" ht="132" customHeight="1" x14ac:dyDescent="0.25">
      <c r="A141" s="2" t="s">
        <v>438</v>
      </c>
      <c r="B141" s="2" t="s">
        <v>4</v>
      </c>
      <c r="C141" s="903" t="s">
        <v>258</v>
      </c>
      <c r="D141" s="903" t="s">
        <v>259</v>
      </c>
      <c r="E141" s="903">
        <v>0.3</v>
      </c>
      <c r="F141" s="2" t="s">
        <v>60</v>
      </c>
      <c r="G141" s="903" t="s">
        <v>260</v>
      </c>
      <c r="H141" s="2" t="s">
        <v>261</v>
      </c>
      <c r="I141" s="2" t="s">
        <v>434</v>
      </c>
      <c r="J141" s="1">
        <v>0</v>
      </c>
      <c r="K141" s="5" t="s">
        <v>526</v>
      </c>
      <c r="L141" s="58">
        <v>1</v>
      </c>
      <c r="M141" s="58">
        <v>0.35</v>
      </c>
      <c r="N141" s="41" t="s">
        <v>434</v>
      </c>
      <c r="O141" s="84">
        <v>0.25</v>
      </c>
      <c r="P141" s="35">
        <v>16463</v>
      </c>
      <c r="Q141" s="21"/>
      <c r="R141" s="35">
        <v>16463</v>
      </c>
      <c r="S141" s="21"/>
      <c r="T141" s="21"/>
      <c r="U141" s="21"/>
      <c r="V141" s="21"/>
      <c r="W141" s="21"/>
      <c r="X141" s="21"/>
      <c r="Y141" s="21"/>
      <c r="Z141" s="21"/>
      <c r="AA141" s="21"/>
      <c r="AB141" s="21"/>
      <c r="AC141" s="21"/>
      <c r="AD141" s="21"/>
      <c r="AE141" s="21"/>
      <c r="AF141" s="21"/>
      <c r="AG141" s="43" t="s">
        <v>60</v>
      </c>
      <c r="AH141" s="10" t="s">
        <v>556</v>
      </c>
      <c r="AI141" s="39">
        <v>42</v>
      </c>
      <c r="AJ141" s="39" t="s">
        <v>610</v>
      </c>
      <c r="AK141" s="35">
        <v>1415933</v>
      </c>
      <c r="AL141" s="35">
        <v>16463</v>
      </c>
      <c r="AM141" s="27" t="s">
        <v>611</v>
      </c>
      <c r="AN141" s="39" t="s">
        <v>589</v>
      </c>
      <c r="AO141" s="39" t="s">
        <v>536</v>
      </c>
      <c r="AP141" s="39" t="s">
        <v>536</v>
      </c>
      <c r="AQ141" s="39" t="s">
        <v>536</v>
      </c>
      <c r="AR141" s="39" t="s">
        <v>536</v>
      </c>
      <c r="AS141" s="39" t="s">
        <v>536</v>
      </c>
      <c r="AT141" s="39" t="s">
        <v>536</v>
      </c>
      <c r="AU141" s="39" t="s">
        <v>536</v>
      </c>
      <c r="AV141" s="39" t="s">
        <v>536</v>
      </c>
      <c r="AW141" s="39" t="s">
        <v>536</v>
      </c>
      <c r="AX141" s="39" t="s">
        <v>536</v>
      </c>
      <c r="AY141" s="39" t="s">
        <v>536</v>
      </c>
      <c r="AZ141" s="39" t="s">
        <v>612</v>
      </c>
      <c r="BA141" s="41" t="s">
        <v>613</v>
      </c>
    </row>
    <row r="142" spans="1:53" s="20" customFormat="1" ht="122.25" customHeight="1" x14ac:dyDescent="0.25">
      <c r="A142" s="2" t="s">
        <v>438</v>
      </c>
      <c r="B142" s="2" t="s">
        <v>4</v>
      </c>
      <c r="C142" s="903"/>
      <c r="D142" s="903"/>
      <c r="E142" s="903"/>
      <c r="F142" s="2" t="s">
        <v>60</v>
      </c>
      <c r="G142" s="903"/>
      <c r="H142" s="2" t="s">
        <v>435</v>
      </c>
      <c r="I142" s="2" t="s">
        <v>436</v>
      </c>
      <c r="J142" s="1">
        <v>0.85</v>
      </c>
      <c r="K142" s="5" t="s">
        <v>527</v>
      </c>
      <c r="L142" s="58">
        <v>0.85</v>
      </c>
      <c r="M142" s="58">
        <v>0.85</v>
      </c>
      <c r="N142" s="41" t="s">
        <v>436</v>
      </c>
      <c r="O142" s="84">
        <v>0.85</v>
      </c>
      <c r="P142" s="35">
        <v>80896</v>
      </c>
      <c r="Q142" s="21"/>
      <c r="R142" s="35">
        <v>80896</v>
      </c>
      <c r="S142" s="21"/>
      <c r="T142" s="21"/>
      <c r="U142" s="21"/>
      <c r="V142" s="21"/>
      <c r="W142" s="21"/>
      <c r="X142" s="21"/>
      <c r="Y142" s="21"/>
      <c r="Z142" s="21"/>
      <c r="AA142" s="21"/>
      <c r="AB142" s="21"/>
      <c r="AC142" s="21"/>
      <c r="AD142" s="21"/>
      <c r="AE142" s="21"/>
      <c r="AF142" s="21"/>
      <c r="AG142" s="43" t="s">
        <v>60</v>
      </c>
      <c r="AH142" s="10" t="s">
        <v>556</v>
      </c>
      <c r="AI142" s="39">
        <v>42</v>
      </c>
      <c r="AJ142" s="39" t="s">
        <v>610</v>
      </c>
      <c r="AK142" s="35">
        <v>1415933</v>
      </c>
      <c r="AL142" s="35">
        <v>80896</v>
      </c>
      <c r="AM142" s="39" t="s">
        <v>614</v>
      </c>
      <c r="AN142" s="39" t="s">
        <v>589</v>
      </c>
      <c r="AO142" s="39"/>
      <c r="AP142" s="39" t="s">
        <v>536</v>
      </c>
      <c r="AQ142" s="39" t="s">
        <v>536</v>
      </c>
      <c r="AR142" s="39" t="s">
        <v>536</v>
      </c>
      <c r="AS142" s="39" t="s">
        <v>536</v>
      </c>
      <c r="AT142" s="39" t="s">
        <v>536</v>
      </c>
      <c r="AU142" s="39" t="s">
        <v>536</v>
      </c>
      <c r="AV142" s="39" t="s">
        <v>536</v>
      </c>
      <c r="AW142" s="39" t="s">
        <v>536</v>
      </c>
      <c r="AX142" s="39" t="s">
        <v>536</v>
      </c>
      <c r="AY142" s="39" t="s">
        <v>536</v>
      </c>
      <c r="AZ142" s="39" t="s">
        <v>612</v>
      </c>
      <c r="BA142" s="41" t="s">
        <v>613</v>
      </c>
    </row>
    <row r="143" spans="1:53" s="20" customFormat="1" ht="124.5" customHeight="1" x14ac:dyDescent="0.25">
      <c r="A143" s="2" t="s">
        <v>438</v>
      </c>
      <c r="B143" s="2" t="s">
        <v>4</v>
      </c>
      <c r="C143" s="903"/>
      <c r="D143" s="903"/>
      <c r="E143" s="903"/>
      <c r="F143" s="2" t="s">
        <v>60</v>
      </c>
      <c r="G143" s="903"/>
      <c r="H143" s="2" t="s">
        <v>262</v>
      </c>
      <c r="I143" s="2" t="s">
        <v>465</v>
      </c>
      <c r="J143" s="1">
        <v>0.15</v>
      </c>
      <c r="K143" s="5" t="s">
        <v>526</v>
      </c>
      <c r="L143" s="58">
        <v>0.85</v>
      </c>
      <c r="M143" s="58">
        <v>0.25</v>
      </c>
      <c r="N143" s="41" t="s">
        <v>465</v>
      </c>
      <c r="O143" s="84">
        <v>0.25</v>
      </c>
      <c r="P143" s="35">
        <v>34389</v>
      </c>
      <c r="Q143" s="21"/>
      <c r="R143" s="35">
        <v>34389</v>
      </c>
      <c r="S143" s="21"/>
      <c r="T143" s="21"/>
      <c r="U143" s="21"/>
      <c r="V143" s="21"/>
      <c r="W143" s="21"/>
      <c r="X143" s="21"/>
      <c r="Y143" s="21"/>
      <c r="Z143" s="21"/>
      <c r="AA143" s="21"/>
      <c r="AB143" s="21"/>
      <c r="AC143" s="21"/>
      <c r="AD143" s="21"/>
      <c r="AE143" s="21"/>
      <c r="AF143" s="21"/>
      <c r="AG143" s="43" t="s">
        <v>60</v>
      </c>
      <c r="AH143" s="10" t="s">
        <v>556</v>
      </c>
      <c r="AI143" s="39">
        <v>42</v>
      </c>
      <c r="AJ143" s="39" t="s">
        <v>610</v>
      </c>
      <c r="AK143" s="35">
        <v>1415933</v>
      </c>
      <c r="AL143" s="35">
        <v>34389</v>
      </c>
      <c r="AM143" s="39" t="s">
        <v>615</v>
      </c>
      <c r="AN143" s="39" t="s">
        <v>589</v>
      </c>
      <c r="AO143" s="39"/>
      <c r="AP143" s="39" t="s">
        <v>536</v>
      </c>
      <c r="AQ143" s="39" t="s">
        <v>536</v>
      </c>
      <c r="AR143" s="39" t="s">
        <v>536</v>
      </c>
      <c r="AS143" s="39" t="s">
        <v>536</v>
      </c>
      <c r="AT143" s="39" t="s">
        <v>536</v>
      </c>
      <c r="AU143" s="39" t="s">
        <v>536</v>
      </c>
      <c r="AV143" s="39" t="s">
        <v>536</v>
      </c>
      <c r="AW143" s="39" t="s">
        <v>536</v>
      </c>
      <c r="AX143" s="39" t="s">
        <v>536</v>
      </c>
      <c r="AY143" s="39" t="s">
        <v>536</v>
      </c>
      <c r="AZ143" s="39" t="s">
        <v>612</v>
      </c>
      <c r="BA143" s="41" t="s">
        <v>613</v>
      </c>
    </row>
    <row r="144" spans="1:53" s="20" customFormat="1" ht="120.75" customHeight="1" x14ac:dyDescent="0.25">
      <c r="A144" s="2" t="s">
        <v>438</v>
      </c>
      <c r="B144" s="2" t="s">
        <v>4</v>
      </c>
      <c r="C144" s="903"/>
      <c r="D144" s="903"/>
      <c r="E144" s="903"/>
      <c r="F144" s="2" t="s">
        <v>60</v>
      </c>
      <c r="G144" s="903"/>
      <c r="H144" s="2" t="s">
        <v>61</v>
      </c>
      <c r="I144" s="2" t="s">
        <v>437</v>
      </c>
      <c r="J144" s="1">
        <v>1</v>
      </c>
      <c r="K144" s="5" t="s">
        <v>526</v>
      </c>
      <c r="L144" s="58">
        <v>0.8</v>
      </c>
      <c r="M144" s="58">
        <v>0.2</v>
      </c>
      <c r="N144" s="41" t="s">
        <v>437</v>
      </c>
      <c r="O144" s="84">
        <v>0.25</v>
      </c>
      <c r="P144" s="35">
        <v>27505</v>
      </c>
      <c r="Q144" s="21"/>
      <c r="R144" s="35">
        <v>27505</v>
      </c>
      <c r="S144" s="21"/>
      <c r="T144" s="21"/>
      <c r="U144" s="21"/>
      <c r="V144" s="21"/>
      <c r="W144" s="21"/>
      <c r="X144" s="21"/>
      <c r="Y144" s="21"/>
      <c r="Z144" s="21"/>
      <c r="AA144" s="21"/>
      <c r="AB144" s="21"/>
      <c r="AC144" s="21"/>
      <c r="AD144" s="21"/>
      <c r="AE144" s="21"/>
      <c r="AF144" s="21"/>
      <c r="AG144" s="43" t="s">
        <v>60</v>
      </c>
      <c r="AH144" s="10" t="s">
        <v>556</v>
      </c>
      <c r="AI144" s="39">
        <v>42</v>
      </c>
      <c r="AJ144" s="39" t="s">
        <v>610</v>
      </c>
      <c r="AK144" s="35">
        <v>1415933</v>
      </c>
      <c r="AL144" s="35">
        <v>27505</v>
      </c>
      <c r="AM144" s="39" t="s">
        <v>616</v>
      </c>
      <c r="AN144" s="39" t="s">
        <v>589</v>
      </c>
      <c r="AO144" s="39"/>
      <c r="AP144" s="39" t="s">
        <v>536</v>
      </c>
      <c r="AQ144" s="39" t="s">
        <v>536</v>
      </c>
      <c r="AR144" s="39" t="s">
        <v>536</v>
      </c>
      <c r="AS144" s="39" t="s">
        <v>536</v>
      </c>
      <c r="AT144" s="39" t="s">
        <v>536</v>
      </c>
      <c r="AU144" s="39" t="s">
        <v>536</v>
      </c>
      <c r="AV144" s="39" t="s">
        <v>536</v>
      </c>
      <c r="AW144" s="39" t="s">
        <v>536</v>
      </c>
      <c r="AX144" s="39" t="s">
        <v>536</v>
      </c>
      <c r="AY144" s="39" t="s">
        <v>536</v>
      </c>
      <c r="AZ144" s="39" t="s">
        <v>612</v>
      </c>
      <c r="BA144" s="41" t="s">
        <v>613</v>
      </c>
    </row>
    <row r="145" spans="1:53" s="20" customFormat="1" ht="105.75" customHeight="1" x14ac:dyDescent="0.25">
      <c r="A145" s="2" t="s">
        <v>438</v>
      </c>
      <c r="B145" s="2" t="s">
        <v>4</v>
      </c>
      <c r="C145" s="903"/>
      <c r="D145" s="903"/>
      <c r="E145" s="903"/>
      <c r="F145" s="2" t="s">
        <v>60</v>
      </c>
      <c r="G145" s="903"/>
      <c r="H145" s="2" t="s">
        <v>263</v>
      </c>
      <c r="I145" s="2" t="s">
        <v>466</v>
      </c>
      <c r="J145" s="1">
        <v>1</v>
      </c>
      <c r="K145" s="5" t="s">
        <v>527</v>
      </c>
      <c r="L145" s="58">
        <v>1</v>
      </c>
      <c r="M145" s="58">
        <v>1</v>
      </c>
      <c r="N145" s="41" t="s">
        <v>466</v>
      </c>
      <c r="O145" s="84">
        <v>1</v>
      </c>
      <c r="P145" s="35">
        <v>37757</v>
      </c>
      <c r="Q145" s="21"/>
      <c r="R145" s="35">
        <v>37757</v>
      </c>
      <c r="S145" s="21"/>
      <c r="T145" s="21"/>
      <c r="U145" s="21"/>
      <c r="V145" s="21"/>
      <c r="W145" s="21"/>
      <c r="X145" s="21"/>
      <c r="Y145" s="21"/>
      <c r="Z145" s="21"/>
      <c r="AA145" s="21"/>
      <c r="AB145" s="21"/>
      <c r="AC145" s="21"/>
      <c r="AD145" s="21"/>
      <c r="AE145" s="21"/>
      <c r="AF145" s="21"/>
      <c r="AG145" s="43" t="s">
        <v>60</v>
      </c>
      <c r="AH145" s="10" t="s">
        <v>556</v>
      </c>
      <c r="AI145" s="39">
        <v>42</v>
      </c>
      <c r="AJ145" s="39" t="s">
        <v>610</v>
      </c>
      <c r="AK145" s="35">
        <v>1415933</v>
      </c>
      <c r="AL145" s="35">
        <v>37757</v>
      </c>
      <c r="AM145" s="39" t="s">
        <v>617</v>
      </c>
      <c r="AN145" s="39" t="s">
        <v>589</v>
      </c>
      <c r="AO145" s="39"/>
      <c r="AP145" s="39" t="s">
        <v>536</v>
      </c>
      <c r="AQ145" s="39" t="s">
        <v>536</v>
      </c>
      <c r="AR145" s="39" t="s">
        <v>536</v>
      </c>
      <c r="AS145" s="39" t="s">
        <v>536</v>
      </c>
      <c r="AT145" s="39" t="s">
        <v>536</v>
      </c>
      <c r="AU145" s="39" t="s">
        <v>536</v>
      </c>
      <c r="AV145" s="39" t="s">
        <v>536</v>
      </c>
      <c r="AW145" s="39" t="s">
        <v>536</v>
      </c>
      <c r="AX145" s="39" t="s">
        <v>536</v>
      </c>
      <c r="AY145" s="39" t="s">
        <v>536</v>
      </c>
      <c r="AZ145" s="39" t="s">
        <v>612</v>
      </c>
      <c r="BA145" s="41" t="s">
        <v>613</v>
      </c>
    </row>
    <row r="146" spans="1:53" ht="51.75" customHeight="1" x14ac:dyDescent="0.25">
      <c r="A146" s="85"/>
      <c r="B146" s="85"/>
      <c r="C146" s="85"/>
      <c r="D146" s="85"/>
      <c r="E146" s="85"/>
      <c r="F146" s="85"/>
      <c r="G146" s="85"/>
      <c r="H146" s="85"/>
      <c r="I146" s="85"/>
      <c r="J146" s="85"/>
      <c r="K146" s="85"/>
      <c r="L146" s="8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row>
    <row r="147" spans="1:53" ht="51.75" customHeight="1" x14ac:dyDescent="0.25">
      <c r="A147" s="919" t="s">
        <v>513</v>
      </c>
      <c r="B147" s="919"/>
      <c r="C147" s="86"/>
      <c r="D147" s="86"/>
      <c r="E147" s="85"/>
      <c r="F147" s="85"/>
      <c r="G147" s="85"/>
      <c r="H147" s="85"/>
      <c r="I147" s="85"/>
      <c r="J147" s="85"/>
      <c r="K147" s="85"/>
      <c r="L147" s="8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row>
    <row r="148" spans="1:53" ht="51.75" customHeight="1" x14ac:dyDescent="0.25">
      <c r="A148" s="919" t="s">
        <v>514</v>
      </c>
      <c r="B148" s="919"/>
      <c r="C148" s="920" t="s">
        <v>515</v>
      </c>
      <c r="D148" s="920"/>
      <c r="E148" s="85"/>
      <c r="F148" s="85"/>
      <c r="G148" s="85"/>
      <c r="H148" s="85"/>
      <c r="I148" s="85"/>
      <c r="J148" s="85"/>
      <c r="K148" s="85"/>
      <c r="L148" s="8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row>
    <row r="149" spans="1:53" ht="51.75" customHeight="1" x14ac:dyDescent="0.25">
      <c r="A149" s="917" t="s">
        <v>516</v>
      </c>
      <c r="B149" s="917"/>
      <c r="C149" s="918" t="s">
        <v>517</v>
      </c>
      <c r="D149" s="918"/>
    </row>
    <row r="150" spans="1:53" ht="51.75" customHeight="1" x14ac:dyDescent="0.25">
      <c r="A150" s="917" t="s">
        <v>518</v>
      </c>
      <c r="B150" s="917"/>
      <c r="C150" s="918" t="s">
        <v>515</v>
      </c>
      <c r="D150" s="918"/>
    </row>
    <row r="151" spans="1:53" ht="51.75" customHeight="1" x14ac:dyDescent="0.25">
      <c r="A151" s="917" t="s">
        <v>519</v>
      </c>
      <c r="B151" s="917"/>
      <c r="C151" s="916" t="s">
        <v>520</v>
      </c>
      <c r="D151" s="918"/>
    </row>
    <row r="152" spans="1:53" ht="51.75" customHeight="1" x14ac:dyDescent="0.25">
      <c r="A152" s="57"/>
      <c r="B152" s="57"/>
      <c r="C152" s="57"/>
      <c r="D152" s="57"/>
    </row>
  </sheetData>
  <sheetProtection password="DFEF" sheet="1" objects="1" scenarios="1"/>
  <protectedRanges>
    <protectedRange sqref="AG94" name="Rango1_5_1"/>
  </protectedRanges>
  <autoFilter ref="A13:BA145"/>
  <mergeCells count="114">
    <mergeCell ref="A151:B151"/>
    <mergeCell ref="C151:D151"/>
    <mergeCell ref="A147:B147"/>
    <mergeCell ref="A148:B148"/>
    <mergeCell ref="C148:D148"/>
    <mergeCell ref="A149:B149"/>
    <mergeCell ref="C149:D149"/>
    <mergeCell ref="A150:B150"/>
    <mergeCell ref="C150:D150"/>
    <mergeCell ref="A1:L1"/>
    <mergeCell ref="A2:L2"/>
    <mergeCell ref="A4:L4"/>
    <mergeCell ref="A5:L5"/>
    <mergeCell ref="A12:A13"/>
    <mergeCell ref="B12:B13"/>
    <mergeCell ref="C12:C13"/>
    <mergeCell ref="D12:D13"/>
    <mergeCell ref="E12:E13"/>
    <mergeCell ref="F12:F13"/>
    <mergeCell ref="G12:G13"/>
    <mergeCell ref="H12:H13"/>
    <mergeCell ref="I12:I13"/>
    <mergeCell ref="J12:J13"/>
    <mergeCell ref="L12:L13"/>
    <mergeCell ref="A7:M7"/>
    <mergeCell ref="A9:M9"/>
    <mergeCell ref="C84:C85"/>
    <mergeCell ref="D84:D85"/>
    <mergeCell ref="E84:E85"/>
    <mergeCell ref="G43:G57"/>
    <mergeCell ref="C46:C48"/>
    <mergeCell ref="D46:D48"/>
    <mergeCell ref="E46:E48"/>
    <mergeCell ref="C43:C45"/>
    <mergeCell ref="D43:D45"/>
    <mergeCell ref="E43:E45"/>
    <mergeCell ref="C58:C61"/>
    <mergeCell ref="D58:D61"/>
    <mergeCell ref="E58:E61"/>
    <mergeCell ref="C70:C73"/>
    <mergeCell ref="D70:D73"/>
    <mergeCell ref="E70:E73"/>
    <mergeCell ref="C76:C82"/>
    <mergeCell ref="D76:D82"/>
    <mergeCell ref="E76:E82"/>
    <mergeCell ref="G76:G82"/>
    <mergeCell ref="G83:G85"/>
    <mergeCell ref="G58:G75"/>
    <mergeCell ref="G86:G103"/>
    <mergeCell ref="C91:C96"/>
    <mergeCell ref="D91:D96"/>
    <mergeCell ref="E91:E96"/>
    <mergeCell ref="C97:C103"/>
    <mergeCell ref="D97:D103"/>
    <mergeCell ref="E97:E103"/>
    <mergeCell ref="C86:C90"/>
    <mergeCell ref="D86:D90"/>
    <mergeCell ref="E86:E90"/>
    <mergeCell ref="C118:C121"/>
    <mergeCell ref="D118:D121"/>
    <mergeCell ref="E118:E121"/>
    <mergeCell ref="G118:G121"/>
    <mergeCell ref="C115:C117"/>
    <mergeCell ref="D115:D117"/>
    <mergeCell ref="E115:E117"/>
    <mergeCell ref="G115:G117"/>
    <mergeCell ref="G104:G106"/>
    <mergeCell ref="G109:G112"/>
    <mergeCell ref="G113:G114"/>
    <mergeCell ref="C141:C145"/>
    <mergeCell ref="D141:D145"/>
    <mergeCell ref="E141:E145"/>
    <mergeCell ref="G141:G145"/>
    <mergeCell ref="G122:G133"/>
    <mergeCell ref="C124:C127"/>
    <mergeCell ref="D124:D127"/>
    <mergeCell ref="E124:E129"/>
    <mergeCell ref="C128:C129"/>
    <mergeCell ref="D128:D129"/>
    <mergeCell ref="C130:C133"/>
    <mergeCell ref="D130:D133"/>
    <mergeCell ref="E130:E133"/>
    <mergeCell ref="G136:G139"/>
    <mergeCell ref="E38:E39"/>
    <mergeCell ref="G33:G35"/>
    <mergeCell ref="G14:G22"/>
    <mergeCell ref="C36:C37"/>
    <mergeCell ref="D36:D37"/>
    <mergeCell ref="E36:E37"/>
    <mergeCell ref="G36:G42"/>
    <mergeCell ref="C38:C39"/>
    <mergeCell ref="D38:D39"/>
    <mergeCell ref="C23:C32"/>
    <mergeCell ref="D23:D32"/>
    <mergeCell ref="E23:E32"/>
    <mergeCell ref="G23:G32"/>
    <mergeCell ref="C15:C17"/>
    <mergeCell ref="D15:D17"/>
    <mergeCell ref="E15:E17"/>
    <mergeCell ref="AH12:AH13"/>
    <mergeCell ref="AG12:AG13"/>
    <mergeCell ref="Q12:AF12"/>
    <mergeCell ref="P12:P13"/>
    <mergeCell ref="N12:O12"/>
    <mergeCell ref="M12:M13"/>
    <mergeCell ref="K12:K13"/>
    <mergeCell ref="BA12:BA13"/>
    <mergeCell ref="AZ12:AZ13"/>
    <mergeCell ref="AN12:AY12"/>
    <mergeCell ref="AM12:AM13"/>
    <mergeCell ref="AL12:AL13"/>
    <mergeCell ref="AK12:AK13"/>
    <mergeCell ref="AJ12:AJ13"/>
    <mergeCell ref="AI12:AI13"/>
  </mergeCells>
  <pageMargins left="0.70866141732283472" right="0.70866141732283472" top="0.74803149606299213" bottom="0.74803149606299213" header="0.31496062992125984" footer="0.31496062992125984"/>
  <pageSetup paperSize="8" orientation="landscape" r:id="rId1"/>
  <ignoredErrors>
    <ignoredError sqref="E50" numberStoredAsText="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4"/>
  <sheetViews>
    <sheetView zoomScale="70" zoomScaleNormal="70" workbookViewId="0">
      <selection activeCell="H17" sqref="H17"/>
    </sheetView>
  </sheetViews>
  <sheetFormatPr baseColWidth="10" defaultRowHeight="15" x14ac:dyDescent="0.25"/>
  <cols>
    <col min="9" max="9" width="14.85546875" customWidth="1"/>
    <col min="10" max="10" width="13.7109375" customWidth="1"/>
    <col min="11" max="11" width="15.7109375" customWidth="1"/>
    <col min="12" max="12" width="15.5703125" customWidth="1"/>
    <col min="33" max="33" width="35.140625" customWidth="1"/>
    <col min="34" max="34" width="19.140625" customWidth="1"/>
    <col min="37" max="37" width="17.42578125" customWidth="1"/>
    <col min="38" max="38" width="15.7109375" customWidth="1"/>
    <col min="39" max="39" width="62.5703125" customWidth="1"/>
    <col min="40" max="51" width="6.7109375" customWidth="1"/>
    <col min="53" max="53" width="38.85546875" customWidth="1"/>
  </cols>
  <sheetData>
    <row r="1" spans="1:53" x14ac:dyDescent="0.25">
      <c r="A1" s="96"/>
      <c r="B1" s="96"/>
      <c r="C1" s="96"/>
      <c r="D1" s="96"/>
      <c r="E1" s="96"/>
      <c r="F1" s="96"/>
      <c r="G1" s="96"/>
      <c r="H1" s="97"/>
      <c r="I1" s="96"/>
      <c r="J1" s="96"/>
      <c r="K1" s="96"/>
      <c r="L1" s="96"/>
      <c r="M1" s="98"/>
      <c r="N1" s="98"/>
      <c r="O1" s="98"/>
      <c r="P1" s="98"/>
      <c r="Q1" s="98"/>
      <c r="R1" s="98"/>
      <c r="S1" s="98"/>
      <c r="T1" s="98"/>
      <c r="U1" s="98"/>
      <c r="V1" s="98"/>
      <c r="W1" s="98"/>
      <c r="X1" s="98"/>
      <c r="Y1" s="98"/>
      <c r="Z1" s="98"/>
      <c r="AA1" s="98"/>
      <c r="AB1" s="98"/>
      <c r="AC1" s="98"/>
      <c r="AD1" s="98"/>
      <c r="AE1" s="98"/>
      <c r="AF1" s="98"/>
      <c r="AG1" s="98"/>
      <c r="AH1" s="98"/>
      <c r="AI1" s="98"/>
      <c r="AJ1" s="98"/>
      <c r="AK1" s="540"/>
      <c r="AL1" s="98"/>
      <c r="AM1" s="98"/>
      <c r="AN1" s="98"/>
      <c r="AO1" s="98"/>
      <c r="AP1" s="98"/>
      <c r="AQ1" s="98"/>
      <c r="AR1" s="98"/>
      <c r="AS1" s="98"/>
      <c r="AT1" s="98"/>
      <c r="AU1" s="98"/>
      <c r="AV1" s="98"/>
      <c r="AW1" s="98"/>
      <c r="AX1" s="98"/>
      <c r="AY1" s="98"/>
      <c r="AZ1" s="98"/>
      <c r="BA1" s="98"/>
    </row>
    <row r="2" spans="1:53" ht="18" x14ac:dyDescent="0.25">
      <c r="A2" s="958" t="s">
        <v>481</v>
      </c>
      <c r="B2" s="958"/>
      <c r="C2" s="958"/>
      <c r="D2" s="958"/>
      <c r="E2" s="958"/>
      <c r="F2" s="958"/>
      <c r="G2" s="958"/>
      <c r="H2" s="958"/>
      <c r="I2" s="958"/>
      <c r="J2" s="958"/>
      <c r="K2" s="958"/>
      <c r="L2" s="958"/>
      <c r="M2" s="98"/>
      <c r="N2" s="98"/>
      <c r="O2" s="98"/>
      <c r="P2" s="98"/>
      <c r="Q2" s="98"/>
      <c r="R2" s="98"/>
      <c r="S2" s="98"/>
      <c r="T2" s="98"/>
      <c r="U2" s="98"/>
      <c r="V2" s="98"/>
      <c r="W2" s="98"/>
      <c r="X2" s="98"/>
      <c r="Y2" s="98"/>
      <c r="Z2" s="98"/>
      <c r="AA2" s="98"/>
      <c r="AB2" s="98"/>
      <c r="AC2" s="98"/>
      <c r="AD2" s="98"/>
      <c r="AE2" s="98"/>
      <c r="AF2" s="98"/>
      <c r="AG2" s="98"/>
      <c r="AH2" s="98"/>
      <c r="AI2" s="98"/>
      <c r="AJ2" s="98"/>
      <c r="AK2" s="540"/>
      <c r="AL2" s="98"/>
      <c r="AM2" s="98"/>
      <c r="AN2" s="98"/>
      <c r="AO2" s="98"/>
      <c r="AP2" s="98"/>
      <c r="AQ2" s="98"/>
      <c r="AR2" s="98"/>
      <c r="AS2" s="98"/>
      <c r="AT2" s="98"/>
      <c r="AU2" s="98"/>
      <c r="AV2" s="98"/>
      <c r="AW2" s="98"/>
      <c r="AX2" s="98"/>
      <c r="AY2" s="98"/>
      <c r="AZ2" s="98"/>
      <c r="BA2" s="98"/>
    </row>
    <row r="3" spans="1:53" ht="18" x14ac:dyDescent="0.25">
      <c r="A3" s="959" t="s">
        <v>482</v>
      </c>
      <c r="B3" s="959"/>
      <c r="C3" s="959"/>
      <c r="D3" s="959"/>
      <c r="E3" s="959"/>
      <c r="F3" s="959"/>
      <c r="G3" s="959"/>
      <c r="H3" s="959"/>
      <c r="I3" s="959"/>
      <c r="J3" s="959"/>
      <c r="K3" s="959"/>
      <c r="L3" s="959"/>
      <c r="M3" s="98"/>
      <c r="N3" s="98"/>
      <c r="O3" s="98"/>
      <c r="P3" s="98"/>
      <c r="Q3" s="98"/>
      <c r="R3" s="98"/>
      <c r="S3" s="98"/>
      <c r="T3" s="98"/>
      <c r="U3" s="98"/>
      <c r="V3" s="98"/>
      <c r="W3" s="98"/>
      <c r="X3" s="98"/>
      <c r="Y3" s="98"/>
      <c r="Z3" s="98"/>
      <c r="AA3" s="98"/>
      <c r="AB3" s="98"/>
      <c r="AC3" s="98"/>
      <c r="AD3" s="98"/>
      <c r="AE3" s="98"/>
      <c r="AF3" s="98"/>
      <c r="AG3" s="98"/>
      <c r="AH3" s="98"/>
      <c r="AI3" s="98"/>
      <c r="AJ3" s="98"/>
      <c r="AK3" s="540"/>
      <c r="AL3" s="98"/>
      <c r="AM3" s="98"/>
      <c r="AN3" s="98"/>
      <c r="AO3" s="98"/>
      <c r="AP3" s="98"/>
      <c r="AQ3" s="98"/>
      <c r="AR3" s="98"/>
      <c r="AS3" s="98"/>
      <c r="AT3" s="98"/>
      <c r="AU3" s="98"/>
      <c r="AV3" s="98"/>
      <c r="AW3" s="98"/>
      <c r="AX3" s="98"/>
      <c r="AY3" s="98"/>
      <c r="AZ3" s="98"/>
      <c r="BA3" s="98"/>
    </row>
    <row r="4" spans="1:53" x14ac:dyDescent="0.25">
      <c r="A4" s="101"/>
      <c r="B4" s="96"/>
      <c r="C4" s="96"/>
      <c r="D4" s="96"/>
      <c r="E4" s="96"/>
      <c r="F4" s="96"/>
      <c r="G4" s="96"/>
      <c r="H4" s="97"/>
      <c r="I4" s="96"/>
      <c r="J4" s="96"/>
      <c r="K4" s="96"/>
      <c r="L4" s="96"/>
      <c r="M4" s="98"/>
      <c r="N4" s="98"/>
      <c r="O4" s="98"/>
      <c r="P4" s="98"/>
      <c r="Q4" s="98"/>
      <c r="R4" s="98"/>
      <c r="S4" s="98"/>
      <c r="T4" s="98"/>
      <c r="U4" s="98"/>
      <c r="V4" s="98"/>
      <c r="W4" s="98"/>
      <c r="X4" s="98"/>
      <c r="Y4" s="98"/>
      <c r="Z4" s="98"/>
      <c r="AA4" s="98"/>
      <c r="AB4" s="98"/>
      <c r="AC4" s="98"/>
      <c r="AD4" s="98"/>
      <c r="AE4" s="98"/>
      <c r="AF4" s="98"/>
      <c r="AG4" s="98"/>
      <c r="AH4" s="98"/>
      <c r="AI4" s="98"/>
      <c r="AJ4" s="98"/>
      <c r="AK4" s="540"/>
      <c r="AL4" s="98"/>
      <c r="AM4" s="98"/>
      <c r="AN4" s="98"/>
      <c r="AO4" s="98"/>
      <c r="AP4" s="98"/>
      <c r="AQ4" s="98"/>
      <c r="AR4" s="98"/>
      <c r="AS4" s="98"/>
      <c r="AT4" s="98"/>
      <c r="AU4" s="98"/>
      <c r="AV4" s="98"/>
      <c r="AW4" s="98"/>
      <c r="AX4" s="98"/>
      <c r="AY4" s="98"/>
      <c r="AZ4" s="98"/>
      <c r="BA4" s="98"/>
    </row>
    <row r="5" spans="1:53" ht="18" x14ac:dyDescent="0.25">
      <c r="A5" s="960" t="s">
        <v>483</v>
      </c>
      <c r="B5" s="960"/>
      <c r="C5" s="960"/>
      <c r="D5" s="960"/>
      <c r="E5" s="960"/>
      <c r="F5" s="960"/>
      <c r="G5" s="960"/>
      <c r="H5" s="960"/>
      <c r="I5" s="960"/>
      <c r="J5" s="960"/>
      <c r="K5" s="960"/>
      <c r="L5" s="960"/>
      <c r="M5" s="98"/>
      <c r="N5" s="98"/>
      <c r="O5" s="98"/>
      <c r="P5" s="98"/>
      <c r="Q5" s="98"/>
      <c r="R5" s="98"/>
      <c r="S5" s="98"/>
      <c r="T5" s="98"/>
      <c r="U5" s="98"/>
      <c r="V5" s="98"/>
      <c r="W5" s="98"/>
      <c r="X5" s="98"/>
      <c r="Y5" s="98"/>
      <c r="Z5" s="98"/>
      <c r="AA5" s="98"/>
      <c r="AB5" s="98"/>
      <c r="AC5" s="98"/>
      <c r="AD5" s="98"/>
      <c r="AE5" s="98"/>
      <c r="AF5" s="98"/>
      <c r="AG5" s="98"/>
      <c r="AH5" s="98"/>
      <c r="AI5" s="98"/>
      <c r="AJ5" s="98"/>
      <c r="AK5" s="540"/>
      <c r="AL5" s="98"/>
      <c r="AM5" s="98"/>
      <c r="AN5" s="98"/>
      <c r="AO5" s="98"/>
      <c r="AP5" s="98"/>
      <c r="AQ5" s="98"/>
      <c r="AR5" s="98"/>
      <c r="AS5" s="98"/>
      <c r="AT5" s="98"/>
      <c r="AU5" s="98"/>
      <c r="AV5" s="98"/>
      <c r="AW5" s="98"/>
      <c r="AX5" s="98"/>
      <c r="AY5" s="98"/>
      <c r="AZ5" s="98"/>
      <c r="BA5" s="98"/>
    </row>
    <row r="6" spans="1:53" ht="18" x14ac:dyDescent="0.25">
      <c r="A6" s="958" t="s">
        <v>528</v>
      </c>
      <c r="B6" s="958"/>
      <c r="C6" s="958"/>
      <c r="D6" s="958"/>
      <c r="E6" s="958"/>
      <c r="F6" s="958"/>
      <c r="G6" s="958"/>
      <c r="H6" s="958"/>
      <c r="I6" s="958"/>
      <c r="J6" s="958"/>
      <c r="K6" s="958"/>
      <c r="L6" s="958"/>
      <c r="M6" s="98"/>
      <c r="N6" s="98"/>
      <c r="O6" s="98"/>
      <c r="P6" s="98"/>
      <c r="Q6" s="98"/>
      <c r="R6" s="98"/>
      <c r="S6" s="98"/>
      <c r="T6" s="98"/>
      <c r="U6" s="98"/>
      <c r="V6" s="98"/>
      <c r="W6" s="98"/>
      <c r="X6" s="98"/>
      <c r="Y6" s="98"/>
      <c r="Z6" s="98"/>
      <c r="AA6" s="98"/>
      <c r="AB6" s="98"/>
      <c r="AC6" s="98"/>
      <c r="AD6" s="98"/>
      <c r="AE6" s="98"/>
      <c r="AF6" s="98"/>
      <c r="AG6" s="98"/>
      <c r="AH6" s="98"/>
      <c r="AI6" s="98"/>
      <c r="AJ6" s="98"/>
      <c r="AK6" s="540"/>
      <c r="AL6" s="98"/>
      <c r="AM6" s="98"/>
      <c r="AN6" s="98"/>
      <c r="AO6" s="98"/>
      <c r="AP6" s="98"/>
      <c r="AQ6" s="98"/>
      <c r="AR6" s="98"/>
      <c r="AS6" s="98"/>
      <c r="AT6" s="98"/>
      <c r="AU6" s="98"/>
      <c r="AV6" s="98"/>
      <c r="AW6" s="98"/>
      <c r="AX6" s="98"/>
      <c r="AY6" s="98"/>
      <c r="AZ6" s="98"/>
      <c r="BA6" s="98"/>
    </row>
    <row r="7" spans="1:53" ht="18" x14ac:dyDescent="0.25">
      <c r="A7" s="100"/>
      <c r="B7" s="100"/>
      <c r="C7" s="100"/>
      <c r="D7" s="100"/>
      <c r="E7" s="100"/>
      <c r="F7" s="100"/>
      <c r="G7" s="100"/>
      <c r="H7" s="100"/>
      <c r="I7" s="100"/>
      <c r="J7" s="100"/>
      <c r="K7" s="100"/>
      <c r="L7" s="100"/>
      <c r="M7" s="98"/>
      <c r="N7" s="98"/>
      <c r="O7" s="98"/>
      <c r="P7" s="98"/>
      <c r="Q7" s="98"/>
      <c r="R7" s="98"/>
      <c r="S7" s="98"/>
      <c r="T7" s="98"/>
      <c r="U7" s="98"/>
      <c r="V7" s="98"/>
      <c r="W7" s="98"/>
      <c r="X7" s="98"/>
      <c r="Y7" s="98"/>
      <c r="Z7" s="98"/>
      <c r="AA7" s="98"/>
      <c r="AB7" s="98"/>
      <c r="AC7" s="98"/>
      <c r="AD7" s="98"/>
      <c r="AE7" s="98"/>
      <c r="AF7" s="98"/>
      <c r="AG7" s="98"/>
      <c r="AH7" s="98"/>
      <c r="AI7" s="98"/>
      <c r="AJ7" s="98"/>
      <c r="AK7" s="540"/>
      <c r="AL7" s="98"/>
      <c r="AM7" s="98"/>
      <c r="AN7" s="98"/>
      <c r="AO7" s="98"/>
      <c r="AP7" s="98"/>
      <c r="AQ7" s="98"/>
      <c r="AR7" s="98"/>
      <c r="AS7" s="98"/>
      <c r="AT7" s="98"/>
      <c r="AU7" s="98"/>
      <c r="AV7" s="98"/>
      <c r="AW7" s="98"/>
      <c r="AX7" s="98"/>
      <c r="AY7" s="98"/>
      <c r="AZ7" s="98"/>
      <c r="BA7" s="98"/>
    </row>
    <row r="8" spans="1:53" ht="18" x14ac:dyDescent="0.25">
      <c r="A8" s="100"/>
      <c r="B8" s="100"/>
      <c r="C8" s="100"/>
      <c r="D8" s="100"/>
      <c r="E8" s="100"/>
      <c r="F8" s="100"/>
      <c r="G8" s="100"/>
      <c r="H8" s="100"/>
      <c r="I8" s="100"/>
      <c r="J8" s="100"/>
      <c r="K8" s="100"/>
      <c r="L8" s="100"/>
      <c r="M8" s="98"/>
      <c r="N8" s="98"/>
      <c r="O8" s="98"/>
      <c r="P8" s="98"/>
      <c r="Q8" s="98"/>
      <c r="R8" s="98"/>
      <c r="S8" s="98"/>
      <c r="T8" s="98"/>
      <c r="U8" s="98"/>
      <c r="V8" s="98"/>
      <c r="W8" s="98"/>
      <c r="X8" s="98"/>
      <c r="Y8" s="98"/>
      <c r="Z8" s="98"/>
      <c r="AA8" s="98"/>
      <c r="AB8" s="98"/>
      <c r="AC8" s="98"/>
      <c r="AD8" s="98"/>
      <c r="AE8" s="98"/>
      <c r="AF8" s="98"/>
      <c r="AG8" s="98"/>
      <c r="AH8" s="98"/>
      <c r="AI8" s="98"/>
      <c r="AJ8" s="98"/>
      <c r="AK8" s="540"/>
      <c r="AL8" s="98"/>
      <c r="AM8" s="98"/>
      <c r="AN8" s="98"/>
      <c r="AO8" s="98"/>
      <c r="AP8" s="98"/>
      <c r="AQ8" s="98"/>
      <c r="AR8" s="98"/>
      <c r="AS8" s="98"/>
      <c r="AT8" s="98"/>
      <c r="AU8" s="98"/>
      <c r="AV8" s="98"/>
      <c r="AW8" s="98"/>
      <c r="AX8" s="98"/>
      <c r="AY8" s="98"/>
      <c r="AZ8" s="98"/>
      <c r="BA8" s="98"/>
    </row>
    <row r="9" spans="1:53" x14ac:dyDescent="0.25">
      <c r="A9" s="961" t="s">
        <v>2500</v>
      </c>
      <c r="B9" s="961"/>
      <c r="C9" s="961"/>
      <c r="D9" s="961"/>
      <c r="E9" s="961"/>
      <c r="F9" s="961"/>
      <c r="G9" s="961"/>
      <c r="H9" s="961"/>
      <c r="I9" s="961"/>
      <c r="J9" s="961"/>
      <c r="K9" s="961"/>
      <c r="L9" s="961"/>
      <c r="M9" s="961"/>
      <c r="N9" s="98"/>
      <c r="O9" s="98"/>
      <c r="P9" s="98"/>
      <c r="Q9" s="98"/>
      <c r="R9" s="98"/>
      <c r="S9" s="98"/>
      <c r="T9" s="98"/>
      <c r="U9" s="98"/>
      <c r="V9" s="98"/>
      <c r="W9" s="98"/>
      <c r="X9" s="98"/>
      <c r="Y9" s="98"/>
      <c r="Z9" s="98"/>
      <c r="AA9" s="98"/>
      <c r="AB9" s="98"/>
      <c r="AC9" s="98"/>
      <c r="AD9" s="98"/>
      <c r="AE9" s="98"/>
      <c r="AF9" s="98"/>
      <c r="AG9" s="98"/>
      <c r="AH9" s="98"/>
      <c r="AI9" s="98"/>
      <c r="AJ9" s="98"/>
      <c r="AK9" s="540"/>
      <c r="AL9" s="98"/>
      <c r="AM9" s="98"/>
      <c r="AN9" s="98"/>
      <c r="AO9" s="98"/>
      <c r="AP9" s="98"/>
      <c r="AQ9" s="98"/>
      <c r="AR9" s="98"/>
      <c r="AS9" s="98"/>
      <c r="AT9" s="98"/>
      <c r="AU9" s="98"/>
      <c r="AV9" s="98"/>
      <c r="AW9" s="98"/>
      <c r="AX9" s="98"/>
      <c r="AY9" s="98"/>
      <c r="AZ9" s="98"/>
      <c r="BA9" s="98"/>
    </row>
    <row r="10" spans="1:53" ht="18" x14ac:dyDescent="0.25">
      <c r="A10" s="102"/>
      <c r="B10" s="102"/>
      <c r="C10" s="102"/>
      <c r="D10" s="102"/>
      <c r="E10" s="102"/>
      <c r="F10" s="100"/>
      <c r="G10" s="100"/>
      <c r="H10" s="100"/>
      <c r="I10" s="100"/>
      <c r="J10" s="100"/>
      <c r="K10" s="100"/>
      <c r="L10" s="100"/>
      <c r="M10" s="100"/>
      <c r="N10" s="98"/>
      <c r="O10" s="98"/>
      <c r="P10" s="98"/>
      <c r="Q10" s="98"/>
      <c r="R10" s="98"/>
      <c r="S10" s="98"/>
      <c r="T10" s="98"/>
      <c r="U10" s="98"/>
      <c r="V10" s="98"/>
      <c r="W10" s="98"/>
      <c r="X10" s="98"/>
      <c r="Y10" s="98"/>
      <c r="Z10" s="98"/>
      <c r="AA10" s="98"/>
      <c r="AB10" s="98"/>
      <c r="AC10" s="98"/>
      <c r="AD10" s="98"/>
      <c r="AE10" s="98"/>
      <c r="AF10" s="98"/>
      <c r="AG10" s="98"/>
      <c r="AH10" s="98"/>
      <c r="AI10" s="98"/>
      <c r="AJ10" s="98"/>
      <c r="AK10" s="540"/>
      <c r="AL10" s="98"/>
      <c r="AM10" s="98"/>
      <c r="AN10" s="98"/>
      <c r="AO10" s="98"/>
      <c r="AP10" s="98"/>
      <c r="AQ10" s="98"/>
      <c r="AR10" s="98"/>
      <c r="AS10" s="98"/>
      <c r="AT10" s="98"/>
      <c r="AU10" s="98"/>
      <c r="AV10" s="98"/>
      <c r="AW10" s="98"/>
      <c r="AX10" s="98"/>
      <c r="AY10" s="98"/>
      <c r="AZ10" s="98"/>
      <c r="BA10" s="98"/>
    </row>
    <row r="11" spans="1:53" x14ac:dyDescent="0.25">
      <c r="A11" s="961" t="s">
        <v>2546</v>
      </c>
      <c r="B11" s="961"/>
      <c r="C11" s="961"/>
      <c r="D11" s="961"/>
      <c r="E11" s="961"/>
      <c r="F11" s="961"/>
      <c r="G11" s="961"/>
      <c r="H11" s="961"/>
      <c r="I11" s="961"/>
      <c r="J11" s="961"/>
      <c r="K11" s="961"/>
      <c r="L11" s="961"/>
      <c r="M11" s="961"/>
      <c r="N11" s="98"/>
      <c r="O11" s="98"/>
      <c r="P11" s="98"/>
      <c r="Q11" s="98"/>
      <c r="R11" s="98"/>
      <c r="S11" s="98"/>
      <c r="T11" s="98"/>
      <c r="U11" s="98"/>
      <c r="V11" s="98"/>
      <c r="W11" s="98"/>
      <c r="X11" s="98"/>
      <c r="Y11" s="98"/>
      <c r="Z11" s="98"/>
      <c r="AA11" s="98"/>
      <c r="AB11" s="98"/>
      <c r="AC11" s="98"/>
      <c r="AD11" s="98"/>
      <c r="AE11" s="98"/>
      <c r="AF11" s="98"/>
      <c r="AG11" s="98"/>
      <c r="AH11" s="98"/>
      <c r="AI11" s="98"/>
      <c r="AJ11" s="98"/>
      <c r="AK11" s="540"/>
      <c r="AL11" s="98"/>
      <c r="AM11" s="98"/>
      <c r="AN11" s="98"/>
      <c r="AO11" s="98"/>
      <c r="AP11" s="98"/>
      <c r="AQ11" s="98"/>
      <c r="AR11" s="98"/>
      <c r="AS11" s="98"/>
      <c r="AT11" s="98"/>
      <c r="AU11" s="98"/>
      <c r="AV11" s="98"/>
      <c r="AW11" s="98"/>
      <c r="AX11" s="98"/>
      <c r="AY11" s="98"/>
      <c r="AZ11" s="98"/>
      <c r="BA11" s="98"/>
    </row>
    <row r="12" spans="1:53" ht="18" x14ac:dyDescent="0.25">
      <c r="A12" s="100"/>
      <c r="B12" s="100"/>
      <c r="C12" s="100"/>
      <c r="D12" s="100"/>
      <c r="E12" s="100"/>
      <c r="F12" s="100"/>
      <c r="G12" s="100"/>
      <c r="H12" s="100"/>
      <c r="I12" s="100"/>
      <c r="J12" s="100"/>
      <c r="K12" s="100"/>
      <c r="L12" s="100"/>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540"/>
      <c r="AL12" s="98"/>
      <c r="AM12" s="98"/>
      <c r="AN12" s="98"/>
      <c r="AO12" s="98"/>
      <c r="AP12" s="98"/>
      <c r="AQ12" s="98"/>
      <c r="AR12" s="98"/>
      <c r="AS12" s="98"/>
      <c r="AT12" s="98"/>
      <c r="AU12" s="98"/>
      <c r="AV12" s="98"/>
      <c r="AW12" s="98"/>
      <c r="AX12" s="98"/>
      <c r="AY12" s="98"/>
      <c r="AZ12" s="98"/>
      <c r="BA12" s="98"/>
    </row>
    <row r="13" spans="1:53" x14ac:dyDescent="0.25">
      <c r="A13" s="96"/>
      <c r="B13" s="96"/>
      <c r="C13" s="96"/>
      <c r="D13" s="96"/>
      <c r="E13" s="96"/>
      <c r="F13" s="96"/>
      <c r="G13" s="96"/>
      <c r="H13" s="97"/>
      <c r="I13" s="96"/>
      <c r="J13" s="96"/>
      <c r="K13" s="96"/>
      <c r="L13" s="96"/>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540"/>
      <c r="AL13" s="98"/>
      <c r="AM13" s="98"/>
      <c r="AN13" s="98"/>
      <c r="AO13" s="98"/>
      <c r="AP13" s="98"/>
      <c r="AQ13" s="98"/>
      <c r="AR13" s="98"/>
      <c r="AS13" s="98"/>
      <c r="AT13" s="98"/>
      <c r="AU13" s="98"/>
      <c r="AV13" s="98"/>
      <c r="AW13" s="98"/>
      <c r="AX13" s="98"/>
      <c r="AY13" s="98"/>
      <c r="AZ13" s="98"/>
      <c r="BA13" s="98"/>
    </row>
    <row r="14" spans="1:53" ht="38.25" customHeight="1" x14ac:dyDescent="0.25">
      <c r="A14" s="956" t="s">
        <v>62</v>
      </c>
      <c r="B14" s="956" t="s">
        <v>63</v>
      </c>
      <c r="C14" s="954" t="s">
        <v>0</v>
      </c>
      <c r="D14" s="954" t="s">
        <v>1</v>
      </c>
      <c r="E14" s="954" t="s">
        <v>2</v>
      </c>
      <c r="F14" s="954" t="s">
        <v>3</v>
      </c>
      <c r="G14" s="954" t="s">
        <v>64</v>
      </c>
      <c r="H14" s="954" t="s">
        <v>65</v>
      </c>
      <c r="I14" s="954" t="s">
        <v>66</v>
      </c>
      <c r="J14" s="954" t="s">
        <v>67</v>
      </c>
      <c r="K14" s="954" t="s">
        <v>480</v>
      </c>
      <c r="L14" s="954" t="s">
        <v>521</v>
      </c>
      <c r="M14" s="889" t="s">
        <v>529</v>
      </c>
      <c r="N14" s="891" t="s">
        <v>66</v>
      </c>
      <c r="O14" s="893"/>
      <c r="P14" s="889" t="s">
        <v>532</v>
      </c>
      <c r="Q14" s="891" t="s">
        <v>484</v>
      </c>
      <c r="R14" s="892"/>
      <c r="S14" s="892"/>
      <c r="T14" s="892"/>
      <c r="U14" s="892"/>
      <c r="V14" s="892"/>
      <c r="W14" s="892"/>
      <c r="X14" s="892"/>
      <c r="Y14" s="892"/>
      <c r="Z14" s="892"/>
      <c r="AA14" s="892"/>
      <c r="AB14" s="892"/>
      <c r="AC14" s="892"/>
      <c r="AD14" s="892"/>
      <c r="AE14" s="892"/>
      <c r="AF14" s="893"/>
      <c r="AG14" s="889" t="s">
        <v>485</v>
      </c>
      <c r="AH14" s="889" t="s">
        <v>531</v>
      </c>
      <c r="AI14" s="889" t="s">
        <v>952</v>
      </c>
      <c r="AJ14" s="889" t="s">
        <v>511</v>
      </c>
      <c r="AK14" s="1058" t="s">
        <v>486</v>
      </c>
      <c r="AL14" s="889" t="s">
        <v>535</v>
      </c>
      <c r="AM14" s="889" t="s">
        <v>487</v>
      </c>
      <c r="AN14" s="900" t="s">
        <v>524</v>
      </c>
      <c r="AO14" s="901"/>
      <c r="AP14" s="901"/>
      <c r="AQ14" s="901"/>
      <c r="AR14" s="901"/>
      <c r="AS14" s="901"/>
      <c r="AT14" s="901"/>
      <c r="AU14" s="901"/>
      <c r="AV14" s="901"/>
      <c r="AW14" s="901"/>
      <c r="AX14" s="901"/>
      <c r="AY14" s="902"/>
      <c r="AZ14" s="898" t="s">
        <v>512</v>
      </c>
      <c r="BA14" s="962" t="s">
        <v>488</v>
      </c>
    </row>
    <row r="15" spans="1:53" ht="84.75" customHeight="1" x14ac:dyDescent="0.25">
      <c r="A15" s="957"/>
      <c r="B15" s="957"/>
      <c r="C15" s="955"/>
      <c r="D15" s="955"/>
      <c r="E15" s="955"/>
      <c r="F15" s="955"/>
      <c r="G15" s="955"/>
      <c r="H15" s="955"/>
      <c r="I15" s="955"/>
      <c r="J15" s="955"/>
      <c r="K15" s="955"/>
      <c r="L15" s="955"/>
      <c r="M15" s="890"/>
      <c r="N15" s="93" t="s">
        <v>489</v>
      </c>
      <c r="O15" s="93" t="s">
        <v>530</v>
      </c>
      <c r="P15" s="890"/>
      <c r="Q15" s="94" t="s">
        <v>490</v>
      </c>
      <c r="R15" s="94" t="s">
        <v>533</v>
      </c>
      <c r="S15" s="94" t="s">
        <v>491</v>
      </c>
      <c r="T15" s="94" t="s">
        <v>492</v>
      </c>
      <c r="U15" s="94" t="s">
        <v>522</v>
      </c>
      <c r="V15" s="94" t="s">
        <v>493</v>
      </c>
      <c r="W15" s="94" t="s">
        <v>494</v>
      </c>
      <c r="X15" s="94" t="s">
        <v>495</v>
      </c>
      <c r="Y15" s="94" t="s">
        <v>496</v>
      </c>
      <c r="Z15" s="94" t="s">
        <v>497</v>
      </c>
      <c r="AA15" s="94" t="s">
        <v>523</v>
      </c>
      <c r="AB15" s="94" t="s">
        <v>534</v>
      </c>
      <c r="AC15" s="94" t="s">
        <v>498</v>
      </c>
      <c r="AD15" s="94" t="s">
        <v>499</v>
      </c>
      <c r="AE15" s="94" t="s">
        <v>500</v>
      </c>
      <c r="AF15" s="94" t="s">
        <v>501</v>
      </c>
      <c r="AG15" s="890"/>
      <c r="AH15" s="890"/>
      <c r="AI15" s="890"/>
      <c r="AJ15" s="890"/>
      <c r="AK15" s="1059"/>
      <c r="AL15" s="890"/>
      <c r="AM15" s="890"/>
      <c r="AN15" s="95" t="s">
        <v>502</v>
      </c>
      <c r="AO15" s="95" t="s">
        <v>503</v>
      </c>
      <c r="AP15" s="95" t="s">
        <v>504</v>
      </c>
      <c r="AQ15" s="95" t="s">
        <v>505</v>
      </c>
      <c r="AR15" s="95" t="s">
        <v>504</v>
      </c>
      <c r="AS15" s="95" t="s">
        <v>506</v>
      </c>
      <c r="AT15" s="95" t="s">
        <v>506</v>
      </c>
      <c r="AU15" s="95" t="s">
        <v>505</v>
      </c>
      <c r="AV15" s="95" t="s">
        <v>507</v>
      </c>
      <c r="AW15" s="95" t="s">
        <v>508</v>
      </c>
      <c r="AX15" s="95" t="s">
        <v>509</v>
      </c>
      <c r="AY15" s="95" t="s">
        <v>510</v>
      </c>
      <c r="AZ15" s="899"/>
      <c r="BA15" s="963"/>
    </row>
    <row r="16" spans="1:53" ht="225" x14ac:dyDescent="0.25">
      <c r="A16" s="214" t="s">
        <v>1959</v>
      </c>
      <c r="B16" s="541" t="s">
        <v>2501</v>
      </c>
      <c r="C16" s="921" t="s">
        <v>2502</v>
      </c>
      <c r="D16" s="921" t="s">
        <v>2503</v>
      </c>
      <c r="E16" s="936" t="s">
        <v>2504</v>
      </c>
      <c r="F16" s="183" t="s">
        <v>2505</v>
      </c>
      <c r="G16" s="924" t="s">
        <v>2506</v>
      </c>
      <c r="H16" s="183" t="s">
        <v>2507</v>
      </c>
      <c r="I16" s="183" t="s">
        <v>2508</v>
      </c>
      <c r="J16" s="183" t="s">
        <v>2509</v>
      </c>
      <c r="K16" s="108" t="s">
        <v>526</v>
      </c>
      <c r="L16" s="183">
        <v>1</v>
      </c>
      <c r="M16" s="136">
        <v>0.1</v>
      </c>
      <c r="N16" s="542" t="s">
        <v>2508</v>
      </c>
      <c r="O16" s="243">
        <v>0.9</v>
      </c>
      <c r="P16" s="423">
        <f>SUM(Q16:AF16)</f>
        <v>55399.955000000002</v>
      </c>
      <c r="Q16" s="423">
        <v>55399.955000000002</v>
      </c>
      <c r="R16" s="243"/>
      <c r="S16" s="243"/>
      <c r="T16" s="243"/>
      <c r="U16" s="243"/>
      <c r="V16" s="243"/>
      <c r="W16" s="243"/>
      <c r="X16" s="243"/>
      <c r="Y16" s="243"/>
      <c r="Z16" s="243"/>
      <c r="AA16" s="243"/>
      <c r="AB16" s="243"/>
      <c r="AC16" s="243"/>
      <c r="AD16" s="243"/>
      <c r="AE16" s="243"/>
      <c r="AF16" s="243"/>
      <c r="AG16" s="543" t="s">
        <v>2510</v>
      </c>
      <c r="AH16" s="243"/>
      <c r="AI16" s="243">
        <v>42</v>
      </c>
      <c r="AJ16" s="243">
        <v>7</v>
      </c>
      <c r="AK16" s="544">
        <v>1391836</v>
      </c>
      <c r="AL16" s="545">
        <v>104500</v>
      </c>
      <c r="AM16" s="128" t="s">
        <v>2511</v>
      </c>
      <c r="AN16" s="243" t="s">
        <v>554</v>
      </c>
      <c r="AO16" s="243" t="s">
        <v>554</v>
      </c>
      <c r="AP16" s="243" t="s">
        <v>554</v>
      </c>
      <c r="AQ16" s="243" t="s">
        <v>554</v>
      </c>
      <c r="AR16" s="243" t="s">
        <v>554</v>
      </c>
      <c r="AS16" s="243" t="s">
        <v>554</v>
      </c>
      <c r="AT16" s="243" t="s">
        <v>554</v>
      </c>
      <c r="AU16" s="243" t="s">
        <v>554</v>
      </c>
      <c r="AV16" s="243" t="s">
        <v>554</v>
      </c>
      <c r="AW16" s="243" t="s">
        <v>554</v>
      </c>
      <c r="AX16" s="243" t="s">
        <v>554</v>
      </c>
      <c r="AY16" s="243" t="s">
        <v>554</v>
      </c>
      <c r="AZ16" s="243" t="s">
        <v>2512</v>
      </c>
      <c r="BA16" s="245" t="s">
        <v>2513</v>
      </c>
    </row>
    <row r="17" spans="1:53" ht="225" x14ac:dyDescent="0.25">
      <c r="A17" s="214" t="s">
        <v>1959</v>
      </c>
      <c r="B17" s="541" t="s">
        <v>2501</v>
      </c>
      <c r="C17" s="922"/>
      <c r="D17" s="922"/>
      <c r="E17" s="947"/>
      <c r="F17" s="183" t="s">
        <v>2505</v>
      </c>
      <c r="G17" s="924"/>
      <c r="H17" s="183" t="s">
        <v>2514</v>
      </c>
      <c r="I17" s="183" t="s">
        <v>2515</v>
      </c>
      <c r="J17" s="546">
        <v>0</v>
      </c>
      <c r="K17" s="108" t="s">
        <v>526</v>
      </c>
      <c r="L17" s="546">
        <v>1</v>
      </c>
      <c r="M17" s="136">
        <v>0.3</v>
      </c>
      <c r="N17" s="547" t="s">
        <v>2515</v>
      </c>
      <c r="O17" s="243"/>
      <c r="P17" s="423">
        <v>79111.224000000002</v>
      </c>
      <c r="Q17" s="423">
        <v>79111.224000000002</v>
      </c>
      <c r="R17" s="243"/>
      <c r="S17" s="243"/>
      <c r="T17" s="243"/>
      <c r="U17" s="243"/>
      <c r="V17" s="243"/>
      <c r="W17" s="243"/>
      <c r="X17" s="243"/>
      <c r="Y17" s="243"/>
      <c r="Z17" s="243"/>
      <c r="AA17" s="243"/>
      <c r="AB17" s="502"/>
      <c r="AC17" s="243"/>
      <c r="AD17" s="243"/>
      <c r="AE17" s="243"/>
      <c r="AF17" s="243"/>
      <c r="AG17" s="548" t="s">
        <v>2516</v>
      </c>
      <c r="AH17" s="243"/>
      <c r="AI17" s="243">
        <v>42</v>
      </c>
      <c r="AJ17" s="243">
        <v>7</v>
      </c>
      <c r="AK17" s="544">
        <v>1391836</v>
      </c>
      <c r="AL17" s="545">
        <v>104500</v>
      </c>
      <c r="AM17" s="128" t="s">
        <v>2511</v>
      </c>
      <c r="AN17" s="243" t="s">
        <v>554</v>
      </c>
      <c r="AO17" s="243" t="s">
        <v>554</v>
      </c>
      <c r="AP17" s="243" t="s">
        <v>554</v>
      </c>
      <c r="AQ17" s="243" t="s">
        <v>554</v>
      </c>
      <c r="AR17" s="243" t="s">
        <v>554</v>
      </c>
      <c r="AS17" s="243" t="s">
        <v>554</v>
      </c>
      <c r="AT17" s="243" t="s">
        <v>554</v>
      </c>
      <c r="AU17" s="243" t="s">
        <v>554</v>
      </c>
      <c r="AV17" s="243" t="s">
        <v>554</v>
      </c>
      <c r="AW17" s="243" t="s">
        <v>554</v>
      </c>
      <c r="AX17" s="243" t="s">
        <v>554</v>
      </c>
      <c r="AY17" s="243" t="s">
        <v>554</v>
      </c>
      <c r="AZ17" s="243" t="s">
        <v>2512</v>
      </c>
      <c r="BA17" s="245" t="s">
        <v>2513</v>
      </c>
    </row>
    <row r="18" spans="1:53" ht="225" x14ac:dyDescent="0.25">
      <c r="A18" s="214" t="s">
        <v>1959</v>
      </c>
      <c r="B18" s="541" t="s">
        <v>2501</v>
      </c>
      <c r="C18" s="922"/>
      <c r="D18" s="922"/>
      <c r="E18" s="947"/>
      <c r="F18" s="183" t="s">
        <v>2505</v>
      </c>
      <c r="G18" s="924"/>
      <c r="H18" s="183" t="s">
        <v>2517</v>
      </c>
      <c r="I18" s="183" t="s">
        <v>2518</v>
      </c>
      <c r="J18" s="546">
        <v>0</v>
      </c>
      <c r="K18" s="108" t="s">
        <v>526</v>
      </c>
      <c r="L18" s="546">
        <v>1</v>
      </c>
      <c r="M18" s="136">
        <v>0.3</v>
      </c>
      <c r="N18" s="547" t="s">
        <v>2518</v>
      </c>
      <c r="O18" s="243">
        <v>0.7</v>
      </c>
      <c r="P18" s="423">
        <v>39555.612000000001</v>
      </c>
      <c r="Q18" s="423">
        <v>39555.612000000001</v>
      </c>
      <c r="R18" s="243"/>
      <c r="S18" s="243"/>
      <c r="T18" s="243"/>
      <c r="U18" s="243"/>
      <c r="V18" s="243"/>
      <c r="W18" s="243"/>
      <c r="X18" s="243"/>
      <c r="Y18" s="243"/>
      <c r="Z18" s="243"/>
      <c r="AA18" s="243"/>
      <c r="AB18" s="243"/>
      <c r="AC18" s="243"/>
      <c r="AD18" s="243"/>
      <c r="AE18" s="243"/>
      <c r="AF18" s="243"/>
      <c r="AG18" s="548" t="s">
        <v>2516</v>
      </c>
      <c r="AH18" s="243"/>
      <c r="AI18" s="243">
        <v>42</v>
      </c>
      <c r="AJ18" s="243">
        <v>7</v>
      </c>
      <c r="AK18" s="544">
        <v>1391836</v>
      </c>
      <c r="AL18" s="545">
        <v>104500</v>
      </c>
      <c r="AM18" s="128" t="s">
        <v>2511</v>
      </c>
      <c r="AN18" s="243" t="s">
        <v>554</v>
      </c>
      <c r="AO18" s="243" t="s">
        <v>554</v>
      </c>
      <c r="AP18" s="243" t="s">
        <v>554</v>
      </c>
      <c r="AQ18" s="243" t="s">
        <v>554</v>
      </c>
      <c r="AR18" s="243" t="s">
        <v>554</v>
      </c>
      <c r="AS18" s="243" t="s">
        <v>554</v>
      </c>
      <c r="AT18" s="243" t="s">
        <v>554</v>
      </c>
      <c r="AU18" s="243" t="s">
        <v>554</v>
      </c>
      <c r="AV18" s="243" t="s">
        <v>554</v>
      </c>
      <c r="AW18" s="243" t="s">
        <v>554</v>
      </c>
      <c r="AX18" s="243" t="s">
        <v>554</v>
      </c>
      <c r="AY18" s="243" t="s">
        <v>554</v>
      </c>
      <c r="AZ18" s="243" t="s">
        <v>2519</v>
      </c>
      <c r="BA18" s="245" t="s">
        <v>2513</v>
      </c>
    </row>
    <row r="19" spans="1:53" ht="225" x14ac:dyDescent="0.25">
      <c r="A19" s="214" t="s">
        <v>1959</v>
      </c>
      <c r="B19" s="541" t="s">
        <v>2501</v>
      </c>
      <c r="C19" s="922"/>
      <c r="D19" s="922"/>
      <c r="E19" s="947"/>
      <c r="F19" s="183" t="s">
        <v>2505</v>
      </c>
      <c r="G19" s="924"/>
      <c r="H19" s="183" t="s">
        <v>2520</v>
      </c>
      <c r="I19" s="183" t="s">
        <v>2521</v>
      </c>
      <c r="J19" s="183">
        <v>0</v>
      </c>
      <c r="K19" s="108" t="s">
        <v>526</v>
      </c>
      <c r="L19" s="183">
        <v>1</v>
      </c>
      <c r="M19" s="136">
        <v>0.3</v>
      </c>
      <c r="N19" s="542" t="s">
        <v>2521</v>
      </c>
      <c r="O19" s="243">
        <v>0.7</v>
      </c>
      <c r="P19" s="423">
        <v>39555.612000000001</v>
      </c>
      <c r="Q19" s="423">
        <v>39555.612000000001</v>
      </c>
      <c r="R19" s="243"/>
      <c r="S19" s="243"/>
      <c r="T19" s="243"/>
      <c r="U19" s="243"/>
      <c r="V19" s="243"/>
      <c r="W19" s="243"/>
      <c r="X19" s="243"/>
      <c r="Y19" s="243"/>
      <c r="Z19" s="243"/>
      <c r="AA19" s="243"/>
      <c r="AB19" s="243"/>
      <c r="AC19" s="243"/>
      <c r="AD19" s="243"/>
      <c r="AE19" s="243"/>
      <c r="AF19" s="243"/>
      <c r="AG19" s="548" t="s">
        <v>2516</v>
      </c>
      <c r="AH19" s="243"/>
      <c r="AI19" s="243">
        <v>42</v>
      </c>
      <c r="AJ19" s="243">
        <v>7</v>
      </c>
      <c r="AK19" s="544">
        <v>1391836</v>
      </c>
      <c r="AL19" s="545">
        <v>104500</v>
      </c>
      <c r="AM19" s="128" t="s">
        <v>2511</v>
      </c>
      <c r="AN19" s="243" t="s">
        <v>554</v>
      </c>
      <c r="AO19" s="243" t="s">
        <v>554</v>
      </c>
      <c r="AP19" s="243" t="s">
        <v>554</v>
      </c>
      <c r="AQ19" s="243" t="s">
        <v>554</v>
      </c>
      <c r="AR19" s="243" t="s">
        <v>554</v>
      </c>
      <c r="AS19" s="243" t="s">
        <v>554</v>
      </c>
      <c r="AT19" s="243" t="s">
        <v>554</v>
      </c>
      <c r="AU19" s="243" t="s">
        <v>554</v>
      </c>
      <c r="AV19" s="243" t="s">
        <v>554</v>
      </c>
      <c r="AW19" s="243" t="s">
        <v>554</v>
      </c>
      <c r="AX19" s="243" t="s">
        <v>554</v>
      </c>
      <c r="AY19" s="243" t="s">
        <v>554</v>
      </c>
      <c r="AZ19" s="236" t="s">
        <v>2522</v>
      </c>
      <c r="BA19" s="245" t="s">
        <v>2513</v>
      </c>
    </row>
    <row r="20" spans="1:53" ht="180" x14ac:dyDescent="0.25">
      <c r="A20" s="214" t="s">
        <v>1959</v>
      </c>
      <c r="B20" s="541" t="s">
        <v>2501</v>
      </c>
      <c r="C20" s="922"/>
      <c r="D20" s="922"/>
      <c r="E20" s="947"/>
      <c r="F20" s="183" t="s">
        <v>2523</v>
      </c>
      <c r="G20" s="924" t="s">
        <v>2524</v>
      </c>
      <c r="H20" s="183" t="s">
        <v>2525</v>
      </c>
      <c r="I20" s="183" t="s">
        <v>2526</v>
      </c>
      <c r="J20" s="546">
        <v>0</v>
      </c>
      <c r="K20" s="108" t="s">
        <v>526</v>
      </c>
      <c r="L20" s="546">
        <v>1</v>
      </c>
      <c r="M20" s="136">
        <v>0.1</v>
      </c>
      <c r="N20" s="547" t="s">
        <v>2526</v>
      </c>
      <c r="O20" s="243">
        <v>0.7</v>
      </c>
      <c r="P20" s="423">
        <v>39555.612000000001</v>
      </c>
      <c r="Q20" s="423">
        <v>39555.612000000001</v>
      </c>
      <c r="R20" s="243"/>
      <c r="S20" s="243"/>
      <c r="T20" s="243"/>
      <c r="U20" s="243"/>
      <c r="V20" s="243"/>
      <c r="W20" s="243"/>
      <c r="X20" s="243"/>
      <c r="Y20" s="243"/>
      <c r="Z20" s="243"/>
      <c r="AA20" s="243"/>
      <c r="AB20" s="243"/>
      <c r="AC20" s="243"/>
      <c r="AD20" s="243"/>
      <c r="AE20" s="243"/>
      <c r="AF20" s="243"/>
      <c r="AG20" s="549" t="s">
        <v>2527</v>
      </c>
      <c r="AH20" s="243"/>
      <c r="AI20" s="243">
        <v>42</v>
      </c>
      <c r="AJ20" s="243">
        <v>7</v>
      </c>
      <c r="AK20" s="544">
        <v>1391836</v>
      </c>
      <c r="AL20" s="545">
        <v>170000</v>
      </c>
      <c r="AM20" s="245" t="s">
        <v>2528</v>
      </c>
      <c r="AN20" s="243" t="s">
        <v>554</v>
      </c>
      <c r="AO20" s="243" t="s">
        <v>554</v>
      </c>
      <c r="AP20" s="243" t="s">
        <v>554</v>
      </c>
      <c r="AQ20" s="243" t="s">
        <v>554</v>
      </c>
      <c r="AR20" s="243" t="s">
        <v>554</v>
      </c>
      <c r="AS20" s="243" t="s">
        <v>554</v>
      </c>
      <c r="AT20" s="243" t="s">
        <v>554</v>
      </c>
      <c r="AU20" s="243" t="s">
        <v>554</v>
      </c>
      <c r="AV20" s="243" t="s">
        <v>554</v>
      </c>
      <c r="AW20" s="243" t="s">
        <v>554</v>
      </c>
      <c r="AX20" s="243" t="s">
        <v>554</v>
      </c>
      <c r="AY20" s="243" t="s">
        <v>554</v>
      </c>
      <c r="AZ20" s="236" t="s">
        <v>2529</v>
      </c>
      <c r="BA20" s="245" t="s">
        <v>2513</v>
      </c>
    </row>
    <row r="21" spans="1:53" ht="180" x14ac:dyDescent="0.25">
      <c r="A21" s="214" t="s">
        <v>1959</v>
      </c>
      <c r="B21" s="541" t="s">
        <v>2501</v>
      </c>
      <c r="C21" s="922"/>
      <c r="D21" s="922"/>
      <c r="E21" s="947"/>
      <c r="F21" s="183" t="s">
        <v>2523</v>
      </c>
      <c r="G21" s="924"/>
      <c r="H21" s="183" t="s">
        <v>2530</v>
      </c>
      <c r="I21" s="183" t="s">
        <v>2531</v>
      </c>
      <c r="J21" s="546">
        <v>0</v>
      </c>
      <c r="K21" s="108" t="s">
        <v>526</v>
      </c>
      <c r="L21" s="546">
        <v>1</v>
      </c>
      <c r="M21" s="136">
        <v>0.3</v>
      </c>
      <c r="N21" s="542" t="s">
        <v>2531</v>
      </c>
      <c r="O21" s="243">
        <v>0.7</v>
      </c>
      <c r="P21" s="423">
        <v>59104.262000000002</v>
      </c>
      <c r="Q21" s="423">
        <v>59104.262000000002</v>
      </c>
      <c r="R21" s="243"/>
      <c r="S21" s="243"/>
      <c r="T21" s="243"/>
      <c r="U21" s="243"/>
      <c r="V21" s="243"/>
      <c r="W21" s="243"/>
      <c r="X21" s="243"/>
      <c r="Y21" s="243"/>
      <c r="Z21" s="243"/>
      <c r="AA21" s="243"/>
      <c r="AB21" s="243"/>
      <c r="AC21" s="243"/>
      <c r="AD21" s="243"/>
      <c r="AE21" s="243"/>
      <c r="AF21" s="243"/>
      <c r="AG21" s="128" t="s">
        <v>2527</v>
      </c>
      <c r="AH21" s="243"/>
      <c r="AI21" s="243">
        <v>42</v>
      </c>
      <c r="AJ21" s="243">
        <v>7</v>
      </c>
      <c r="AK21" s="544">
        <v>1391836</v>
      </c>
      <c r="AL21" s="545">
        <v>170000</v>
      </c>
      <c r="AM21" s="128" t="s">
        <v>2532</v>
      </c>
      <c r="AN21" s="243" t="s">
        <v>554</v>
      </c>
      <c r="AO21" s="243" t="s">
        <v>554</v>
      </c>
      <c r="AP21" s="243" t="s">
        <v>554</v>
      </c>
      <c r="AQ21" s="243" t="s">
        <v>554</v>
      </c>
      <c r="AR21" s="243" t="s">
        <v>554</v>
      </c>
      <c r="AS21" s="243" t="s">
        <v>554</v>
      </c>
      <c r="AT21" s="243" t="s">
        <v>554</v>
      </c>
      <c r="AU21" s="243" t="s">
        <v>554</v>
      </c>
      <c r="AV21" s="243" t="s">
        <v>554</v>
      </c>
      <c r="AW21" s="243" t="s">
        <v>554</v>
      </c>
      <c r="AX21" s="243" t="s">
        <v>554</v>
      </c>
      <c r="AY21" s="243" t="s">
        <v>554</v>
      </c>
      <c r="AZ21" s="236" t="s">
        <v>2529</v>
      </c>
      <c r="BA21" s="245" t="s">
        <v>2513</v>
      </c>
    </row>
    <row r="22" spans="1:53" ht="180" x14ac:dyDescent="0.25">
      <c r="A22" s="214" t="s">
        <v>1959</v>
      </c>
      <c r="B22" s="541" t="s">
        <v>2501</v>
      </c>
      <c r="C22" s="922"/>
      <c r="D22" s="922"/>
      <c r="E22" s="947"/>
      <c r="F22" s="183" t="s">
        <v>2533</v>
      </c>
      <c r="G22" s="924" t="s">
        <v>2534</v>
      </c>
      <c r="H22" s="183" t="s">
        <v>2535</v>
      </c>
      <c r="I22" s="183" t="s">
        <v>2536</v>
      </c>
      <c r="J22" s="183">
        <v>0</v>
      </c>
      <c r="K22" s="108" t="s">
        <v>526</v>
      </c>
      <c r="L22" s="183">
        <v>1</v>
      </c>
      <c r="M22" s="136">
        <v>0.16</v>
      </c>
      <c r="N22" s="547" t="s">
        <v>2536</v>
      </c>
      <c r="O22" s="243">
        <v>0.84</v>
      </c>
      <c r="P22" s="423">
        <v>98918.548999999999</v>
      </c>
      <c r="Q22" s="423">
        <v>98918.548999999999</v>
      </c>
      <c r="R22" s="243"/>
      <c r="S22" s="243"/>
      <c r="T22" s="243"/>
      <c r="U22" s="243"/>
      <c r="V22" s="243"/>
      <c r="W22" s="243"/>
      <c r="X22" s="243"/>
      <c r="Y22" s="243"/>
      <c r="Z22" s="243"/>
      <c r="AA22" s="243"/>
      <c r="AB22" s="243"/>
      <c r="AC22" s="550"/>
      <c r="AD22" s="243"/>
      <c r="AE22" s="243"/>
      <c r="AF22" s="243"/>
      <c r="AG22" s="549" t="s">
        <v>2537</v>
      </c>
      <c r="AH22" s="243"/>
      <c r="AI22" s="236">
        <v>42</v>
      </c>
      <c r="AJ22" s="236">
        <v>7</v>
      </c>
      <c r="AK22" s="544">
        <v>1391836</v>
      </c>
      <c r="AL22" s="544">
        <v>238400</v>
      </c>
      <c r="AM22" s="128" t="s">
        <v>2538</v>
      </c>
      <c r="AN22" s="236" t="s">
        <v>536</v>
      </c>
      <c r="AO22" s="236" t="s">
        <v>536</v>
      </c>
      <c r="AP22" s="236" t="s">
        <v>536</v>
      </c>
      <c r="AQ22" s="236" t="s">
        <v>536</v>
      </c>
      <c r="AR22" s="236" t="s">
        <v>536</v>
      </c>
      <c r="AS22" s="236" t="s">
        <v>536</v>
      </c>
      <c r="AT22" s="236" t="s">
        <v>536</v>
      </c>
      <c r="AU22" s="236" t="s">
        <v>536</v>
      </c>
      <c r="AV22" s="236" t="s">
        <v>536</v>
      </c>
      <c r="AW22" s="236" t="s">
        <v>536</v>
      </c>
      <c r="AX22" s="236" t="s">
        <v>536</v>
      </c>
      <c r="AY22" s="236" t="s">
        <v>536</v>
      </c>
      <c r="AZ22" s="236" t="s">
        <v>2539</v>
      </c>
      <c r="BA22" s="245" t="s">
        <v>2513</v>
      </c>
    </row>
    <row r="23" spans="1:53" ht="180" x14ac:dyDescent="0.25">
      <c r="A23" s="214" t="s">
        <v>1959</v>
      </c>
      <c r="B23" s="541" t="s">
        <v>2501</v>
      </c>
      <c r="C23" s="922"/>
      <c r="D23" s="922"/>
      <c r="E23" s="947"/>
      <c r="F23" s="183" t="s">
        <v>2533</v>
      </c>
      <c r="G23" s="924"/>
      <c r="H23" s="183" t="s">
        <v>2540</v>
      </c>
      <c r="I23" s="183" t="s">
        <v>2541</v>
      </c>
      <c r="J23" s="546">
        <v>0</v>
      </c>
      <c r="K23" s="108" t="s">
        <v>526</v>
      </c>
      <c r="L23" s="546">
        <v>1</v>
      </c>
      <c r="M23" s="136">
        <v>0.3</v>
      </c>
      <c r="N23" s="547" t="s">
        <v>2541</v>
      </c>
      <c r="O23" s="243">
        <v>0.7</v>
      </c>
      <c r="P23" s="423">
        <v>37621</v>
      </c>
      <c r="Q23" s="423">
        <v>37621</v>
      </c>
      <c r="R23" s="243"/>
      <c r="S23" s="243"/>
      <c r="T23" s="243"/>
      <c r="U23" s="243"/>
      <c r="V23" s="243"/>
      <c r="W23" s="243"/>
      <c r="X23" s="243"/>
      <c r="Y23" s="243"/>
      <c r="Z23" s="243"/>
      <c r="AA23" s="243"/>
      <c r="AB23" s="243"/>
      <c r="AC23" s="243"/>
      <c r="AD23" s="243"/>
      <c r="AE23" s="243"/>
      <c r="AF23" s="243"/>
      <c r="AG23" s="549" t="s">
        <v>2537</v>
      </c>
      <c r="AH23" s="243"/>
      <c r="AI23" s="236">
        <v>42</v>
      </c>
      <c r="AJ23" s="236">
        <v>7</v>
      </c>
      <c r="AK23" s="544">
        <v>1391836</v>
      </c>
      <c r="AL23" s="544">
        <v>238400</v>
      </c>
      <c r="AM23" s="128" t="s">
        <v>2542</v>
      </c>
      <c r="AN23" s="236" t="s">
        <v>536</v>
      </c>
      <c r="AO23" s="236" t="s">
        <v>536</v>
      </c>
      <c r="AP23" s="236" t="s">
        <v>536</v>
      </c>
      <c r="AQ23" s="236" t="s">
        <v>536</v>
      </c>
      <c r="AR23" s="236" t="s">
        <v>536</v>
      </c>
      <c r="AS23" s="236" t="s">
        <v>536</v>
      </c>
      <c r="AT23" s="236" t="s">
        <v>536</v>
      </c>
      <c r="AU23" s="236" t="s">
        <v>536</v>
      </c>
      <c r="AV23" s="236" t="s">
        <v>536</v>
      </c>
      <c r="AW23" s="236" t="s">
        <v>536</v>
      </c>
      <c r="AX23" s="236" t="s">
        <v>536</v>
      </c>
      <c r="AY23" s="236" t="s">
        <v>536</v>
      </c>
      <c r="AZ23" s="236" t="s">
        <v>2539</v>
      </c>
      <c r="BA23" s="245" t="s">
        <v>2513</v>
      </c>
    </row>
    <row r="24" spans="1:53" ht="315" x14ac:dyDescent="0.25">
      <c r="A24" s="108" t="s">
        <v>1959</v>
      </c>
      <c r="B24" s="541" t="s">
        <v>2501</v>
      </c>
      <c r="C24" s="923"/>
      <c r="D24" s="923"/>
      <c r="E24" s="937"/>
      <c r="F24" s="183" t="s">
        <v>2533</v>
      </c>
      <c r="G24" s="924"/>
      <c r="H24" s="183" t="s">
        <v>2543</v>
      </c>
      <c r="I24" s="183" t="s">
        <v>2544</v>
      </c>
      <c r="J24" s="546">
        <v>0</v>
      </c>
      <c r="K24" s="108" t="s">
        <v>526</v>
      </c>
      <c r="L24" s="546">
        <v>1</v>
      </c>
      <c r="M24" s="136">
        <v>0.2</v>
      </c>
      <c r="N24" s="547" t="s">
        <v>2544</v>
      </c>
      <c r="O24" s="243">
        <v>0.8</v>
      </c>
      <c r="P24" s="423">
        <v>105409.572</v>
      </c>
      <c r="Q24" s="423">
        <v>105409.572</v>
      </c>
      <c r="R24" s="243"/>
      <c r="S24" s="243"/>
      <c r="T24" s="243"/>
      <c r="U24" s="243"/>
      <c r="V24" s="243"/>
      <c r="W24" s="243"/>
      <c r="X24" s="243"/>
      <c r="Y24" s="243"/>
      <c r="Z24" s="243"/>
      <c r="AA24" s="243"/>
      <c r="AB24" s="243"/>
      <c r="AC24" s="243"/>
      <c r="AD24" s="243"/>
      <c r="AE24" s="243"/>
      <c r="AF24" s="243"/>
      <c r="AG24" s="128" t="s">
        <v>2537</v>
      </c>
      <c r="AH24" s="243"/>
      <c r="AI24" s="236">
        <v>42</v>
      </c>
      <c r="AJ24" s="236">
        <v>7</v>
      </c>
      <c r="AK24" s="544">
        <v>1391836</v>
      </c>
      <c r="AL24" s="544">
        <v>238400</v>
      </c>
      <c r="AM24" s="548" t="s">
        <v>2545</v>
      </c>
      <c r="AN24" s="236" t="s">
        <v>536</v>
      </c>
      <c r="AO24" s="236" t="s">
        <v>536</v>
      </c>
      <c r="AP24" s="236" t="s">
        <v>536</v>
      </c>
      <c r="AQ24" s="236" t="s">
        <v>536</v>
      </c>
      <c r="AR24" s="236" t="s">
        <v>536</v>
      </c>
      <c r="AS24" s="236" t="s">
        <v>536</v>
      </c>
      <c r="AT24" s="236" t="s">
        <v>536</v>
      </c>
      <c r="AU24" s="236" t="s">
        <v>536</v>
      </c>
      <c r="AV24" s="236" t="s">
        <v>536</v>
      </c>
      <c r="AW24" s="236" t="s">
        <v>536</v>
      </c>
      <c r="AX24" s="236" t="s">
        <v>536</v>
      </c>
      <c r="AY24" s="236" t="s">
        <v>536</v>
      </c>
      <c r="AZ24" s="236" t="s">
        <v>2539</v>
      </c>
      <c r="BA24" s="245" t="s">
        <v>2513</v>
      </c>
    </row>
  </sheetData>
  <sheetProtection password="DFEF" sheet="1" objects="1" scenarios="1" autoFilter="0"/>
  <mergeCells count="38">
    <mergeCell ref="AZ14:AZ15"/>
    <mergeCell ref="BA14:BA15"/>
    <mergeCell ref="C16:C24"/>
    <mergeCell ref="D16:D24"/>
    <mergeCell ref="E16:E24"/>
    <mergeCell ref="G16:G19"/>
    <mergeCell ref="G20:G21"/>
    <mergeCell ref="G22:G24"/>
    <mergeCell ref="AI14:AI15"/>
    <mergeCell ref="AJ14:AJ15"/>
    <mergeCell ref="AK14:AK15"/>
    <mergeCell ref="AL14:AL15"/>
    <mergeCell ref="AM14:AM15"/>
    <mergeCell ref="AN14:AY14"/>
    <mergeCell ref="M14:M15"/>
    <mergeCell ref="N14:O14"/>
    <mergeCell ref="P14:P15"/>
    <mergeCell ref="Q14:AF14"/>
    <mergeCell ref="AG14:AG15"/>
    <mergeCell ref="AH14:AH15"/>
    <mergeCell ref="G14:G15"/>
    <mergeCell ref="H14:H15"/>
    <mergeCell ref="I14:I15"/>
    <mergeCell ref="J14:J15"/>
    <mergeCell ref="K14:K15"/>
    <mergeCell ref="L14:L15"/>
    <mergeCell ref="F14:F15"/>
    <mergeCell ref="A2:L2"/>
    <mergeCell ref="A3:L3"/>
    <mergeCell ref="A5:L5"/>
    <mergeCell ref="A6:L6"/>
    <mergeCell ref="A9:M9"/>
    <mergeCell ref="A11:M11"/>
    <mergeCell ref="A14:A15"/>
    <mergeCell ref="B14:B15"/>
    <mergeCell ref="C14:C15"/>
    <mergeCell ref="D14:D15"/>
    <mergeCell ref="E14:E15"/>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9"/>
  <sheetViews>
    <sheetView topLeftCell="D1" zoomScale="90" zoomScaleNormal="90" workbookViewId="0">
      <selection activeCell="F16" sqref="F16"/>
    </sheetView>
  </sheetViews>
  <sheetFormatPr baseColWidth="10" defaultRowHeight="15" x14ac:dyDescent="0.25"/>
  <cols>
    <col min="2" max="2" width="13.7109375" customWidth="1"/>
    <col min="5" max="5" width="13.85546875" customWidth="1"/>
    <col min="8" max="8" width="17.28515625" customWidth="1"/>
    <col min="9" max="9" width="19.7109375" customWidth="1"/>
    <col min="14" max="14" width="19" customWidth="1"/>
    <col min="39" max="39" width="23" customWidth="1"/>
    <col min="40" max="51" width="6.7109375" customWidth="1"/>
  </cols>
  <sheetData>
    <row r="1" spans="1:53" x14ac:dyDescent="0.25">
      <c r="A1" s="96"/>
      <c r="B1" s="96"/>
      <c r="C1" s="96"/>
      <c r="D1" s="96"/>
      <c r="E1" s="96"/>
      <c r="F1" s="96"/>
      <c r="G1" s="96"/>
      <c r="H1" s="97"/>
      <c r="I1" s="96"/>
      <c r="J1" s="96"/>
      <c r="K1" s="96"/>
      <c r="L1" s="96"/>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row>
    <row r="2" spans="1:53" ht="18" x14ac:dyDescent="0.25">
      <c r="A2" s="958" t="s">
        <v>481</v>
      </c>
      <c r="B2" s="958"/>
      <c r="C2" s="958"/>
      <c r="D2" s="958"/>
      <c r="E2" s="958"/>
      <c r="F2" s="958"/>
      <c r="G2" s="958"/>
      <c r="H2" s="958"/>
      <c r="I2" s="958"/>
      <c r="J2" s="958"/>
      <c r="K2" s="958"/>
      <c r="L2" s="95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row>
    <row r="3" spans="1:53" ht="18" x14ac:dyDescent="0.25">
      <c r="A3" s="959" t="s">
        <v>482</v>
      </c>
      <c r="B3" s="959"/>
      <c r="C3" s="959"/>
      <c r="D3" s="959"/>
      <c r="E3" s="959"/>
      <c r="F3" s="959"/>
      <c r="G3" s="959"/>
      <c r="H3" s="959"/>
      <c r="I3" s="959"/>
      <c r="J3" s="959"/>
      <c r="K3" s="959"/>
      <c r="L3" s="959"/>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x14ac:dyDescent="0.25">
      <c r="A4" s="101"/>
      <c r="B4" s="96"/>
      <c r="C4" s="96"/>
      <c r="D4" s="96"/>
      <c r="E4" s="96"/>
      <c r="F4" s="96"/>
      <c r="G4" s="96"/>
      <c r="H4" s="97"/>
      <c r="I4" s="96"/>
      <c r="J4" s="96"/>
      <c r="K4" s="96"/>
      <c r="L4" s="96"/>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row>
    <row r="5" spans="1:53" ht="18" x14ac:dyDescent="0.25">
      <c r="A5" s="960" t="s">
        <v>483</v>
      </c>
      <c r="B5" s="960"/>
      <c r="C5" s="960"/>
      <c r="D5" s="960"/>
      <c r="E5" s="960"/>
      <c r="F5" s="960"/>
      <c r="G5" s="960"/>
      <c r="H5" s="960"/>
      <c r="I5" s="960"/>
      <c r="J5" s="960"/>
      <c r="K5" s="960"/>
      <c r="L5" s="960"/>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row>
    <row r="6" spans="1:53" ht="18" x14ac:dyDescent="0.25">
      <c r="A6" s="958" t="s">
        <v>528</v>
      </c>
      <c r="B6" s="958"/>
      <c r="C6" s="958"/>
      <c r="D6" s="958"/>
      <c r="E6" s="958"/>
      <c r="F6" s="958"/>
      <c r="G6" s="958"/>
      <c r="H6" s="958"/>
      <c r="I6" s="958"/>
      <c r="J6" s="958"/>
      <c r="K6" s="958"/>
      <c r="L6" s="95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row>
    <row r="7" spans="1:53" ht="18" x14ac:dyDescent="0.25">
      <c r="A7" s="100"/>
      <c r="B7" s="100"/>
      <c r="C7" s="100"/>
      <c r="D7" s="100"/>
      <c r="E7" s="100"/>
      <c r="F7" s="100"/>
      <c r="G7" s="100"/>
      <c r="H7" s="100"/>
      <c r="I7" s="100"/>
      <c r="J7" s="100"/>
      <c r="K7" s="100"/>
      <c r="L7" s="100"/>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row>
    <row r="8" spans="1:53" ht="18" x14ac:dyDescent="0.25">
      <c r="A8" s="100"/>
      <c r="B8" s="100"/>
      <c r="C8" s="100"/>
      <c r="D8" s="100"/>
      <c r="E8" s="100"/>
      <c r="F8" s="100"/>
      <c r="G8" s="100"/>
      <c r="H8" s="100"/>
      <c r="I8" s="100"/>
      <c r="J8" s="100"/>
      <c r="K8" s="100"/>
      <c r="L8" s="100"/>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53" x14ac:dyDescent="0.25">
      <c r="A9" s="961" t="s">
        <v>2659</v>
      </c>
      <c r="B9" s="961"/>
      <c r="C9" s="961"/>
      <c r="D9" s="961"/>
      <c r="E9" s="961"/>
      <c r="F9" s="961"/>
      <c r="G9" s="961"/>
      <c r="H9" s="961"/>
      <c r="I9" s="961"/>
      <c r="J9" s="961"/>
      <c r="K9" s="961"/>
      <c r="L9" s="961"/>
      <c r="M9" s="961"/>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row>
    <row r="10" spans="1:53" ht="18" x14ac:dyDescent="0.25">
      <c r="A10" s="102"/>
      <c r="B10" s="102"/>
      <c r="C10" s="102"/>
      <c r="D10" s="102"/>
      <c r="E10" s="102"/>
      <c r="F10" s="100"/>
      <c r="G10" s="100"/>
      <c r="H10" s="100"/>
      <c r="I10" s="100"/>
      <c r="J10" s="100"/>
      <c r="K10" s="100"/>
      <c r="L10" s="100"/>
      <c r="M10" s="100"/>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x14ac:dyDescent="0.25">
      <c r="A11" s="961" t="s">
        <v>951</v>
      </c>
      <c r="B11" s="961"/>
      <c r="C11" s="961"/>
      <c r="D11" s="961"/>
      <c r="E11" s="961"/>
      <c r="F11" s="961"/>
      <c r="G11" s="961"/>
      <c r="H11" s="961"/>
      <c r="I11" s="961"/>
      <c r="J11" s="961"/>
      <c r="K11" s="961"/>
      <c r="L11" s="961"/>
      <c r="M11" s="961"/>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ht="18" x14ac:dyDescent="0.25">
      <c r="A12" s="100"/>
      <c r="B12" s="100"/>
      <c r="C12" s="100"/>
      <c r="D12" s="100"/>
      <c r="E12" s="100"/>
      <c r="F12" s="100"/>
      <c r="G12" s="100"/>
      <c r="H12" s="100"/>
      <c r="I12" s="100"/>
      <c r="J12" s="100"/>
      <c r="K12" s="100"/>
      <c r="L12" s="100"/>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x14ac:dyDescent="0.25">
      <c r="A13" s="96"/>
      <c r="B13" s="96"/>
      <c r="C13" s="96"/>
      <c r="D13" s="96"/>
      <c r="E13" s="96"/>
      <c r="F13" s="96"/>
      <c r="G13" s="96"/>
      <c r="H13" s="97"/>
      <c r="I13" s="96"/>
      <c r="J13" s="96"/>
      <c r="K13" s="96"/>
      <c r="L13" s="96"/>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row>
    <row r="14" spans="1:53" ht="36.75" customHeight="1" x14ac:dyDescent="0.25">
      <c r="A14" s="914" t="s">
        <v>62</v>
      </c>
      <c r="B14" s="914" t="s">
        <v>63</v>
      </c>
      <c r="C14" s="894" t="s">
        <v>0</v>
      </c>
      <c r="D14" s="894" t="s">
        <v>1</v>
      </c>
      <c r="E14" s="894" t="s">
        <v>2</v>
      </c>
      <c r="F14" s="894" t="s">
        <v>3</v>
      </c>
      <c r="G14" s="894" t="s">
        <v>64</v>
      </c>
      <c r="H14" s="894" t="s">
        <v>65</v>
      </c>
      <c r="I14" s="894" t="s">
        <v>66</v>
      </c>
      <c r="J14" s="894" t="s">
        <v>67</v>
      </c>
      <c r="K14" s="894" t="s">
        <v>480</v>
      </c>
      <c r="L14" s="894" t="s">
        <v>521</v>
      </c>
      <c r="M14" s="889" t="s">
        <v>529</v>
      </c>
      <c r="N14" s="891" t="s">
        <v>66</v>
      </c>
      <c r="O14" s="893"/>
      <c r="P14" s="889" t="s">
        <v>532</v>
      </c>
      <c r="Q14" s="1000" t="s">
        <v>484</v>
      </c>
      <c r="R14" s="1001"/>
      <c r="S14" s="1001"/>
      <c r="T14" s="1001"/>
      <c r="U14" s="1001"/>
      <c r="V14" s="1001"/>
      <c r="W14" s="1001"/>
      <c r="X14" s="1001"/>
      <c r="Y14" s="1001"/>
      <c r="Z14" s="1001"/>
      <c r="AA14" s="1001"/>
      <c r="AB14" s="1001"/>
      <c r="AC14" s="1001"/>
      <c r="AD14" s="1001"/>
      <c r="AE14" s="1001"/>
      <c r="AF14" s="1002"/>
      <c r="AG14" s="1003" t="s">
        <v>485</v>
      </c>
      <c r="AH14" s="1003" t="s">
        <v>531</v>
      </c>
      <c r="AI14" s="1003" t="s">
        <v>952</v>
      </c>
      <c r="AJ14" s="1003" t="s">
        <v>511</v>
      </c>
      <c r="AK14" s="1003" t="s">
        <v>486</v>
      </c>
      <c r="AL14" s="1003" t="s">
        <v>535</v>
      </c>
      <c r="AM14" s="1003" t="s">
        <v>487</v>
      </c>
      <c r="AN14" s="1007" t="s">
        <v>524</v>
      </c>
      <c r="AO14" s="1008"/>
      <c r="AP14" s="1008"/>
      <c r="AQ14" s="1008"/>
      <c r="AR14" s="1008"/>
      <c r="AS14" s="1008"/>
      <c r="AT14" s="1008"/>
      <c r="AU14" s="1008"/>
      <c r="AV14" s="1008"/>
      <c r="AW14" s="1008"/>
      <c r="AX14" s="1008"/>
      <c r="AY14" s="1009"/>
      <c r="AZ14" s="1005" t="s">
        <v>512</v>
      </c>
      <c r="BA14" s="950" t="s">
        <v>488</v>
      </c>
    </row>
    <row r="15" spans="1:53" ht="63.75" x14ac:dyDescent="0.25">
      <c r="A15" s="915"/>
      <c r="B15" s="915"/>
      <c r="C15" s="895"/>
      <c r="D15" s="895"/>
      <c r="E15" s="895"/>
      <c r="F15" s="895"/>
      <c r="G15" s="895"/>
      <c r="H15" s="895"/>
      <c r="I15" s="895"/>
      <c r="J15" s="895"/>
      <c r="K15" s="895"/>
      <c r="L15" s="895"/>
      <c r="M15" s="890"/>
      <c r="N15" s="93" t="s">
        <v>489</v>
      </c>
      <c r="O15" s="93" t="s">
        <v>2547</v>
      </c>
      <c r="P15" s="890"/>
      <c r="Q15" s="94" t="s">
        <v>490</v>
      </c>
      <c r="R15" s="94" t="s">
        <v>533</v>
      </c>
      <c r="S15" s="94" t="s">
        <v>491</v>
      </c>
      <c r="T15" s="94" t="s">
        <v>492</v>
      </c>
      <c r="U15" s="94" t="s">
        <v>522</v>
      </c>
      <c r="V15" s="94" t="s">
        <v>493</v>
      </c>
      <c r="W15" s="94" t="s">
        <v>494</v>
      </c>
      <c r="X15" s="94" t="s">
        <v>495</v>
      </c>
      <c r="Y15" s="94" t="s">
        <v>496</v>
      </c>
      <c r="Z15" s="94" t="s">
        <v>497</v>
      </c>
      <c r="AA15" s="94" t="s">
        <v>523</v>
      </c>
      <c r="AB15" s="94" t="s">
        <v>534</v>
      </c>
      <c r="AC15" s="94" t="s">
        <v>498</v>
      </c>
      <c r="AD15" s="94" t="s">
        <v>499</v>
      </c>
      <c r="AE15" s="94" t="s">
        <v>500</v>
      </c>
      <c r="AF15" s="94" t="s">
        <v>501</v>
      </c>
      <c r="AG15" s="1004"/>
      <c r="AH15" s="1004"/>
      <c r="AI15" s="1004"/>
      <c r="AJ15" s="1004"/>
      <c r="AK15" s="1004"/>
      <c r="AL15" s="1004"/>
      <c r="AM15" s="1004"/>
      <c r="AN15" s="465" t="s">
        <v>502</v>
      </c>
      <c r="AO15" s="465" t="s">
        <v>503</v>
      </c>
      <c r="AP15" s="465" t="s">
        <v>504</v>
      </c>
      <c r="AQ15" s="465" t="s">
        <v>505</v>
      </c>
      <c r="AR15" s="465" t="s">
        <v>504</v>
      </c>
      <c r="AS15" s="465" t="s">
        <v>506</v>
      </c>
      <c r="AT15" s="465" t="s">
        <v>506</v>
      </c>
      <c r="AU15" s="465" t="s">
        <v>505</v>
      </c>
      <c r="AV15" s="465" t="s">
        <v>507</v>
      </c>
      <c r="AW15" s="465" t="s">
        <v>508</v>
      </c>
      <c r="AX15" s="465" t="s">
        <v>509</v>
      </c>
      <c r="AY15" s="465" t="s">
        <v>510</v>
      </c>
      <c r="AZ15" s="1006"/>
      <c r="BA15" s="951"/>
    </row>
    <row r="16" spans="1:53" ht="180" x14ac:dyDescent="0.25">
      <c r="A16" s="108" t="s">
        <v>438</v>
      </c>
      <c r="B16" s="108" t="s">
        <v>953</v>
      </c>
      <c r="C16" s="944" t="s">
        <v>2548</v>
      </c>
      <c r="D16" s="944" t="s">
        <v>2549</v>
      </c>
      <c r="E16" s="944" t="s">
        <v>618</v>
      </c>
      <c r="F16" s="108" t="s">
        <v>2550</v>
      </c>
      <c r="G16" s="942" t="s">
        <v>2551</v>
      </c>
      <c r="H16" s="111" t="s">
        <v>2552</v>
      </c>
      <c r="I16" s="111" t="s">
        <v>2553</v>
      </c>
      <c r="J16" s="111" t="s">
        <v>2554</v>
      </c>
      <c r="K16" s="111" t="s">
        <v>1441</v>
      </c>
      <c r="L16" s="552">
        <v>42</v>
      </c>
      <c r="M16" s="136">
        <v>5</v>
      </c>
      <c r="N16" s="111" t="s">
        <v>2553</v>
      </c>
      <c r="O16" s="502">
        <v>42</v>
      </c>
      <c r="P16" s="423">
        <v>353757</v>
      </c>
      <c r="Q16" s="502" t="s">
        <v>946</v>
      </c>
      <c r="R16" s="243"/>
      <c r="S16" s="243"/>
      <c r="T16" s="502">
        <f>+P16</f>
        <v>353757</v>
      </c>
      <c r="U16" s="243"/>
      <c r="V16" s="243"/>
      <c r="W16" s="243"/>
      <c r="X16" s="243"/>
      <c r="Y16" s="243"/>
      <c r="Z16" s="243"/>
      <c r="AA16" s="243"/>
      <c r="AB16" s="243"/>
      <c r="AC16" s="243"/>
      <c r="AD16" s="243"/>
      <c r="AE16" s="243"/>
      <c r="AF16" s="243"/>
      <c r="AG16" s="243" t="s">
        <v>2555</v>
      </c>
      <c r="AH16" s="243" t="s">
        <v>2556</v>
      </c>
      <c r="AI16" s="128" t="s">
        <v>2557</v>
      </c>
      <c r="AJ16" s="128" t="s">
        <v>2558</v>
      </c>
      <c r="AK16" s="128" t="s">
        <v>2559</v>
      </c>
      <c r="AL16" s="505">
        <v>353757</v>
      </c>
      <c r="AM16" s="128" t="s">
        <v>2560</v>
      </c>
      <c r="AN16" s="128"/>
      <c r="AO16" s="128"/>
      <c r="AP16" s="128"/>
      <c r="AQ16" s="128"/>
      <c r="AR16" s="128"/>
      <c r="AS16" s="128"/>
      <c r="AT16" s="128"/>
      <c r="AU16" s="128" t="s">
        <v>536</v>
      </c>
      <c r="AV16" s="128" t="s">
        <v>536</v>
      </c>
      <c r="AW16" s="128" t="s">
        <v>536</v>
      </c>
      <c r="AX16" s="128" t="s">
        <v>536</v>
      </c>
      <c r="AY16" s="128" t="s">
        <v>536</v>
      </c>
      <c r="AZ16" s="128" t="s">
        <v>2561</v>
      </c>
      <c r="BA16" s="128"/>
    </row>
    <row r="17" spans="1:53" ht="120" x14ac:dyDescent="0.25">
      <c r="A17" s="108" t="s">
        <v>438</v>
      </c>
      <c r="B17" s="108" t="s">
        <v>953</v>
      </c>
      <c r="C17" s="944"/>
      <c r="D17" s="944"/>
      <c r="E17" s="944"/>
      <c r="F17" s="108" t="s">
        <v>2550</v>
      </c>
      <c r="G17" s="942"/>
      <c r="H17" s="111" t="s">
        <v>2562</v>
      </c>
      <c r="I17" s="111" t="s">
        <v>2563</v>
      </c>
      <c r="J17" s="111" t="s">
        <v>2564</v>
      </c>
      <c r="K17" s="111" t="s">
        <v>2565</v>
      </c>
      <c r="L17" s="552">
        <v>42</v>
      </c>
      <c r="M17" s="136">
        <v>42</v>
      </c>
      <c r="N17" s="111" t="s">
        <v>2563</v>
      </c>
      <c r="O17" s="502">
        <v>42</v>
      </c>
      <c r="P17" s="423">
        <v>353757</v>
      </c>
      <c r="Q17" s="502" t="s">
        <v>946</v>
      </c>
      <c r="R17" s="243"/>
      <c r="S17" s="243"/>
      <c r="T17" s="502">
        <f>+P17</f>
        <v>353757</v>
      </c>
      <c r="U17" s="243"/>
      <c r="V17" s="243"/>
      <c r="W17" s="243"/>
      <c r="X17" s="243"/>
      <c r="Y17" s="243"/>
      <c r="Z17" s="243"/>
      <c r="AA17" s="243"/>
      <c r="AB17" s="243"/>
      <c r="AC17" s="243"/>
      <c r="AD17" s="243"/>
      <c r="AE17" s="243"/>
      <c r="AF17" s="243"/>
      <c r="AG17" s="243" t="s">
        <v>2555</v>
      </c>
      <c r="AH17" s="243" t="s">
        <v>2556</v>
      </c>
      <c r="AI17" s="128" t="s">
        <v>2557</v>
      </c>
      <c r="AJ17" s="128" t="s">
        <v>2558</v>
      </c>
      <c r="AK17" s="128" t="s">
        <v>2566</v>
      </c>
      <c r="AL17" s="505">
        <v>353757</v>
      </c>
      <c r="AM17" s="128" t="s">
        <v>2567</v>
      </c>
      <c r="AN17" s="128"/>
      <c r="AO17" s="128"/>
      <c r="AP17" s="128"/>
      <c r="AQ17" s="128"/>
      <c r="AR17" s="128"/>
      <c r="AS17" s="128"/>
      <c r="AT17" s="128" t="s">
        <v>536</v>
      </c>
      <c r="AU17" s="128" t="s">
        <v>536</v>
      </c>
      <c r="AV17" s="128" t="s">
        <v>536</v>
      </c>
      <c r="AW17" s="128" t="s">
        <v>536</v>
      </c>
      <c r="AX17" s="128" t="s">
        <v>536</v>
      </c>
      <c r="AY17" s="128" t="s">
        <v>536</v>
      </c>
      <c r="AZ17" s="128" t="s">
        <v>2568</v>
      </c>
      <c r="BA17" s="128"/>
    </row>
    <row r="18" spans="1:53" ht="150" x14ac:dyDescent="0.25">
      <c r="A18" s="108" t="s">
        <v>438</v>
      </c>
      <c r="B18" s="108" t="s">
        <v>953</v>
      </c>
      <c r="C18" s="944" t="s">
        <v>2569</v>
      </c>
      <c r="D18" s="944" t="s">
        <v>2570</v>
      </c>
      <c r="E18" s="944" t="s">
        <v>2571</v>
      </c>
      <c r="F18" s="108" t="s">
        <v>2572</v>
      </c>
      <c r="G18" s="942" t="s">
        <v>2573</v>
      </c>
      <c r="H18" s="111" t="s">
        <v>2574</v>
      </c>
      <c r="I18" s="111" t="s">
        <v>2575</v>
      </c>
      <c r="J18" s="111" t="s">
        <v>2576</v>
      </c>
      <c r="K18" s="111" t="s">
        <v>1441</v>
      </c>
      <c r="L18" s="552">
        <v>1587</v>
      </c>
      <c r="M18" s="136">
        <v>500</v>
      </c>
      <c r="N18" s="111" t="s">
        <v>2575</v>
      </c>
      <c r="O18" s="502">
        <v>3955</v>
      </c>
      <c r="P18" s="423">
        <v>144778</v>
      </c>
      <c r="Q18" s="251">
        <f>+P18*0.7</f>
        <v>101344.59999999999</v>
      </c>
      <c r="R18" s="251"/>
      <c r="S18" s="251"/>
      <c r="T18" s="251"/>
      <c r="U18" s="251"/>
      <c r="V18" s="251"/>
      <c r="W18" s="251"/>
      <c r="X18" s="251"/>
      <c r="Y18" s="251"/>
      <c r="Z18" s="251"/>
      <c r="AA18" s="251"/>
      <c r="AB18" s="251"/>
      <c r="AC18" s="251">
        <f>+P18*0.3</f>
        <v>43433.4</v>
      </c>
      <c r="AD18" s="251"/>
      <c r="AE18" s="251"/>
      <c r="AF18" s="251"/>
      <c r="AG18" s="243" t="s">
        <v>2555</v>
      </c>
      <c r="AH18" s="243" t="s">
        <v>2556</v>
      </c>
      <c r="AI18" s="128" t="s">
        <v>2577</v>
      </c>
      <c r="AJ18" s="128" t="s">
        <v>2578</v>
      </c>
      <c r="AK18" s="128" t="s">
        <v>2579</v>
      </c>
      <c r="AL18" s="505">
        <v>144778</v>
      </c>
      <c r="AM18" s="128" t="s">
        <v>2580</v>
      </c>
      <c r="AN18" s="128" t="s">
        <v>536</v>
      </c>
      <c r="AO18" s="128" t="s">
        <v>536</v>
      </c>
      <c r="AP18" s="128" t="s">
        <v>536</v>
      </c>
      <c r="AQ18" s="128" t="s">
        <v>536</v>
      </c>
      <c r="AR18" s="128" t="s">
        <v>536</v>
      </c>
      <c r="AS18" s="128" t="s">
        <v>536</v>
      </c>
      <c r="AT18" s="128" t="s">
        <v>536</v>
      </c>
      <c r="AU18" s="128" t="s">
        <v>536</v>
      </c>
      <c r="AV18" s="128" t="s">
        <v>536</v>
      </c>
      <c r="AW18" s="128" t="s">
        <v>536</v>
      </c>
      <c r="AX18" s="128" t="s">
        <v>536</v>
      </c>
      <c r="AY18" s="128" t="s">
        <v>536</v>
      </c>
      <c r="AZ18" s="553" t="s">
        <v>2581</v>
      </c>
      <c r="BA18" s="128" t="s">
        <v>2582</v>
      </c>
    </row>
    <row r="19" spans="1:53" ht="195" x14ac:dyDescent="0.25">
      <c r="A19" s="108" t="s">
        <v>438</v>
      </c>
      <c r="B19" s="108" t="s">
        <v>953</v>
      </c>
      <c r="C19" s="944"/>
      <c r="D19" s="944"/>
      <c r="E19" s="944"/>
      <c r="F19" s="108" t="s">
        <v>2572</v>
      </c>
      <c r="G19" s="942"/>
      <c r="H19" s="111" t="s">
        <v>2583</v>
      </c>
      <c r="I19" s="111" t="s">
        <v>2584</v>
      </c>
      <c r="J19" s="111" t="s">
        <v>2585</v>
      </c>
      <c r="K19" s="111" t="s">
        <v>1441</v>
      </c>
      <c r="L19" s="552">
        <v>25596</v>
      </c>
      <c r="M19" s="136">
        <v>6399</v>
      </c>
      <c r="N19" s="111" t="s">
        <v>2584</v>
      </c>
      <c r="O19" s="502">
        <v>43335</v>
      </c>
      <c r="P19" s="423">
        <v>275810</v>
      </c>
      <c r="Q19" s="251">
        <f>+P19*0.7</f>
        <v>193067</v>
      </c>
      <c r="R19" s="251"/>
      <c r="S19" s="251"/>
      <c r="T19" s="251"/>
      <c r="U19" s="251"/>
      <c r="V19" s="251"/>
      <c r="W19" s="251"/>
      <c r="X19" s="251"/>
      <c r="Y19" s="251"/>
      <c r="Z19" s="251"/>
      <c r="AA19" s="251"/>
      <c r="AB19" s="251"/>
      <c r="AC19" s="251">
        <f>+P19*0.3</f>
        <v>82743</v>
      </c>
      <c r="AD19" s="251"/>
      <c r="AE19" s="251"/>
      <c r="AF19" s="251"/>
      <c r="AG19" s="243" t="s">
        <v>2555</v>
      </c>
      <c r="AH19" s="243" t="s">
        <v>2556</v>
      </c>
      <c r="AI19" s="128" t="s">
        <v>2586</v>
      </c>
      <c r="AJ19" s="128" t="s">
        <v>2587</v>
      </c>
      <c r="AK19" s="128" t="s">
        <v>2588</v>
      </c>
      <c r="AL19" s="505">
        <v>275810</v>
      </c>
      <c r="AM19" s="128" t="s">
        <v>2589</v>
      </c>
      <c r="AN19" s="128"/>
      <c r="AO19" s="128" t="s">
        <v>536</v>
      </c>
      <c r="AP19" s="128" t="s">
        <v>536</v>
      </c>
      <c r="AQ19" s="128" t="s">
        <v>536</v>
      </c>
      <c r="AR19" s="128" t="s">
        <v>536</v>
      </c>
      <c r="AS19" s="128" t="s">
        <v>536</v>
      </c>
      <c r="AT19" s="128" t="s">
        <v>536</v>
      </c>
      <c r="AU19" s="128" t="s">
        <v>536</v>
      </c>
      <c r="AV19" s="128" t="s">
        <v>536</v>
      </c>
      <c r="AW19" s="128" t="s">
        <v>536</v>
      </c>
      <c r="AX19" s="128" t="s">
        <v>536</v>
      </c>
      <c r="AY19" s="128" t="s">
        <v>536</v>
      </c>
      <c r="AZ19" s="128" t="s">
        <v>2590</v>
      </c>
      <c r="BA19" s="128" t="s">
        <v>2582</v>
      </c>
    </row>
    <row r="20" spans="1:53" ht="210" x14ac:dyDescent="0.25">
      <c r="A20" s="108" t="s">
        <v>438</v>
      </c>
      <c r="B20" s="108" t="s">
        <v>953</v>
      </c>
      <c r="C20" s="944"/>
      <c r="D20" s="944"/>
      <c r="E20" s="944"/>
      <c r="F20" s="108" t="s">
        <v>2572</v>
      </c>
      <c r="G20" s="942"/>
      <c r="H20" s="111" t="s">
        <v>2591</v>
      </c>
      <c r="I20" s="111" t="s">
        <v>2592</v>
      </c>
      <c r="J20" s="111" t="s">
        <v>2593</v>
      </c>
      <c r="K20" s="111" t="s">
        <v>1441</v>
      </c>
      <c r="L20" s="552">
        <v>976</v>
      </c>
      <c r="M20" s="136">
        <v>300</v>
      </c>
      <c r="N20" s="111" t="s">
        <v>2592</v>
      </c>
      <c r="O20" s="502">
        <v>888</v>
      </c>
      <c r="P20" s="423">
        <v>145936</v>
      </c>
      <c r="Q20" s="251">
        <f>+P20*0.7</f>
        <v>102155.2</v>
      </c>
      <c r="R20" s="251"/>
      <c r="S20" s="251"/>
      <c r="T20" s="251"/>
      <c r="U20" s="251"/>
      <c r="V20" s="251"/>
      <c r="W20" s="251"/>
      <c r="X20" s="251"/>
      <c r="Y20" s="251"/>
      <c r="Z20" s="251"/>
      <c r="AA20" s="251"/>
      <c r="AB20" s="251"/>
      <c r="AC20" s="251">
        <f>+P20*0.3</f>
        <v>43780.799999999996</v>
      </c>
      <c r="AD20" s="251"/>
      <c r="AE20" s="251"/>
      <c r="AF20" s="251"/>
      <c r="AG20" s="243" t="s">
        <v>2555</v>
      </c>
      <c r="AH20" s="243" t="s">
        <v>2556</v>
      </c>
      <c r="AI20" s="128" t="s">
        <v>2594</v>
      </c>
      <c r="AJ20" s="128" t="s">
        <v>2595</v>
      </c>
      <c r="AK20" s="128" t="s">
        <v>2596</v>
      </c>
      <c r="AL20" s="505">
        <v>145936</v>
      </c>
      <c r="AM20" s="128" t="s">
        <v>2597</v>
      </c>
      <c r="AN20" s="128" t="s">
        <v>536</v>
      </c>
      <c r="AO20" s="128" t="s">
        <v>536</v>
      </c>
      <c r="AP20" s="128" t="s">
        <v>536</v>
      </c>
      <c r="AQ20" s="128" t="s">
        <v>536</v>
      </c>
      <c r="AR20" s="128" t="s">
        <v>536</v>
      </c>
      <c r="AS20" s="128" t="s">
        <v>536</v>
      </c>
      <c r="AT20" s="128" t="s">
        <v>536</v>
      </c>
      <c r="AU20" s="128" t="s">
        <v>536</v>
      </c>
      <c r="AV20" s="128" t="s">
        <v>536</v>
      </c>
      <c r="AW20" s="128" t="s">
        <v>536</v>
      </c>
      <c r="AX20" s="128" t="s">
        <v>536</v>
      </c>
      <c r="AY20" s="128" t="s">
        <v>536</v>
      </c>
      <c r="AZ20" s="128" t="s">
        <v>2581</v>
      </c>
      <c r="BA20" s="128" t="s">
        <v>2582</v>
      </c>
    </row>
    <row r="21" spans="1:53" ht="120" x14ac:dyDescent="0.25">
      <c r="A21" s="108" t="s">
        <v>438</v>
      </c>
      <c r="B21" s="108" t="s">
        <v>953</v>
      </c>
      <c r="C21" s="944"/>
      <c r="D21" s="944"/>
      <c r="E21" s="944"/>
      <c r="F21" s="108" t="s">
        <v>2572</v>
      </c>
      <c r="G21" s="942"/>
      <c r="H21" s="111" t="s">
        <v>2598</v>
      </c>
      <c r="I21" s="111" t="s">
        <v>2599</v>
      </c>
      <c r="J21" s="111" t="s">
        <v>2600</v>
      </c>
      <c r="K21" s="111" t="s">
        <v>1441</v>
      </c>
      <c r="L21" s="552">
        <v>3608</v>
      </c>
      <c r="M21" s="136">
        <v>1136</v>
      </c>
      <c r="N21" s="111" t="s">
        <v>2599</v>
      </c>
      <c r="O21" s="502">
        <v>8668</v>
      </c>
      <c r="P21" s="423">
        <v>268460</v>
      </c>
      <c r="Q21" s="251">
        <f>+P21*0.7</f>
        <v>187922</v>
      </c>
      <c r="R21" s="251"/>
      <c r="S21" s="251"/>
      <c r="T21" s="251"/>
      <c r="U21" s="251"/>
      <c r="V21" s="251"/>
      <c r="W21" s="251"/>
      <c r="X21" s="251"/>
      <c r="Y21" s="251"/>
      <c r="Z21" s="251"/>
      <c r="AA21" s="251"/>
      <c r="AB21" s="251"/>
      <c r="AC21" s="251">
        <f>+P21*0.3</f>
        <v>80538</v>
      </c>
      <c r="AD21" s="251"/>
      <c r="AE21" s="251"/>
      <c r="AF21" s="251"/>
      <c r="AG21" s="243" t="s">
        <v>2555</v>
      </c>
      <c r="AH21" s="243" t="s">
        <v>2556</v>
      </c>
      <c r="AI21" s="128" t="s">
        <v>2557</v>
      </c>
      <c r="AJ21" s="128" t="s">
        <v>2601</v>
      </c>
      <c r="AK21" s="128" t="s">
        <v>2602</v>
      </c>
      <c r="AL21" s="505">
        <v>268460</v>
      </c>
      <c r="AM21" s="128" t="s">
        <v>2603</v>
      </c>
      <c r="AN21" s="128"/>
      <c r="AO21" s="128" t="s">
        <v>536</v>
      </c>
      <c r="AP21" s="128" t="s">
        <v>536</v>
      </c>
      <c r="AQ21" s="128" t="s">
        <v>536</v>
      </c>
      <c r="AR21" s="128" t="s">
        <v>536</v>
      </c>
      <c r="AS21" s="128" t="s">
        <v>536</v>
      </c>
      <c r="AT21" s="128" t="s">
        <v>536</v>
      </c>
      <c r="AU21" s="128" t="s">
        <v>536</v>
      </c>
      <c r="AV21" s="128" t="s">
        <v>536</v>
      </c>
      <c r="AW21" s="128" t="s">
        <v>536</v>
      </c>
      <c r="AX21" s="128" t="s">
        <v>536</v>
      </c>
      <c r="AY21" s="128" t="s">
        <v>536</v>
      </c>
      <c r="AZ21" s="128" t="s">
        <v>2604</v>
      </c>
      <c r="BA21" s="128" t="s">
        <v>2582</v>
      </c>
    </row>
    <row r="22" spans="1:53" ht="150" x14ac:dyDescent="0.25">
      <c r="A22" s="108" t="s">
        <v>438</v>
      </c>
      <c r="B22" s="108" t="s">
        <v>953</v>
      </c>
      <c r="C22" s="944"/>
      <c r="D22" s="944"/>
      <c r="E22" s="944"/>
      <c r="F22" s="108" t="s">
        <v>2572</v>
      </c>
      <c r="G22" s="942"/>
      <c r="H22" s="111" t="s">
        <v>2605</v>
      </c>
      <c r="I22" s="111" t="s">
        <v>2606</v>
      </c>
      <c r="J22" s="111" t="s">
        <v>2607</v>
      </c>
      <c r="K22" s="111" t="s">
        <v>1441</v>
      </c>
      <c r="L22" s="552">
        <v>1216</v>
      </c>
      <c r="M22" s="136">
        <v>174</v>
      </c>
      <c r="N22" s="111" t="s">
        <v>2606</v>
      </c>
      <c r="O22" s="502">
        <v>8716</v>
      </c>
      <c r="P22" s="423">
        <v>150000</v>
      </c>
      <c r="Q22" s="251">
        <f>+P22</f>
        <v>150000</v>
      </c>
      <c r="R22" s="251"/>
      <c r="S22" s="251"/>
      <c r="T22" s="251"/>
      <c r="U22" s="251"/>
      <c r="V22" s="251"/>
      <c r="W22" s="251"/>
      <c r="X22" s="251"/>
      <c r="Y22" s="251"/>
      <c r="Z22" s="251"/>
      <c r="AA22" s="251"/>
      <c r="AB22" s="251"/>
      <c r="AC22" s="251"/>
      <c r="AD22" s="251"/>
      <c r="AE22" s="251"/>
      <c r="AF22" s="251"/>
      <c r="AG22" s="243" t="s">
        <v>2555</v>
      </c>
      <c r="AH22" s="243" t="s">
        <v>2556</v>
      </c>
      <c r="AI22" s="128" t="s">
        <v>2557</v>
      </c>
      <c r="AJ22" s="128" t="s">
        <v>2601</v>
      </c>
      <c r="AK22" s="128" t="s">
        <v>2608</v>
      </c>
      <c r="AL22" s="505">
        <v>150000</v>
      </c>
      <c r="AM22" s="128" t="s">
        <v>2609</v>
      </c>
      <c r="AN22" s="128"/>
      <c r="AO22" s="128" t="s">
        <v>536</v>
      </c>
      <c r="AP22" s="128" t="s">
        <v>536</v>
      </c>
      <c r="AQ22" s="128" t="s">
        <v>536</v>
      </c>
      <c r="AR22" s="128" t="s">
        <v>536</v>
      </c>
      <c r="AS22" s="128" t="s">
        <v>536</v>
      </c>
      <c r="AT22" s="128" t="s">
        <v>536</v>
      </c>
      <c r="AU22" s="128" t="s">
        <v>536</v>
      </c>
      <c r="AV22" s="128" t="s">
        <v>536</v>
      </c>
      <c r="AW22" s="128" t="s">
        <v>536</v>
      </c>
      <c r="AX22" s="128" t="s">
        <v>536</v>
      </c>
      <c r="AY22" s="128"/>
      <c r="AZ22" s="128" t="s">
        <v>2581</v>
      </c>
      <c r="BA22" s="128"/>
    </row>
    <row r="23" spans="1:53" ht="240" x14ac:dyDescent="0.25">
      <c r="A23" s="108" t="s">
        <v>438</v>
      </c>
      <c r="B23" s="108" t="s">
        <v>953</v>
      </c>
      <c r="C23" s="944"/>
      <c r="D23" s="944"/>
      <c r="E23" s="944"/>
      <c r="F23" s="108" t="s">
        <v>2572</v>
      </c>
      <c r="G23" s="942"/>
      <c r="H23" s="111" t="s">
        <v>2610</v>
      </c>
      <c r="I23" s="111" t="s">
        <v>2611</v>
      </c>
      <c r="J23" s="111" t="s">
        <v>2612</v>
      </c>
      <c r="K23" s="111" t="s">
        <v>1441</v>
      </c>
      <c r="L23" s="111">
        <v>72</v>
      </c>
      <c r="M23" s="136">
        <v>17</v>
      </c>
      <c r="N23" s="111" t="s">
        <v>2611</v>
      </c>
      <c r="O23" s="502">
        <v>450</v>
      </c>
      <c r="P23" s="423">
        <v>150000</v>
      </c>
      <c r="Q23" s="251">
        <f>+P23</f>
        <v>150000</v>
      </c>
      <c r="R23" s="251"/>
      <c r="S23" s="251"/>
      <c r="T23" s="251"/>
      <c r="U23" s="251"/>
      <c r="V23" s="251"/>
      <c r="W23" s="251"/>
      <c r="X23" s="251"/>
      <c r="Y23" s="251"/>
      <c r="Z23" s="251"/>
      <c r="AA23" s="251"/>
      <c r="AB23" s="251"/>
      <c r="AC23" s="251"/>
      <c r="AD23" s="251"/>
      <c r="AE23" s="251"/>
      <c r="AF23" s="251"/>
      <c r="AG23" s="243" t="s">
        <v>2555</v>
      </c>
      <c r="AH23" s="243" t="s">
        <v>2556</v>
      </c>
      <c r="AI23" s="128" t="s">
        <v>2557</v>
      </c>
      <c r="AJ23" s="128" t="s">
        <v>2601</v>
      </c>
      <c r="AK23" s="128" t="s">
        <v>2613</v>
      </c>
      <c r="AL23" s="505">
        <v>150000</v>
      </c>
      <c r="AM23" s="128" t="s">
        <v>2614</v>
      </c>
      <c r="AN23" s="128"/>
      <c r="AO23" s="128" t="s">
        <v>536</v>
      </c>
      <c r="AP23" s="128" t="s">
        <v>536</v>
      </c>
      <c r="AQ23" s="128" t="s">
        <v>536</v>
      </c>
      <c r="AR23" s="128" t="s">
        <v>536</v>
      </c>
      <c r="AS23" s="128" t="s">
        <v>536</v>
      </c>
      <c r="AT23" s="128" t="s">
        <v>536</v>
      </c>
      <c r="AU23" s="128" t="s">
        <v>536</v>
      </c>
      <c r="AV23" s="128" t="s">
        <v>536</v>
      </c>
      <c r="AW23" s="128" t="s">
        <v>536</v>
      </c>
      <c r="AX23" s="128" t="s">
        <v>536</v>
      </c>
      <c r="AY23" s="128"/>
      <c r="AZ23" s="128" t="s">
        <v>2581</v>
      </c>
      <c r="BA23" s="128"/>
    </row>
    <row r="24" spans="1:53" ht="120" x14ac:dyDescent="0.25">
      <c r="A24" s="108" t="s">
        <v>438</v>
      </c>
      <c r="B24" s="108" t="s">
        <v>953</v>
      </c>
      <c r="C24" s="944"/>
      <c r="D24" s="944"/>
      <c r="E24" s="944"/>
      <c r="F24" s="108" t="s">
        <v>2572</v>
      </c>
      <c r="G24" s="942"/>
      <c r="H24" s="111" t="s">
        <v>2615</v>
      </c>
      <c r="I24" s="111" t="s">
        <v>2616</v>
      </c>
      <c r="J24" s="111" t="s">
        <v>2617</v>
      </c>
      <c r="K24" s="111" t="s">
        <v>1441</v>
      </c>
      <c r="L24" s="111">
        <v>70</v>
      </c>
      <c r="M24" s="136">
        <v>5</v>
      </c>
      <c r="N24" s="111" t="s">
        <v>2616</v>
      </c>
      <c r="O24" s="502">
        <v>199</v>
      </c>
      <c r="P24" s="423">
        <v>33976</v>
      </c>
      <c r="Q24" s="251">
        <f>+P24*0.7</f>
        <v>23783.199999999997</v>
      </c>
      <c r="R24" s="251"/>
      <c r="S24" s="251"/>
      <c r="T24" s="251"/>
      <c r="U24" s="251"/>
      <c r="V24" s="251"/>
      <c r="W24" s="251"/>
      <c r="X24" s="251"/>
      <c r="Y24" s="251"/>
      <c r="Z24" s="251"/>
      <c r="AA24" s="251"/>
      <c r="AB24" s="251"/>
      <c r="AC24" s="251">
        <f>+P24*0.3</f>
        <v>10192.799999999999</v>
      </c>
      <c r="AD24" s="251"/>
      <c r="AE24" s="251"/>
      <c r="AF24" s="251"/>
      <c r="AG24" s="243" t="s">
        <v>2555</v>
      </c>
      <c r="AH24" s="243" t="s">
        <v>2556</v>
      </c>
      <c r="AI24" s="128" t="s">
        <v>1436</v>
      </c>
      <c r="AJ24" s="128" t="s">
        <v>1434</v>
      </c>
      <c r="AK24" s="128" t="s">
        <v>2618</v>
      </c>
      <c r="AL24" s="505">
        <v>33976</v>
      </c>
      <c r="AM24" s="128" t="s">
        <v>2619</v>
      </c>
      <c r="AN24" s="128"/>
      <c r="AO24" s="128"/>
      <c r="AP24" s="128"/>
      <c r="AQ24" s="128"/>
      <c r="AR24" s="128"/>
      <c r="AS24" s="128"/>
      <c r="AT24" s="128"/>
      <c r="AU24" s="128"/>
      <c r="AV24" s="128"/>
      <c r="AW24" s="128"/>
      <c r="AX24" s="128"/>
      <c r="AY24" s="128" t="s">
        <v>536</v>
      </c>
      <c r="AZ24" s="128" t="s">
        <v>2581</v>
      </c>
      <c r="BA24" s="128" t="s">
        <v>2582</v>
      </c>
    </row>
    <row r="25" spans="1:53" ht="120" x14ac:dyDescent="0.25">
      <c r="A25" s="108" t="s">
        <v>438</v>
      </c>
      <c r="B25" s="108" t="s">
        <v>953</v>
      </c>
      <c r="C25" s="944" t="s">
        <v>2620</v>
      </c>
      <c r="D25" s="944" t="s">
        <v>2621</v>
      </c>
      <c r="E25" s="944">
        <v>96800</v>
      </c>
      <c r="F25" s="108" t="s">
        <v>2622</v>
      </c>
      <c r="G25" s="942" t="s">
        <v>2623</v>
      </c>
      <c r="H25" s="111" t="s">
        <v>2624</v>
      </c>
      <c r="I25" s="111" t="s">
        <v>2625</v>
      </c>
      <c r="J25" s="111" t="s">
        <v>2626</v>
      </c>
      <c r="K25" s="111" t="s">
        <v>1441</v>
      </c>
      <c r="L25" s="111">
        <v>400</v>
      </c>
      <c r="M25" s="136">
        <v>120</v>
      </c>
      <c r="N25" s="111" t="s">
        <v>2625</v>
      </c>
      <c r="O25" s="502">
        <v>220</v>
      </c>
      <c r="P25" s="423">
        <v>1625000</v>
      </c>
      <c r="Q25" s="251">
        <f>+P25</f>
        <v>1625000</v>
      </c>
      <c r="R25" s="251"/>
      <c r="S25" s="251"/>
      <c r="T25" s="251"/>
      <c r="U25" s="251"/>
      <c r="V25" s="251"/>
      <c r="W25" s="251"/>
      <c r="X25" s="251"/>
      <c r="Y25" s="251"/>
      <c r="Z25" s="251"/>
      <c r="AA25" s="251"/>
      <c r="AB25" s="251"/>
      <c r="AC25" s="251"/>
      <c r="AD25" s="251"/>
      <c r="AE25" s="251"/>
      <c r="AF25" s="251"/>
      <c r="AG25" s="243" t="s">
        <v>2555</v>
      </c>
      <c r="AH25" s="243" t="s">
        <v>2556</v>
      </c>
      <c r="AI25" s="128" t="s">
        <v>2627</v>
      </c>
      <c r="AJ25" s="128" t="s">
        <v>2628</v>
      </c>
      <c r="AK25" s="128" t="s">
        <v>2629</v>
      </c>
      <c r="AL25" s="505">
        <v>1625000</v>
      </c>
      <c r="AM25" s="128" t="s">
        <v>2630</v>
      </c>
      <c r="AN25" s="128"/>
      <c r="AO25" s="128" t="s">
        <v>536</v>
      </c>
      <c r="AP25" s="128" t="s">
        <v>536</v>
      </c>
      <c r="AQ25" s="128" t="s">
        <v>536</v>
      </c>
      <c r="AR25" s="128" t="s">
        <v>536</v>
      </c>
      <c r="AS25" s="128" t="s">
        <v>536</v>
      </c>
      <c r="AT25" s="128" t="s">
        <v>536</v>
      </c>
      <c r="AU25" s="128" t="s">
        <v>536</v>
      </c>
      <c r="AV25" s="128" t="s">
        <v>536</v>
      </c>
      <c r="AW25" s="128" t="s">
        <v>536</v>
      </c>
      <c r="AX25" s="128" t="s">
        <v>536</v>
      </c>
      <c r="AY25" s="128" t="s">
        <v>536</v>
      </c>
      <c r="AZ25" s="128" t="s">
        <v>2631</v>
      </c>
      <c r="BA25" s="128"/>
    </row>
    <row r="26" spans="1:53" ht="165" x14ac:dyDescent="0.25">
      <c r="A26" s="108" t="s">
        <v>438</v>
      </c>
      <c r="B26" s="108" t="s">
        <v>953</v>
      </c>
      <c r="C26" s="944"/>
      <c r="D26" s="944"/>
      <c r="E26" s="944"/>
      <c r="F26" s="108" t="s">
        <v>2622</v>
      </c>
      <c r="G26" s="942"/>
      <c r="H26" s="111" t="s">
        <v>2632</v>
      </c>
      <c r="I26" s="111" t="s">
        <v>2633</v>
      </c>
      <c r="J26" s="111" t="s">
        <v>2634</v>
      </c>
      <c r="K26" s="111" t="s">
        <v>1441</v>
      </c>
      <c r="L26" s="111">
        <v>100</v>
      </c>
      <c r="M26" s="136">
        <v>25</v>
      </c>
      <c r="N26" s="111" t="s">
        <v>2633</v>
      </c>
      <c r="O26" s="502">
        <v>45</v>
      </c>
      <c r="P26" s="423">
        <v>185000</v>
      </c>
      <c r="Q26" s="251">
        <f>+P26</f>
        <v>185000</v>
      </c>
      <c r="R26" s="251"/>
      <c r="S26" s="251"/>
      <c r="T26" s="251"/>
      <c r="U26" s="251"/>
      <c r="V26" s="251"/>
      <c r="W26" s="251"/>
      <c r="X26" s="251"/>
      <c r="Y26" s="251"/>
      <c r="Z26" s="251"/>
      <c r="AA26" s="251"/>
      <c r="AB26" s="251"/>
      <c r="AC26" s="251"/>
      <c r="AD26" s="251"/>
      <c r="AE26" s="251"/>
      <c r="AF26" s="251"/>
      <c r="AG26" s="243" t="s">
        <v>2555</v>
      </c>
      <c r="AH26" s="243" t="s">
        <v>2556</v>
      </c>
      <c r="AI26" s="128" t="s">
        <v>2635</v>
      </c>
      <c r="AJ26" s="128" t="s">
        <v>2636</v>
      </c>
      <c r="AK26" s="128" t="s">
        <v>2637</v>
      </c>
      <c r="AL26" s="505">
        <v>185000</v>
      </c>
      <c r="AM26" s="128" t="s">
        <v>2638</v>
      </c>
      <c r="AN26" s="128"/>
      <c r="AO26" s="128"/>
      <c r="AP26" s="128"/>
      <c r="AQ26" s="128"/>
      <c r="AR26" s="128" t="s">
        <v>536</v>
      </c>
      <c r="AS26" s="128" t="s">
        <v>536</v>
      </c>
      <c r="AT26" s="128" t="s">
        <v>536</v>
      </c>
      <c r="AU26" s="128" t="s">
        <v>536</v>
      </c>
      <c r="AV26" s="128" t="s">
        <v>536</v>
      </c>
      <c r="AW26" s="128" t="s">
        <v>536</v>
      </c>
      <c r="AX26" s="128" t="s">
        <v>536</v>
      </c>
      <c r="AY26" s="128" t="s">
        <v>536</v>
      </c>
      <c r="AZ26" s="128" t="s">
        <v>2639</v>
      </c>
      <c r="BA26" s="128"/>
    </row>
    <row r="27" spans="1:53" ht="150" x14ac:dyDescent="0.25">
      <c r="A27" s="108" t="s">
        <v>438</v>
      </c>
      <c r="B27" s="108" t="s">
        <v>953</v>
      </c>
      <c r="C27" s="944"/>
      <c r="D27" s="944"/>
      <c r="E27" s="944"/>
      <c r="F27" s="108" t="s">
        <v>2622</v>
      </c>
      <c r="G27" s="942"/>
      <c r="H27" s="111" t="s">
        <v>2640</v>
      </c>
      <c r="I27" s="111" t="s">
        <v>2641</v>
      </c>
      <c r="J27" s="111">
        <v>0</v>
      </c>
      <c r="K27" s="111" t="s">
        <v>1441</v>
      </c>
      <c r="L27" s="111">
        <v>1</v>
      </c>
      <c r="M27" s="136">
        <v>0.25</v>
      </c>
      <c r="N27" s="111" t="s">
        <v>2641</v>
      </c>
      <c r="O27" s="502">
        <v>1</v>
      </c>
      <c r="P27" s="423">
        <v>20000</v>
      </c>
      <c r="Q27" s="251">
        <f>+P27</f>
        <v>20000</v>
      </c>
      <c r="R27" s="251"/>
      <c r="S27" s="251"/>
      <c r="T27" s="251"/>
      <c r="U27" s="251"/>
      <c r="V27" s="251"/>
      <c r="W27" s="251"/>
      <c r="X27" s="251"/>
      <c r="Y27" s="251"/>
      <c r="Z27" s="251"/>
      <c r="AA27" s="251"/>
      <c r="AB27" s="251"/>
      <c r="AC27" s="251"/>
      <c r="AD27" s="251"/>
      <c r="AE27" s="251"/>
      <c r="AF27" s="251"/>
      <c r="AG27" s="243" t="s">
        <v>2555</v>
      </c>
      <c r="AH27" s="243" t="s">
        <v>2556</v>
      </c>
      <c r="AI27" s="128" t="s">
        <v>1694</v>
      </c>
      <c r="AJ27" s="128" t="s">
        <v>1434</v>
      </c>
      <c r="AK27" s="128" t="s">
        <v>2642</v>
      </c>
      <c r="AL27" s="505">
        <v>20000</v>
      </c>
      <c r="AM27" s="128" t="s">
        <v>2638</v>
      </c>
      <c r="AN27" s="128"/>
      <c r="AO27" s="128" t="s">
        <v>536</v>
      </c>
      <c r="AP27" s="128" t="s">
        <v>536</v>
      </c>
      <c r="AQ27" s="128" t="s">
        <v>536</v>
      </c>
      <c r="AR27" s="128" t="s">
        <v>536</v>
      </c>
      <c r="AS27" s="128" t="s">
        <v>536</v>
      </c>
      <c r="AT27" s="128" t="s">
        <v>536</v>
      </c>
      <c r="AU27" s="128" t="s">
        <v>536</v>
      </c>
      <c r="AV27" s="128" t="s">
        <v>536</v>
      </c>
      <c r="AW27" s="128" t="s">
        <v>536</v>
      </c>
      <c r="AX27" s="128" t="s">
        <v>536</v>
      </c>
      <c r="AY27" s="128"/>
      <c r="AZ27" s="128" t="s">
        <v>2631</v>
      </c>
      <c r="BA27" s="128" t="s">
        <v>2643</v>
      </c>
    </row>
    <row r="28" spans="1:53" ht="204" x14ac:dyDescent="0.25">
      <c r="A28" s="108" t="s">
        <v>438</v>
      </c>
      <c r="B28" s="108" t="s">
        <v>953</v>
      </c>
      <c r="C28" s="944"/>
      <c r="D28" s="944"/>
      <c r="E28" s="944"/>
      <c r="F28" s="108" t="s">
        <v>2622</v>
      </c>
      <c r="G28" s="942"/>
      <c r="H28" s="111" t="s">
        <v>2644</v>
      </c>
      <c r="I28" s="111" t="s">
        <v>2645</v>
      </c>
      <c r="J28" s="111" t="s">
        <v>2646</v>
      </c>
      <c r="K28" s="111" t="s">
        <v>1441</v>
      </c>
      <c r="L28" s="552">
        <v>1000</v>
      </c>
      <c r="M28" s="136">
        <v>200</v>
      </c>
      <c r="N28" s="111" t="s">
        <v>2645</v>
      </c>
      <c r="O28" s="502">
        <v>9162</v>
      </c>
      <c r="P28" s="423">
        <v>2358069</v>
      </c>
      <c r="Q28" s="251"/>
      <c r="R28" s="251"/>
      <c r="S28" s="251"/>
      <c r="T28" s="251"/>
      <c r="U28" s="251"/>
      <c r="V28" s="251">
        <f>+P28</f>
        <v>2358069</v>
      </c>
      <c r="W28" s="251"/>
      <c r="X28" s="251"/>
      <c r="Y28" s="251"/>
      <c r="Z28" s="251"/>
      <c r="AA28" s="251"/>
      <c r="AB28" s="251"/>
      <c r="AC28" s="251"/>
      <c r="AD28" s="251"/>
      <c r="AE28" s="251"/>
      <c r="AF28" s="251"/>
      <c r="AG28" s="555" t="s">
        <v>2647</v>
      </c>
      <c r="AH28" s="554" t="s">
        <v>2648</v>
      </c>
      <c r="AI28" s="128" t="s">
        <v>2557</v>
      </c>
      <c r="AJ28" s="128" t="s">
        <v>2601</v>
      </c>
      <c r="AK28" s="128" t="s">
        <v>2649</v>
      </c>
      <c r="AL28" s="505">
        <v>2358069</v>
      </c>
      <c r="AM28" s="128" t="s">
        <v>2650</v>
      </c>
      <c r="AN28" s="128" t="s">
        <v>536</v>
      </c>
      <c r="AO28" s="128" t="s">
        <v>536</v>
      </c>
      <c r="AP28" s="128" t="s">
        <v>536</v>
      </c>
      <c r="AQ28" s="128" t="s">
        <v>536</v>
      </c>
      <c r="AR28" s="128" t="s">
        <v>536</v>
      </c>
      <c r="AS28" s="128" t="s">
        <v>536</v>
      </c>
      <c r="AT28" s="128" t="s">
        <v>536</v>
      </c>
      <c r="AU28" s="128" t="s">
        <v>536</v>
      </c>
      <c r="AV28" s="128" t="s">
        <v>536</v>
      </c>
      <c r="AW28" s="128" t="s">
        <v>536</v>
      </c>
      <c r="AX28" s="128" t="s">
        <v>536</v>
      </c>
      <c r="AY28" s="128" t="s">
        <v>536</v>
      </c>
      <c r="AZ28" s="128" t="s">
        <v>2651</v>
      </c>
      <c r="BA28" s="128" t="s">
        <v>2652</v>
      </c>
    </row>
    <row r="29" spans="1:53" ht="132.75" customHeight="1" x14ac:dyDescent="0.25">
      <c r="A29" s="108" t="s">
        <v>438</v>
      </c>
      <c r="B29" s="108" t="s">
        <v>953</v>
      </c>
      <c r="C29" s="944"/>
      <c r="D29" s="944"/>
      <c r="E29" s="944"/>
      <c r="F29" s="108" t="s">
        <v>2622</v>
      </c>
      <c r="G29" s="942"/>
      <c r="H29" s="111" t="s">
        <v>2653</v>
      </c>
      <c r="I29" s="111" t="s">
        <v>2654</v>
      </c>
      <c r="J29" s="111" t="s">
        <v>2655</v>
      </c>
      <c r="K29" s="111" t="s">
        <v>1441</v>
      </c>
      <c r="L29" s="552">
        <v>4185</v>
      </c>
      <c r="M29" s="136">
        <v>1000</v>
      </c>
      <c r="N29" s="111" t="s">
        <v>2654</v>
      </c>
      <c r="O29" s="502">
        <v>50425</v>
      </c>
      <c r="P29" s="423">
        <v>594792</v>
      </c>
      <c r="Q29" s="251">
        <f>+P29*0.7</f>
        <v>416354.39999999997</v>
      </c>
      <c r="R29" s="251"/>
      <c r="S29" s="251"/>
      <c r="T29" s="251"/>
      <c r="U29" s="251"/>
      <c r="V29" s="251"/>
      <c r="W29" s="251"/>
      <c r="X29" s="251"/>
      <c r="Y29" s="251"/>
      <c r="Z29" s="251"/>
      <c r="AA29" s="251"/>
      <c r="AB29" s="251"/>
      <c r="AC29" s="251">
        <f>+P29*0.3</f>
        <v>178437.6</v>
      </c>
      <c r="AD29" s="251"/>
      <c r="AE29" s="251"/>
      <c r="AF29" s="251"/>
      <c r="AG29" s="243" t="s">
        <v>2555</v>
      </c>
      <c r="AH29" s="243" t="s">
        <v>2556</v>
      </c>
      <c r="AI29" s="128" t="s">
        <v>2557</v>
      </c>
      <c r="AJ29" s="128" t="s">
        <v>2601</v>
      </c>
      <c r="AK29" s="128" t="s">
        <v>2656</v>
      </c>
      <c r="AL29" s="505">
        <v>594792</v>
      </c>
      <c r="AM29" s="128" t="s">
        <v>2657</v>
      </c>
      <c r="AN29" s="128"/>
      <c r="AO29" s="128" t="s">
        <v>536</v>
      </c>
      <c r="AP29" s="128" t="s">
        <v>536</v>
      </c>
      <c r="AQ29" s="128" t="s">
        <v>536</v>
      </c>
      <c r="AR29" s="128" t="s">
        <v>536</v>
      </c>
      <c r="AS29" s="128" t="s">
        <v>536</v>
      </c>
      <c r="AT29" s="128" t="s">
        <v>536</v>
      </c>
      <c r="AU29" s="128" t="s">
        <v>536</v>
      </c>
      <c r="AV29" s="128" t="s">
        <v>536</v>
      </c>
      <c r="AW29" s="128" t="s">
        <v>536</v>
      </c>
      <c r="AX29" s="128" t="s">
        <v>536</v>
      </c>
      <c r="AY29" s="128" t="s">
        <v>536</v>
      </c>
      <c r="AZ29" s="128" t="s">
        <v>2658</v>
      </c>
      <c r="BA29" s="128" t="s">
        <v>2582</v>
      </c>
    </row>
  </sheetData>
  <sheetProtection password="DFEF" sheet="1" objects="1" scenarios="1" autoFilter="0"/>
  <mergeCells count="44">
    <mergeCell ref="C18:C24"/>
    <mergeCell ref="D18:D24"/>
    <mergeCell ref="E18:E24"/>
    <mergeCell ref="G18:G24"/>
    <mergeCell ref="C25:C29"/>
    <mergeCell ref="D25:D29"/>
    <mergeCell ref="E25:E29"/>
    <mergeCell ref="G25:G29"/>
    <mergeCell ref="AZ14:AZ15"/>
    <mergeCell ref="BA14:BA15"/>
    <mergeCell ref="C16:C17"/>
    <mergeCell ref="D16:D17"/>
    <mergeCell ref="E16:E17"/>
    <mergeCell ref="G16:G17"/>
    <mergeCell ref="AI14:AI15"/>
    <mergeCell ref="AJ14:AJ15"/>
    <mergeCell ref="AK14:AK15"/>
    <mergeCell ref="AL14:AL15"/>
    <mergeCell ref="AM14:AM15"/>
    <mergeCell ref="AN14:AY14"/>
    <mergeCell ref="M14:M15"/>
    <mergeCell ref="N14:O14"/>
    <mergeCell ref="P14:P15"/>
    <mergeCell ref="Q14:AF14"/>
    <mergeCell ref="AG14:AG15"/>
    <mergeCell ref="AH14:AH15"/>
    <mergeCell ref="G14:G15"/>
    <mergeCell ref="H14:H15"/>
    <mergeCell ref="I14:I15"/>
    <mergeCell ref="J14:J15"/>
    <mergeCell ref="K14:K15"/>
    <mergeCell ref="L14:L15"/>
    <mergeCell ref="F14:F15"/>
    <mergeCell ref="A2:L2"/>
    <mergeCell ref="A3:L3"/>
    <mergeCell ref="A5:L5"/>
    <mergeCell ref="A6:L6"/>
    <mergeCell ref="A9:M9"/>
    <mergeCell ref="A11:M11"/>
    <mergeCell ref="A14:A15"/>
    <mergeCell ref="B14:B15"/>
    <mergeCell ref="C14:C15"/>
    <mergeCell ref="D14:D15"/>
    <mergeCell ref="E14:E1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topLeftCell="D6" zoomScale="80" zoomScaleNormal="80" workbookViewId="0">
      <selection activeCell="H20" sqref="H20"/>
    </sheetView>
  </sheetViews>
  <sheetFormatPr baseColWidth="10" defaultRowHeight="15" x14ac:dyDescent="0.25"/>
  <cols>
    <col min="1" max="1" width="17.140625" customWidth="1"/>
    <col min="6" max="6" width="16.140625" customWidth="1"/>
    <col min="7" max="7" width="19.7109375" customWidth="1"/>
    <col min="8" max="8" width="21.5703125" customWidth="1"/>
    <col min="9" max="9" width="23" customWidth="1"/>
    <col min="11" max="11" width="15.5703125" customWidth="1"/>
    <col min="14" max="14" width="19" customWidth="1"/>
    <col min="33" max="33" width="19.140625" customWidth="1"/>
    <col min="34" max="34" width="19.42578125" customWidth="1"/>
    <col min="39" max="39" width="26.5703125" customWidth="1"/>
    <col min="40" max="51" width="6.7109375" customWidth="1"/>
    <col min="52" max="52" width="19.28515625" customWidth="1"/>
    <col min="53" max="53" width="24.140625" customWidth="1"/>
  </cols>
  <sheetData>
    <row r="1" spans="1:77" x14ac:dyDescent="0.25">
      <c r="A1" s="96"/>
      <c r="B1" s="96"/>
      <c r="C1" s="96"/>
      <c r="D1" s="96"/>
      <c r="E1" s="96"/>
      <c r="F1" s="96"/>
      <c r="G1" s="96"/>
      <c r="H1" s="97"/>
      <c r="I1" s="96"/>
      <c r="J1" s="96"/>
      <c r="K1" s="96"/>
      <c r="L1" s="96"/>
      <c r="M1" s="98"/>
      <c r="N1" s="98"/>
      <c r="O1" s="98"/>
      <c r="P1" s="99"/>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9"/>
    </row>
    <row r="2" spans="1:77" ht="18" x14ac:dyDescent="0.25">
      <c r="A2" s="958" t="s">
        <v>481</v>
      </c>
      <c r="B2" s="958"/>
      <c r="C2" s="958"/>
      <c r="D2" s="958"/>
      <c r="E2" s="958"/>
      <c r="F2" s="958"/>
      <c r="G2" s="958"/>
      <c r="H2" s="958"/>
      <c r="I2" s="958"/>
      <c r="J2" s="958"/>
      <c r="K2" s="958"/>
      <c r="L2" s="958"/>
      <c r="M2" s="98"/>
      <c r="N2" s="98"/>
      <c r="O2" s="98"/>
      <c r="P2" s="99"/>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9"/>
    </row>
    <row r="3" spans="1:77" ht="18" x14ac:dyDescent="0.25">
      <c r="A3" s="959" t="s">
        <v>482</v>
      </c>
      <c r="B3" s="959"/>
      <c r="C3" s="959"/>
      <c r="D3" s="959"/>
      <c r="E3" s="959"/>
      <c r="F3" s="959"/>
      <c r="G3" s="959"/>
      <c r="H3" s="959"/>
      <c r="I3" s="959"/>
      <c r="J3" s="959"/>
      <c r="K3" s="959"/>
      <c r="L3" s="959"/>
      <c r="M3" s="98"/>
      <c r="N3" s="98"/>
      <c r="O3" s="98"/>
      <c r="P3" s="99"/>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9"/>
    </row>
    <row r="4" spans="1:77" x14ac:dyDescent="0.25">
      <c r="A4" s="101"/>
      <c r="B4" s="96"/>
      <c r="C4" s="96"/>
      <c r="D4" s="96"/>
      <c r="E4" s="96"/>
      <c r="F4" s="96"/>
      <c r="G4" s="96"/>
      <c r="H4" s="97"/>
      <c r="I4" s="96"/>
      <c r="J4" s="96"/>
      <c r="K4" s="96"/>
      <c r="L4" s="96"/>
      <c r="M4" s="98"/>
      <c r="N4" s="98"/>
      <c r="O4" s="98"/>
      <c r="P4" s="99"/>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9"/>
    </row>
    <row r="5" spans="1:77" ht="18" x14ac:dyDescent="0.25">
      <c r="A5" s="960" t="s">
        <v>483</v>
      </c>
      <c r="B5" s="960"/>
      <c r="C5" s="960"/>
      <c r="D5" s="960"/>
      <c r="E5" s="960"/>
      <c r="F5" s="960"/>
      <c r="G5" s="960"/>
      <c r="H5" s="960"/>
      <c r="I5" s="960"/>
      <c r="J5" s="960"/>
      <c r="K5" s="960"/>
      <c r="L5" s="960"/>
      <c r="M5" s="98"/>
      <c r="N5" s="98"/>
      <c r="O5" s="98"/>
      <c r="P5" s="99"/>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9"/>
    </row>
    <row r="6" spans="1:77" ht="18" x14ac:dyDescent="0.25">
      <c r="A6" s="958" t="s">
        <v>528</v>
      </c>
      <c r="B6" s="958"/>
      <c r="C6" s="958"/>
      <c r="D6" s="958"/>
      <c r="E6" s="958"/>
      <c r="F6" s="958"/>
      <c r="G6" s="958"/>
      <c r="H6" s="958"/>
      <c r="I6" s="958"/>
      <c r="J6" s="958"/>
      <c r="K6" s="958"/>
      <c r="L6" s="958"/>
      <c r="M6" s="98"/>
      <c r="N6" s="98"/>
      <c r="O6" s="98"/>
      <c r="P6" s="99"/>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9"/>
    </row>
    <row r="7" spans="1:77" ht="18" x14ac:dyDescent="0.25">
      <c r="A7" s="100"/>
      <c r="B7" s="100"/>
      <c r="C7" s="100"/>
      <c r="D7" s="100"/>
      <c r="E7" s="100"/>
      <c r="F7" s="100"/>
      <c r="G7" s="100"/>
      <c r="H7" s="100"/>
      <c r="I7" s="100"/>
      <c r="J7" s="100"/>
      <c r="K7" s="100"/>
      <c r="L7" s="100"/>
      <c r="M7" s="98"/>
      <c r="N7" s="98"/>
      <c r="O7" s="98"/>
      <c r="P7" s="99"/>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9"/>
    </row>
    <row r="8" spans="1:77" ht="18" x14ac:dyDescent="0.25">
      <c r="A8" s="100"/>
      <c r="B8" s="100"/>
      <c r="C8" s="100"/>
      <c r="D8" s="100"/>
      <c r="E8" s="100"/>
      <c r="F8" s="100"/>
      <c r="G8" s="100"/>
      <c r="H8" s="100"/>
      <c r="I8" s="100"/>
      <c r="J8" s="100"/>
      <c r="K8" s="100"/>
      <c r="L8" s="100"/>
      <c r="M8" s="98"/>
      <c r="N8" s="98"/>
      <c r="O8" s="98"/>
      <c r="P8" s="99"/>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9"/>
    </row>
    <row r="9" spans="1:77" x14ac:dyDescent="0.25">
      <c r="A9" s="961" t="s">
        <v>2660</v>
      </c>
      <c r="B9" s="961"/>
      <c r="C9" s="961"/>
      <c r="D9" s="961"/>
      <c r="E9" s="961"/>
      <c r="F9" s="961"/>
      <c r="G9" s="961"/>
      <c r="H9" s="961"/>
      <c r="I9" s="961"/>
      <c r="J9" s="961"/>
      <c r="K9" s="961"/>
      <c r="L9" s="961"/>
      <c r="M9" s="961"/>
      <c r="N9" s="98"/>
      <c r="O9" s="98"/>
      <c r="P9" s="99"/>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9"/>
    </row>
    <row r="10" spans="1:77" ht="18" x14ac:dyDescent="0.25">
      <c r="A10" s="102"/>
      <c r="B10" s="102"/>
      <c r="C10" s="102"/>
      <c r="D10" s="102"/>
      <c r="E10" s="102"/>
      <c r="F10" s="100"/>
      <c r="G10" s="100"/>
      <c r="H10" s="100"/>
      <c r="I10" s="100"/>
      <c r="J10" s="100"/>
      <c r="K10" s="100"/>
      <c r="L10" s="100"/>
      <c r="M10" s="100"/>
      <c r="N10" s="98"/>
      <c r="O10" s="98"/>
      <c r="P10" s="99"/>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9"/>
    </row>
    <row r="11" spans="1:77" x14ac:dyDescent="0.25">
      <c r="A11" s="961" t="s">
        <v>951</v>
      </c>
      <c r="B11" s="961"/>
      <c r="C11" s="961"/>
      <c r="D11" s="961"/>
      <c r="E11" s="961"/>
      <c r="F11" s="961"/>
      <c r="G11" s="961"/>
      <c r="H11" s="961"/>
      <c r="I11" s="961"/>
      <c r="J11" s="961"/>
      <c r="K11" s="961"/>
      <c r="L11" s="961"/>
      <c r="M11" s="961"/>
      <c r="N11" s="98"/>
      <c r="O11" s="98"/>
      <c r="P11" s="99"/>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9"/>
    </row>
    <row r="12" spans="1:77" ht="18" x14ac:dyDescent="0.25">
      <c r="A12" s="100"/>
      <c r="B12" s="100"/>
      <c r="C12" s="100"/>
      <c r="D12" s="100"/>
      <c r="E12" s="100"/>
      <c r="F12" s="100"/>
      <c r="G12" s="100"/>
      <c r="H12" s="100"/>
      <c r="I12" s="100"/>
      <c r="J12" s="100"/>
      <c r="K12" s="100"/>
      <c r="L12" s="100"/>
      <c r="M12" s="98"/>
      <c r="N12" s="98"/>
      <c r="O12" s="98"/>
      <c r="P12" s="99"/>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9"/>
    </row>
    <row r="13" spans="1:77" x14ac:dyDescent="0.25">
      <c r="A13" s="96"/>
      <c r="B13" s="96"/>
      <c r="C13" s="96"/>
      <c r="D13" s="96"/>
      <c r="E13" s="96"/>
      <c r="F13" s="96"/>
      <c r="G13" s="96"/>
      <c r="H13" s="97"/>
      <c r="I13" s="96"/>
      <c r="J13" s="96"/>
      <c r="K13" s="96"/>
      <c r="L13" s="96"/>
      <c r="M13" s="98"/>
      <c r="N13" s="98"/>
      <c r="O13" s="98"/>
      <c r="P13" s="99"/>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9"/>
    </row>
    <row r="14" spans="1:77" ht="29.25" customHeight="1" x14ac:dyDescent="0.25">
      <c r="A14" s="956" t="s">
        <v>62</v>
      </c>
      <c r="B14" s="956" t="s">
        <v>63</v>
      </c>
      <c r="C14" s="954" t="s">
        <v>0</v>
      </c>
      <c r="D14" s="954" t="s">
        <v>1</v>
      </c>
      <c r="E14" s="954" t="s">
        <v>2</v>
      </c>
      <c r="F14" s="954" t="s">
        <v>3</v>
      </c>
      <c r="G14" s="954" t="s">
        <v>64</v>
      </c>
      <c r="H14" s="954" t="s">
        <v>65</v>
      </c>
      <c r="I14" s="954" t="s">
        <v>66</v>
      </c>
      <c r="J14" s="954" t="s">
        <v>67</v>
      </c>
      <c r="K14" s="954" t="s">
        <v>480</v>
      </c>
      <c r="L14" s="954" t="s">
        <v>521</v>
      </c>
      <c r="M14" s="889" t="s">
        <v>529</v>
      </c>
      <c r="N14" s="891" t="s">
        <v>66</v>
      </c>
      <c r="O14" s="893"/>
      <c r="P14" s="889" t="s">
        <v>532</v>
      </c>
      <c r="Q14" s="1000" t="s">
        <v>484</v>
      </c>
      <c r="R14" s="1001"/>
      <c r="S14" s="1001"/>
      <c r="T14" s="1001"/>
      <c r="U14" s="1001"/>
      <c r="V14" s="1001"/>
      <c r="W14" s="1001"/>
      <c r="X14" s="1001"/>
      <c r="Y14" s="1001"/>
      <c r="Z14" s="1001"/>
      <c r="AA14" s="1001"/>
      <c r="AB14" s="1001"/>
      <c r="AC14" s="1001"/>
      <c r="AD14" s="1001"/>
      <c r="AE14" s="1001"/>
      <c r="AF14" s="1002"/>
      <c r="AG14" s="1003" t="s">
        <v>485</v>
      </c>
      <c r="AH14" s="1003" t="s">
        <v>531</v>
      </c>
      <c r="AI14" s="1003" t="s">
        <v>952</v>
      </c>
      <c r="AJ14" s="1003" t="s">
        <v>511</v>
      </c>
      <c r="AK14" s="1003" t="s">
        <v>486</v>
      </c>
      <c r="AL14" s="1003" t="s">
        <v>535</v>
      </c>
      <c r="AM14" s="1003" t="s">
        <v>487</v>
      </c>
      <c r="AN14" s="1007" t="s">
        <v>524</v>
      </c>
      <c r="AO14" s="1008"/>
      <c r="AP14" s="1008"/>
      <c r="AQ14" s="1008"/>
      <c r="AR14" s="1008"/>
      <c r="AS14" s="1008"/>
      <c r="AT14" s="1008"/>
      <c r="AU14" s="1008"/>
      <c r="AV14" s="1008"/>
      <c r="AW14" s="1008"/>
      <c r="AX14" s="1008"/>
      <c r="AY14" s="1009"/>
      <c r="AZ14" s="1005" t="s">
        <v>512</v>
      </c>
      <c r="BA14" s="950" t="s">
        <v>488</v>
      </c>
    </row>
    <row r="15" spans="1:77" ht="73.5" customHeight="1" x14ac:dyDescent="0.25">
      <c r="A15" s="957"/>
      <c r="B15" s="957"/>
      <c r="C15" s="955"/>
      <c r="D15" s="955"/>
      <c r="E15" s="955"/>
      <c r="F15" s="955"/>
      <c r="G15" s="955"/>
      <c r="H15" s="955"/>
      <c r="I15" s="955"/>
      <c r="J15" s="955"/>
      <c r="K15" s="955"/>
      <c r="L15" s="955"/>
      <c r="M15" s="890"/>
      <c r="N15" s="93" t="s">
        <v>489</v>
      </c>
      <c r="O15" s="93" t="s">
        <v>530</v>
      </c>
      <c r="P15" s="890"/>
      <c r="Q15" s="94" t="s">
        <v>490</v>
      </c>
      <c r="R15" s="94" t="s">
        <v>533</v>
      </c>
      <c r="S15" s="94" t="s">
        <v>491</v>
      </c>
      <c r="T15" s="94" t="s">
        <v>492</v>
      </c>
      <c r="U15" s="94" t="s">
        <v>522</v>
      </c>
      <c r="V15" s="94" t="s">
        <v>493</v>
      </c>
      <c r="W15" s="94" t="s">
        <v>494</v>
      </c>
      <c r="X15" s="94" t="s">
        <v>495</v>
      </c>
      <c r="Y15" s="94" t="s">
        <v>496</v>
      </c>
      <c r="Z15" s="94" t="s">
        <v>497</v>
      </c>
      <c r="AA15" s="94" t="s">
        <v>523</v>
      </c>
      <c r="AB15" s="94" t="s">
        <v>534</v>
      </c>
      <c r="AC15" s="94" t="s">
        <v>498</v>
      </c>
      <c r="AD15" s="94" t="s">
        <v>499</v>
      </c>
      <c r="AE15" s="94" t="s">
        <v>500</v>
      </c>
      <c r="AF15" s="94" t="s">
        <v>501</v>
      </c>
      <c r="AG15" s="1004"/>
      <c r="AH15" s="1004"/>
      <c r="AI15" s="1004"/>
      <c r="AJ15" s="1004"/>
      <c r="AK15" s="1004"/>
      <c r="AL15" s="1004"/>
      <c r="AM15" s="1004"/>
      <c r="AN15" s="465" t="s">
        <v>502</v>
      </c>
      <c r="AO15" s="465" t="s">
        <v>503</v>
      </c>
      <c r="AP15" s="465" t="s">
        <v>504</v>
      </c>
      <c r="AQ15" s="465" t="s">
        <v>505</v>
      </c>
      <c r="AR15" s="465" t="s">
        <v>504</v>
      </c>
      <c r="AS15" s="465" t="s">
        <v>506</v>
      </c>
      <c r="AT15" s="465" t="s">
        <v>506</v>
      </c>
      <c r="AU15" s="465" t="s">
        <v>505</v>
      </c>
      <c r="AV15" s="465" t="s">
        <v>507</v>
      </c>
      <c r="AW15" s="465" t="s">
        <v>508</v>
      </c>
      <c r="AX15" s="465" t="s">
        <v>509</v>
      </c>
      <c r="AY15" s="465" t="s">
        <v>510</v>
      </c>
      <c r="AZ15" s="1006"/>
      <c r="BA15" s="951"/>
    </row>
    <row r="16" spans="1:77" ht="75" x14ac:dyDescent="0.25">
      <c r="A16" s="111" t="s">
        <v>1276</v>
      </c>
      <c r="B16" s="214" t="s">
        <v>2661</v>
      </c>
      <c r="C16" s="936" t="s">
        <v>2662</v>
      </c>
      <c r="D16" s="936" t="s">
        <v>2663</v>
      </c>
      <c r="E16" s="936" t="s">
        <v>2664</v>
      </c>
      <c r="F16" s="214" t="s">
        <v>2665</v>
      </c>
      <c r="G16" s="944" t="s">
        <v>2666</v>
      </c>
      <c r="H16" s="108" t="s">
        <v>2667</v>
      </c>
      <c r="I16" s="108" t="s">
        <v>2668</v>
      </c>
      <c r="J16" s="136" t="s">
        <v>2664</v>
      </c>
      <c r="K16" s="136" t="s">
        <v>526</v>
      </c>
      <c r="L16" s="443">
        <v>0.8</v>
      </c>
      <c r="M16" s="443">
        <v>0.1</v>
      </c>
      <c r="N16" s="108" t="s">
        <v>2668</v>
      </c>
      <c r="O16" s="559">
        <v>0.25</v>
      </c>
      <c r="P16" s="560">
        <v>550000</v>
      </c>
      <c r="Q16" s="560">
        <v>550000</v>
      </c>
      <c r="R16" s="128"/>
      <c r="S16" s="128"/>
      <c r="T16" s="128"/>
      <c r="U16" s="128"/>
      <c r="V16" s="128"/>
      <c r="W16" s="128"/>
      <c r="X16" s="128"/>
      <c r="Y16" s="128"/>
      <c r="Z16" s="128"/>
      <c r="AA16" s="128"/>
      <c r="AB16" s="128"/>
      <c r="AC16" s="128"/>
      <c r="AD16" s="128"/>
      <c r="AE16" s="128"/>
      <c r="AF16" s="128"/>
      <c r="AG16" s="128" t="s">
        <v>2669</v>
      </c>
      <c r="AH16" s="245" t="s">
        <v>2670</v>
      </c>
      <c r="AI16" s="128">
        <v>42</v>
      </c>
      <c r="AJ16" s="128" t="s">
        <v>2671</v>
      </c>
      <c r="AK16" s="128">
        <v>1244886</v>
      </c>
      <c r="AL16" s="245">
        <v>240000</v>
      </c>
      <c r="AM16" s="561" t="s">
        <v>2672</v>
      </c>
      <c r="AN16" s="245" t="s">
        <v>554</v>
      </c>
      <c r="AO16" s="245" t="s">
        <v>554</v>
      </c>
      <c r="AP16" s="245" t="s">
        <v>554</v>
      </c>
      <c r="AQ16" s="245" t="s">
        <v>554</v>
      </c>
      <c r="AR16" s="245" t="s">
        <v>554</v>
      </c>
      <c r="AS16" s="245" t="s">
        <v>554</v>
      </c>
      <c r="AT16" s="245" t="s">
        <v>554</v>
      </c>
      <c r="AU16" s="245" t="s">
        <v>554</v>
      </c>
      <c r="AV16" s="245" t="s">
        <v>554</v>
      </c>
      <c r="AW16" s="245" t="s">
        <v>554</v>
      </c>
      <c r="AX16" s="245" t="s">
        <v>554</v>
      </c>
      <c r="AY16" s="245" t="s">
        <v>554</v>
      </c>
      <c r="AZ16" s="128" t="s">
        <v>2673</v>
      </c>
      <c r="BA16" s="548" t="s">
        <v>2674</v>
      </c>
      <c r="BB16" s="562"/>
      <c r="BC16" s="557"/>
      <c r="BD16" s="557"/>
      <c r="BE16" s="557"/>
      <c r="BF16" s="557"/>
      <c r="BG16" s="557"/>
      <c r="BH16" s="557"/>
      <c r="BI16" s="557"/>
      <c r="BJ16" s="557"/>
      <c r="BK16" s="557"/>
      <c r="BL16" s="557"/>
      <c r="BM16" s="557"/>
      <c r="BN16" s="557"/>
      <c r="BO16" s="557"/>
      <c r="BP16" s="557"/>
      <c r="BQ16" s="557"/>
      <c r="BR16" s="557"/>
      <c r="BS16" s="557"/>
      <c r="BT16" s="557"/>
      <c r="BU16" s="557"/>
      <c r="BV16" s="557"/>
      <c r="BW16" s="557"/>
      <c r="BX16" s="557"/>
      <c r="BY16" s="557"/>
    </row>
    <row r="17" spans="1:77" ht="135" x14ac:dyDescent="0.25">
      <c r="A17" s="111" t="s">
        <v>1276</v>
      </c>
      <c r="B17" s="214" t="s">
        <v>2661</v>
      </c>
      <c r="C17" s="947"/>
      <c r="D17" s="947"/>
      <c r="E17" s="947"/>
      <c r="F17" s="214" t="s">
        <v>2665</v>
      </c>
      <c r="G17" s="944"/>
      <c r="H17" s="108" t="s">
        <v>2675</v>
      </c>
      <c r="I17" s="108" t="s">
        <v>2676</v>
      </c>
      <c r="J17" s="136">
        <v>0</v>
      </c>
      <c r="K17" s="136" t="s">
        <v>526</v>
      </c>
      <c r="L17" s="443">
        <v>0.7</v>
      </c>
      <c r="M17" s="443">
        <v>0.49</v>
      </c>
      <c r="N17" s="108" t="s">
        <v>2676</v>
      </c>
      <c r="O17" s="559">
        <v>0.21</v>
      </c>
      <c r="P17" s="560">
        <v>1893000</v>
      </c>
      <c r="Q17" s="560">
        <v>1893000</v>
      </c>
      <c r="R17" s="128"/>
      <c r="S17" s="128"/>
      <c r="T17" s="128"/>
      <c r="U17" s="128"/>
      <c r="V17" s="128"/>
      <c r="W17" s="128"/>
      <c r="X17" s="128"/>
      <c r="Y17" s="128"/>
      <c r="Z17" s="128"/>
      <c r="AA17" s="128"/>
      <c r="AB17" s="128"/>
      <c r="AC17" s="128"/>
      <c r="AD17" s="128"/>
      <c r="AE17" s="128"/>
      <c r="AF17" s="128"/>
      <c r="AG17" s="128" t="s">
        <v>2669</v>
      </c>
      <c r="AH17" s="245" t="s">
        <v>2670</v>
      </c>
      <c r="AI17" s="128">
        <v>42</v>
      </c>
      <c r="AJ17" s="128" t="s">
        <v>2671</v>
      </c>
      <c r="AK17" s="128">
        <v>1244887</v>
      </c>
      <c r="AL17" s="245">
        <v>1893000</v>
      </c>
      <c r="AM17" s="561" t="s">
        <v>2677</v>
      </c>
      <c r="AN17" s="245" t="s">
        <v>536</v>
      </c>
      <c r="AO17" s="245" t="s">
        <v>536</v>
      </c>
      <c r="AP17" s="245" t="s">
        <v>536</v>
      </c>
      <c r="AQ17" s="245" t="s">
        <v>536</v>
      </c>
      <c r="AR17" s="245" t="s">
        <v>536</v>
      </c>
      <c r="AS17" s="245" t="s">
        <v>536</v>
      </c>
      <c r="AT17" s="245" t="s">
        <v>536</v>
      </c>
      <c r="AU17" s="245" t="s">
        <v>536</v>
      </c>
      <c r="AV17" s="245" t="s">
        <v>536</v>
      </c>
      <c r="AW17" s="245" t="s">
        <v>536</v>
      </c>
      <c r="AX17" s="245" t="s">
        <v>536</v>
      </c>
      <c r="AY17" s="245" t="s">
        <v>536</v>
      </c>
      <c r="AZ17" s="128" t="s">
        <v>2673</v>
      </c>
      <c r="BA17" s="548" t="s">
        <v>2678</v>
      </c>
      <c r="BB17" s="562"/>
      <c r="BC17" s="557"/>
      <c r="BD17" s="557"/>
      <c r="BE17" s="557"/>
      <c r="BF17" s="557"/>
      <c r="BG17" s="557"/>
      <c r="BH17" s="557"/>
      <c r="BI17" s="557"/>
      <c r="BJ17" s="557"/>
      <c r="BK17" s="557"/>
      <c r="BL17" s="557"/>
      <c r="BM17" s="557"/>
      <c r="BN17" s="557"/>
      <c r="BO17" s="557"/>
      <c r="BP17" s="557"/>
      <c r="BQ17" s="557"/>
      <c r="BR17" s="557"/>
      <c r="BS17" s="557"/>
      <c r="BT17" s="557"/>
      <c r="BU17" s="557"/>
      <c r="BV17" s="557"/>
      <c r="BW17" s="557"/>
      <c r="BX17" s="557"/>
      <c r="BY17" s="557"/>
    </row>
    <row r="18" spans="1:77" ht="135" x14ac:dyDescent="0.25">
      <c r="A18" s="111" t="s">
        <v>1276</v>
      </c>
      <c r="B18" s="214" t="s">
        <v>2661</v>
      </c>
      <c r="C18" s="947"/>
      <c r="D18" s="947"/>
      <c r="E18" s="947"/>
      <c r="F18" s="214" t="s">
        <v>2665</v>
      </c>
      <c r="G18" s="944"/>
      <c r="H18" s="108" t="s">
        <v>2679</v>
      </c>
      <c r="I18" s="108" t="s">
        <v>2680</v>
      </c>
      <c r="J18" s="136">
        <v>0</v>
      </c>
      <c r="K18" s="136" t="s">
        <v>526</v>
      </c>
      <c r="L18" s="443">
        <v>0.3</v>
      </c>
      <c r="M18" s="443">
        <v>0.03</v>
      </c>
      <c r="N18" s="108" t="s">
        <v>2680</v>
      </c>
      <c r="O18" s="559">
        <v>1.23</v>
      </c>
      <c r="P18" s="560">
        <v>200000</v>
      </c>
      <c r="Q18" s="245">
        <v>200000</v>
      </c>
      <c r="R18" s="128"/>
      <c r="S18" s="128"/>
      <c r="T18" s="128"/>
      <c r="U18" s="128"/>
      <c r="V18" s="128"/>
      <c r="W18" s="128"/>
      <c r="X18" s="128"/>
      <c r="Y18" s="128"/>
      <c r="Z18" s="128"/>
      <c r="AA18" s="128"/>
      <c r="AB18" s="128"/>
      <c r="AC18" s="128"/>
      <c r="AD18" s="128"/>
      <c r="AE18" s="128"/>
      <c r="AF18" s="128"/>
      <c r="AG18" s="128" t="s">
        <v>2669</v>
      </c>
      <c r="AH18" s="245" t="s">
        <v>2670</v>
      </c>
      <c r="AI18" s="128">
        <v>42</v>
      </c>
      <c r="AJ18" s="128" t="s">
        <v>2671</v>
      </c>
      <c r="AK18" s="128">
        <v>1244888</v>
      </c>
      <c r="AL18" s="245">
        <v>230000</v>
      </c>
      <c r="AM18" s="561" t="s">
        <v>2681</v>
      </c>
      <c r="AN18" s="245" t="s">
        <v>536</v>
      </c>
      <c r="AO18" s="245" t="s">
        <v>536</v>
      </c>
      <c r="AP18" s="245" t="s">
        <v>536</v>
      </c>
      <c r="AQ18" s="245" t="s">
        <v>536</v>
      </c>
      <c r="AR18" s="245" t="s">
        <v>536</v>
      </c>
      <c r="AS18" s="245" t="s">
        <v>536</v>
      </c>
      <c r="AT18" s="245" t="s">
        <v>536</v>
      </c>
      <c r="AU18" s="245" t="s">
        <v>536</v>
      </c>
      <c r="AV18" s="245" t="s">
        <v>536</v>
      </c>
      <c r="AW18" s="245" t="s">
        <v>536</v>
      </c>
      <c r="AX18" s="245" t="s">
        <v>536</v>
      </c>
      <c r="AY18" s="245" t="s">
        <v>536</v>
      </c>
      <c r="AZ18" s="128" t="s">
        <v>2682</v>
      </c>
      <c r="BA18" s="548" t="s">
        <v>2683</v>
      </c>
      <c r="BB18" s="562"/>
      <c r="BC18" s="557"/>
      <c r="BD18" s="557"/>
      <c r="BE18" s="557"/>
      <c r="BF18" s="557"/>
      <c r="BG18" s="557"/>
      <c r="BH18" s="557"/>
      <c r="BI18" s="557"/>
      <c r="BJ18" s="557"/>
      <c r="BK18" s="557"/>
      <c r="BL18" s="557"/>
      <c r="BM18" s="557"/>
      <c r="BN18" s="557"/>
      <c r="BO18" s="557"/>
      <c r="BP18" s="557"/>
      <c r="BQ18" s="557"/>
      <c r="BR18" s="557"/>
      <c r="BS18" s="557"/>
      <c r="BT18" s="557"/>
      <c r="BU18" s="557"/>
      <c r="BV18" s="557"/>
      <c r="BW18" s="557"/>
      <c r="BX18" s="557"/>
      <c r="BY18" s="557"/>
    </row>
    <row r="19" spans="1:77" ht="75" x14ac:dyDescent="0.25">
      <c r="A19" s="111" t="s">
        <v>1276</v>
      </c>
      <c r="B19" s="214" t="s">
        <v>2661</v>
      </c>
      <c r="C19" s="947"/>
      <c r="D19" s="947"/>
      <c r="E19" s="947"/>
      <c r="F19" s="214" t="s">
        <v>2665</v>
      </c>
      <c r="G19" s="944"/>
      <c r="H19" s="108" t="s">
        <v>2684</v>
      </c>
      <c r="I19" s="108" t="s">
        <v>2685</v>
      </c>
      <c r="J19" s="136">
        <v>0</v>
      </c>
      <c r="K19" s="136" t="s">
        <v>526</v>
      </c>
      <c r="L19" s="136">
        <v>2</v>
      </c>
      <c r="M19" s="136">
        <v>0</v>
      </c>
      <c r="N19" s="108" t="s">
        <v>2685</v>
      </c>
      <c r="O19" s="128"/>
      <c r="P19" s="563">
        <v>0</v>
      </c>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45" t="s">
        <v>2686</v>
      </c>
      <c r="BB19" s="562"/>
      <c r="BC19" s="557"/>
      <c r="BD19" s="557"/>
      <c r="BE19" s="557"/>
      <c r="BF19" s="557"/>
      <c r="BG19" s="557"/>
      <c r="BH19" s="557"/>
      <c r="BI19" s="557"/>
      <c r="BJ19" s="557"/>
      <c r="BK19" s="557"/>
      <c r="BL19" s="557"/>
      <c r="BM19" s="557"/>
      <c r="BN19" s="557"/>
      <c r="BO19" s="557"/>
      <c r="BP19" s="557"/>
      <c r="BQ19" s="557"/>
      <c r="BR19" s="557"/>
      <c r="BS19" s="557"/>
      <c r="BT19" s="557"/>
      <c r="BU19" s="557"/>
      <c r="BV19" s="557"/>
      <c r="BW19" s="557"/>
      <c r="BX19" s="557"/>
      <c r="BY19" s="557"/>
    </row>
    <row r="20" spans="1:77" ht="90" x14ac:dyDescent="0.25">
      <c r="A20" s="111" t="s">
        <v>1276</v>
      </c>
      <c r="B20" s="214" t="s">
        <v>2661</v>
      </c>
      <c r="C20" s="947"/>
      <c r="D20" s="947"/>
      <c r="E20" s="947"/>
      <c r="F20" s="214" t="s">
        <v>2665</v>
      </c>
      <c r="G20" s="944"/>
      <c r="H20" s="108" t="s">
        <v>2687</v>
      </c>
      <c r="I20" s="108" t="s">
        <v>2688</v>
      </c>
      <c r="J20" s="136">
        <v>0.49</v>
      </c>
      <c r="K20" s="136" t="s">
        <v>526</v>
      </c>
      <c r="L20" s="443">
        <v>0.8</v>
      </c>
      <c r="M20" s="443">
        <v>7.0000000000000007E-2</v>
      </c>
      <c r="N20" s="108" t="s">
        <v>2688</v>
      </c>
      <c r="O20" s="245">
        <v>0</v>
      </c>
      <c r="P20" s="560">
        <v>1050000</v>
      </c>
      <c r="Q20" s="128"/>
      <c r="R20" s="128"/>
      <c r="S20" s="128"/>
      <c r="T20" s="128"/>
      <c r="U20" s="128"/>
      <c r="V20" s="245">
        <v>1050000</v>
      </c>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t="s">
        <v>2689</v>
      </c>
      <c r="BA20" s="548" t="s">
        <v>2690</v>
      </c>
      <c r="BB20" s="562"/>
      <c r="BC20" s="557"/>
      <c r="BD20" s="557"/>
      <c r="BE20" s="557"/>
      <c r="BF20" s="557"/>
      <c r="BG20" s="557"/>
      <c r="BH20" s="557"/>
      <c r="BI20" s="557"/>
      <c r="BJ20" s="557"/>
      <c r="BK20" s="557"/>
      <c r="BL20" s="557"/>
      <c r="BM20" s="557"/>
      <c r="BN20" s="557"/>
      <c r="BO20" s="557"/>
      <c r="BP20" s="557"/>
      <c r="BQ20" s="557"/>
      <c r="BR20" s="557"/>
      <c r="BS20" s="557"/>
      <c r="BT20" s="557"/>
      <c r="BU20" s="557"/>
      <c r="BV20" s="557"/>
      <c r="BW20" s="557"/>
      <c r="BX20" s="557"/>
      <c r="BY20" s="557"/>
    </row>
    <row r="21" spans="1:77" ht="225" x14ac:dyDescent="0.25">
      <c r="A21" s="111" t="s">
        <v>1276</v>
      </c>
      <c r="B21" s="214" t="s">
        <v>2661</v>
      </c>
      <c r="C21" s="944" t="s">
        <v>2691</v>
      </c>
      <c r="D21" s="944" t="s">
        <v>2692</v>
      </c>
      <c r="E21" s="944">
        <v>0.39250000000000002</v>
      </c>
      <c r="F21" s="214" t="s">
        <v>2693</v>
      </c>
      <c r="G21" s="944" t="s">
        <v>2694</v>
      </c>
      <c r="H21" s="108" t="s">
        <v>2695</v>
      </c>
      <c r="I21" s="108" t="s">
        <v>2696</v>
      </c>
      <c r="J21" s="136">
        <v>0</v>
      </c>
      <c r="K21" s="136" t="s">
        <v>526</v>
      </c>
      <c r="L21" s="139">
        <v>4</v>
      </c>
      <c r="M21" s="136">
        <v>0</v>
      </c>
      <c r="N21" s="108" t="s">
        <v>2696</v>
      </c>
      <c r="O21" s="564">
        <v>129015</v>
      </c>
      <c r="P21" s="563">
        <v>0</v>
      </c>
      <c r="Q21" s="245" t="s">
        <v>536</v>
      </c>
      <c r="R21" s="128"/>
      <c r="S21" s="128"/>
      <c r="T21" s="128"/>
      <c r="U21" s="128"/>
      <c r="V21" s="128"/>
      <c r="W21" s="128"/>
      <c r="X21" s="128"/>
      <c r="Y21" s="128"/>
      <c r="Z21" s="128"/>
      <c r="AA21" s="128"/>
      <c r="AB21" s="128"/>
      <c r="AC21" s="128"/>
      <c r="AD21" s="128"/>
      <c r="AE21" s="128"/>
      <c r="AF21" s="128"/>
      <c r="AG21" s="128" t="s">
        <v>2697</v>
      </c>
      <c r="AH21" s="565">
        <v>2017003190068</v>
      </c>
      <c r="AI21" s="128">
        <v>42</v>
      </c>
      <c r="AJ21" s="128"/>
      <c r="AK21" s="128">
        <v>1342650</v>
      </c>
      <c r="AL21" s="566">
        <v>1959</v>
      </c>
      <c r="AM21" s="128" t="s">
        <v>2698</v>
      </c>
      <c r="AN21" s="245" t="s">
        <v>536</v>
      </c>
      <c r="AO21" s="245" t="s">
        <v>536</v>
      </c>
      <c r="AP21" s="245" t="s">
        <v>536</v>
      </c>
      <c r="AQ21" s="245" t="s">
        <v>536</v>
      </c>
      <c r="AR21" s="245" t="s">
        <v>536</v>
      </c>
      <c r="AS21" s="245" t="s">
        <v>536</v>
      </c>
      <c r="AT21" s="245" t="s">
        <v>536</v>
      </c>
      <c r="AU21" s="245" t="s">
        <v>536</v>
      </c>
      <c r="AV21" s="245" t="s">
        <v>536</v>
      </c>
      <c r="AW21" s="245" t="s">
        <v>536</v>
      </c>
      <c r="AX21" s="245" t="s">
        <v>536</v>
      </c>
      <c r="AY21" s="245" t="s">
        <v>536</v>
      </c>
      <c r="AZ21" s="128" t="s">
        <v>2699</v>
      </c>
      <c r="BA21" s="548" t="s">
        <v>2700</v>
      </c>
      <c r="BB21" s="562"/>
      <c r="BC21" s="557"/>
      <c r="BD21" s="557"/>
      <c r="BE21" s="557"/>
      <c r="BF21" s="557"/>
      <c r="BG21" s="557"/>
      <c r="BH21" s="557"/>
      <c r="BI21" s="557"/>
      <c r="BJ21" s="557"/>
      <c r="BK21" s="557"/>
      <c r="BL21" s="557"/>
      <c r="BM21" s="557"/>
      <c r="BN21" s="557"/>
      <c r="BO21" s="557"/>
      <c r="BP21" s="557"/>
      <c r="BQ21" s="557"/>
      <c r="BR21" s="557"/>
      <c r="BS21" s="557"/>
      <c r="BT21" s="557"/>
      <c r="BU21" s="557"/>
      <c r="BV21" s="557"/>
      <c r="BW21" s="557"/>
      <c r="BX21" s="557"/>
      <c r="BY21" s="557"/>
    </row>
    <row r="22" spans="1:77" ht="75" x14ac:dyDescent="0.25">
      <c r="A22" s="111" t="s">
        <v>1276</v>
      </c>
      <c r="B22" s="214" t="s">
        <v>2661</v>
      </c>
      <c r="C22" s="944"/>
      <c r="D22" s="944"/>
      <c r="E22" s="944"/>
      <c r="F22" s="214" t="s">
        <v>2693</v>
      </c>
      <c r="G22" s="944"/>
      <c r="H22" s="108" t="s">
        <v>2701</v>
      </c>
      <c r="I22" s="108" t="s">
        <v>2702</v>
      </c>
      <c r="J22" s="136">
        <v>0</v>
      </c>
      <c r="K22" s="136" t="s">
        <v>1267</v>
      </c>
      <c r="L22" s="139">
        <v>1</v>
      </c>
      <c r="M22" s="136">
        <v>0</v>
      </c>
      <c r="N22" s="108" t="s">
        <v>2702</v>
      </c>
      <c r="O22" s="128"/>
      <c r="P22" s="560">
        <v>0</v>
      </c>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548" t="s">
        <v>2703</v>
      </c>
      <c r="BA22" s="245" t="s">
        <v>2704</v>
      </c>
      <c r="BB22" s="562"/>
      <c r="BC22" s="557"/>
      <c r="BD22" s="557"/>
      <c r="BE22" s="557"/>
      <c r="BF22" s="557"/>
      <c r="BG22" s="557"/>
      <c r="BH22" s="557"/>
      <c r="BI22" s="557"/>
      <c r="BJ22" s="557"/>
      <c r="BK22" s="557"/>
      <c r="BL22" s="557"/>
      <c r="BM22" s="557"/>
      <c r="BN22" s="557"/>
      <c r="BO22" s="557"/>
      <c r="BP22" s="557"/>
      <c r="BQ22" s="557"/>
      <c r="BR22" s="557"/>
      <c r="BS22" s="557"/>
      <c r="BT22" s="557"/>
      <c r="BU22" s="557"/>
      <c r="BV22" s="557"/>
      <c r="BW22" s="557"/>
      <c r="BX22" s="557"/>
      <c r="BY22" s="557"/>
    </row>
    <row r="23" spans="1:77" ht="75" x14ac:dyDescent="0.25">
      <c r="A23" s="111" t="s">
        <v>1276</v>
      </c>
      <c r="B23" s="214" t="s">
        <v>2661</v>
      </c>
      <c r="C23" s="944"/>
      <c r="D23" s="944"/>
      <c r="E23" s="944"/>
      <c r="F23" s="214" t="s">
        <v>2693</v>
      </c>
      <c r="G23" s="944"/>
      <c r="H23" s="108" t="s">
        <v>2705</v>
      </c>
      <c r="I23" s="108" t="s">
        <v>2706</v>
      </c>
      <c r="J23" s="136">
        <v>0</v>
      </c>
      <c r="K23" s="136" t="s">
        <v>1267</v>
      </c>
      <c r="L23" s="139">
        <v>10</v>
      </c>
      <c r="M23" s="136">
        <v>0</v>
      </c>
      <c r="N23" s="108" t="s">
        <v>2706</v>
      </c>
      <c r="O23" s="128"/>
      <c r="P23" s="563">
        <v>0</v>
      </c>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245" t="s">
        <v>2707</v>
      </c>
      <c r="BB23" s="562"/>
      <c r="BC23" s="557"/>
      <c r="BD23" s="557"/>
      <c r="BE23" s="557"/>
      <c r="BF23" s="557"/>
      <c r="BG23" s="557"/>
      <c r="BH23" s="557"/>
      <c r="BI23" s="557"/>
      <c r="BJ23" s="557"/>
      <c r="BK23" s="557"/>
      <c r="BL23" s="557"/>
      <c r="BM23" s="557"/>
      <c r="BN23" s="557"/>
      <c r="BO23" s="557"/>
      <c r="BP23" s="557"/>
      <c r="BQ23" s="557"/>
      <c r="BR23" s="557"/>
      <c r="BS23" s="557"/>
      <c r="BT23" s="557"/>
      <c r="BU23" s="557"/>
      <c r="BV23" s="557"/>
      <c r="BW23" s="557"/>
      <c r="BX23" s="557"/>
      <c r="BY23" s="557"/>
    </row>
    <row r="24" spans="1:77" ht="75" x14ac:dyDescent="0.25">
      <c r="A24" s="111" t="s">
        <v>1276</v>
      </c>
      <c r="B24" s="214" t="s">
        <v>2661</v>
      </c>
      <c r="C24" s="944"/>
      <c r="D24" s="944"/>
      <c r="E24" s="944"/>
      <c r="F24" s="214" t="s">
        <v>2693</v>
      </c>
      <c r="G24" s="944"/>
      <c r="H24" s="108" t="s">
        <v>2708</v>
      </c>
      <c r="I24" s="108" t="s">
        <v>2709</v>
      </c>
      <c r="J24" s="136">
        <v>67</v>
      </c>
      <c r="K24" s="136" t="s">
        <v>527</v>
      </c>
      <c r="L24" s="139">
        <v>132</v>
      </c>
      <c r="M24" s="136">
        <v>0</v>
      </c>
      <c r="N24" s="108" t="s">
        <v>2709</v>
      </c>
      <c r="O24" s="564">
        <v>433178</v>
      </c>
      <c r="P24" s="563">
        <v>0</v>
      </c>
      <c r="Q24" s="245" t="s">
        <v>554</v>
      </c>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245"/>
      <c r="BB24" s="562"/>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row>
    <row r="25" spans="1:77" ht="135" x14ac:dyDescent="0.25">
      <c r="A25" s="111" t="s">
        <v>1276</v>
      </c>
      <c r="B25" s="214" t="s">
        <v>2661</v>
      </c>
      <c r="C25" s="944"/>
      <c r="D25" s="944"/>
      <c r="E25" s="944"/>
      <c r="F25" s="214" t="s">
        <v>2693</v>
      </c>
      <c r="G25" s="944"/>
      <c r="H25" s="108" t="s">
        <v>2710</v>
      </c>
      <c r="I25" s="108" t="s">
        <v>2711</v>
      </c>
      <c r="J25" s="136">
        <v>0</v>
      </c>
      <c r="K25" s="136" t="s">
        <v>527</v>
      </c>
      <c r="L25" s="139">
        <v>1</v>
      </c>
      <c r="M25" s="136">
        <v>1</v>
      </c>
      <c r="N25" s="108" t="s">
        <v>2711</v>
      </c>
      <c r="O25" s="245">
        <v>912012</v>
      </c>
      <c r="P25" s="560">
        <v>800000</v>
      </c>
      <c r="Q25" s="245" t="s">
        <v>536</v>
      </c>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245" t="s">
        <v>2712</v>
      </c>
      <c r="BA25" s="548" t="s">
        <v>2713</v>
      </c>
      <c r="BB25" s="562"/>
      <c r="BC25" s="557"/>
      <c r="BD25" s="557"/>
      <c r="BE25" s="557"/>
      <c r="BF25" s="557"/>
      <c r="BG25" s="557"/>
      <c r="BH25" s="557"/>
      <c r="BI25" s="557"/>
      <c r="BJ25" s="557"/>
      <c r="BK25" s="557"/>
      <c r="BL25" s="557"/>
      <c r="BM25" s="557"/>
      <c r="BN25" s="557"/>
      <c r="BO25" s="557"/>
      <c r="BP25" s="557"/>
      <c r="BQ25" s="557"/>
      <c r="BR25" s="557"/>
      <c r="BS25" s="557"/>
      <c r="BT25" s="557"/>
      <c r="BU25" s="557"/>
      <c r="BV25" s="557"/>
      <c r="BW25" s="557"/>
      <c r="BX25" s="557"/>
      <c r="BY25" s="557"/>
    </row>
    <row r="26" spans="1:77" ht="165" customHeight="1" x14ac:dyDescent="0.25">
      <c r="A26" s="111" t="s">
        <v>1276</v>
      </c>
      <c r="B26" s="214" t="s">
        <v>2661</v>
      </c>
      <c r="C26" s="944"/>
      <c r="D26" s="944"/>
      <c r="E26" s="944"/>
      <c r="F26" s="214" t="s">
        <v>2693</v>
      </c>
      <c r="G26" s="944"/>
      <c r="H26" s="108" t="s">
        <v>2714</v>
      </c>
      <c r="I26" s="108" t="s">
        <v>2715</v>
      </c>
      <c r="J26" s="136">
        <v>451</v>
      </c>
      <c r="K26" s="136" t="s">
        <v>526</v>
      </c>
      <c r="L26" s="476">
        <v>0.5</v>
      </c>
      <c r="M26" s="443">
        <v>0.1</v>
      </c>
      <c r="N26" s="108" t="s">
        <v>2715</v>
      </c>
      <c r="O26" s="567">
        <v>130000</v>
      </c>
      <c r="P26" s="560">
        <v>130000</v>
      </c>
      <c r="Q26" s="245" t="s">
        <v>536</v>
      </c>
      <c r="R26" s="128"/>
      <c r="S26" s="128"/>
      <c r="T26" s="128"/>
      <c r="U26" s="128"/>
      <c r="V26" s="128"/>
      <c r="W26" s="128"/>
      <c r="X26" s="128"/>
      <c r="Y26" s="128"/>
      <c r="Z26" s="128"/>
      <c r="AA26" s="128"/>
      <c r="AB26" s="128"/>
      <c r="AC26" s="128"/>
      <c r="AD26" s="128"/>
      <c r="AE26" s="128"/>
      <c r="AF26" s="128"/>
      <c r="AG26" s="128" t="s">
        <v>2716</v>
      </c>
      <c r="AH26" s="568">
        <v>2017003190299</v>
      </c>
      <c r="AI26" s="245">
        <v>42</v>
      </c>
      <c r="AJ26" s="128"/>
      <c r="AK26" s="128" t="s">
        <v>2717</v>
      </c>
      <c r="AL26" s="245">
        <v>130000</v>
      </c>
      <c r="AM26" s="128" t="s">
        <v>2714</v>
      </c>
      <c r="AN26" s="128"/>
      <c r="AO26" s="128"/>
      <c r="AP26" s="128"/>
      <c r="AQ26" s="128"/>
      <c r="AR26" s="128"/>
      <c r="AS26" s="128"/>
      <c r="AT26" s="128"/>
      <c r="AU26" s="128"/>
      <c r="AV26" s="128"/>
      <c r="AW26" s="128"/>
      <c r="AX26" s="128"/>
      <c r="AY26" s="128"/>
      <c r="AZ26" s="128" t="s">
        <v>2718</v>
      </c>
      <c r="BA26" s="548" t="s">
        <v>2719</v>
      </c>
      <c r="BB26" s="562"/>
      <c r="BC26" s="557"/>
      <c r="BD26" s="557"/>
      <c r="BE26" s="557"/>
      <c r="BF26" s="557"/>
      <c r="BG26" s="557"/>
      <c r="BH26" s="557"/>
      <c r="BI26" s="557"/>
      <c r="BJ26" s="557"/>
      <c r="BK26" s="557"/>
      <c r="BL26" s="557"/>
      <c r="BM26" s="557"/>
      <c r="BN26" s="557"/>
      <c r="BO26" s="557"/>
      <c r="BP26" s="557"/>
      <c r="BQ26" s="557"/>
      <c r="BR26" s="557"/>
      <c r="BS26" s="557"/>
      <c r="BT26" s="557"/>
      <c r="BU26" s="557"/>
      <c r="BV26" s="557"/>
      <c r="BW26" s="557"/>
      <c r="BX26" s="557"/>
      <c r="BY26" s="557"/>
    </row>
    <row r="27" spans="1:77" ht="105" x14ac:dyDescent="0.25">
      <c r="A27" s="111" t="s">
        <v>1276</v>
      </c>
      <c r="B27" s="214" t="s">
        <v>2661</v>
      </c>
      <c r="C27" s="944"/>
      <c r="D27" s="944"/>
      <c r="E27" s="944"/>
      <c r="F27" s="214" t="s">
        <v>2693</v>
      </c>
      <c r="G27" s="944"/>
      <c r="H27" s="108" t="s">
        <v>2720</v>
      </c>
      <c r="I27" s="108" t="s">
        <v>2721</v>
      </c>
      <c r="J27" s="136">
        <v>0</v>
      </c>
      <c r="K27" s="136" t="s">
        <v>527</v>
      </c>
      <c r="L27" s="139">
        <v>1</v>
      </c>
      <c r="M27" s="136">
        <v>1</v>
      </c>
      <c r="N27" s="108" t="s">
        <v>2721</v>
      </c>
      <c r="O27" s="245">
        <v>1</v>
      </c>
      <c r="P27" s="560">
        <v>4870000</v>
      </c>
      <c r="Q27" s="245" t="s">
        <v>536</v>
      </c>
      <c r="R27" s="128"/>
      <c r="S27" s="128"/>
      <c r="T27" s="128"/>
      <c r="U27" s="128"/>
      <c r="V27" s="128"/>
      <c r="W27" s="128"/>
      <c r="X27" s="128"/>
      <c r="Y27" s="128"/>
      <c r="Z27" s="128"/>
      <c r="AA27" s="128"/>
      <c r="AB27" s="128"/>
      <c r="AC27" s="128"/>
      <c r="AD27" s="128"/>
      <c r="AE27" s="128"/>
      <c r="AF27" s="128"/>
      <c r="AG27" s="128"/>
      <c r="AH27" s="128"/>
      <c r="AI27" s="128"/>
      <c r="AJ27" s="128"/>
      <c r="AK27" s="128"/>
      <c r="AL27" s="128"/>
      <c r="AM27" s="128" t="s">
        <v>2722</v>
      </c>
      <c r="AN27" s="245" t="s">
        <v>536</v>
      </c>
      <c r="AO27" s="245" t="s">
        <v>536</v>
      </c>
      <c r="AP27" s="245" t="s">
        <v>536</v>
      </c>
      <c r="AQ27" s="245" t="s">
        <v>536</v>
      </c>
      <c r="AR27" s="245" t="s">
        <v>536</v>
      </c>
      <c r="AS27" s="245" t="s">
        <v>536</v>
      </c>
      <c r="AT27" s="245" t="s">
        <v>536</v>
      </c>
      <c r="AU27" s="245" t="s">
        <v>536</v>
      </c>
      <c r="AV27" s="245" t="s">
        <v>536</v>
      </c>
      <c r="AW27" s="245" t="s">
        <v>536</v>
      </c>
      <c r="AX27" s="245" t="s">
        <v>536</v>
      </c>
      <c r="AY27" s="245" t="s">
        <v>536</v>
      </c>
      <c r="AZ27" s="128" t="s">
        <v>2723</v>
      </c>
      <c r="BA27" s="548" t="s">
        <v>2724</v>
      </c>
      <c r="BB27" s="562"/>
      <c r="BC27" s="557"/>
      <c r="BD27" s="557"/>
      <c r="BE27" s="557"/>
      <c r="BF27" s="557"/>
      <c r="BG27" s="557"/>
      <c r="BH27" s="557"/>
      <c r="BI27" s="557"/>
      <c r="BJ27" s="557"/>
      <c r="BK27" s="557"/>
      <c r="BL27" s="557"/>
      <c r="BM27" s="557"/>
      <c r="BN27" s="557"/>
      <c r="BO27" s="557"/>
      <c r="BP27" s="557"/>
      <c r="BQ27" s="557"/>
      <c r="BR27" s="557"/>
      <c r="BS27" s="557"/>
      <c r="BT27" s="557"/>
      <c r="BU27" s="557"/>
      <c r="BV27" s="557"/>
      <c r="BW27" s="557"/>
      <c r="BX27" s="557"/>
      <c r="BY27" s="557"/>
    </row>
    <row r="28" spans="1:77" ht="120" x14ac:dyDescent="0.25">
      <c r="A28" s="111" t="s">
        <v>1276</v>
      </c>
      <c r="B28" s="214" t="s">
        <v>2661</v>
      </c>
      <c r="C28" s="944" t="s">
        <v>2725</v>
      </c>
      <c r="D28" s="944" t="s">
        <v>2726</v>
      </c>
      <c r="E28" s="944">
        <v>0</v>
      </c>
      <c r="F28" s="214" t="s">
        <v>2727</v>
      </c>
      <c r="G28" s="944" t="s">
        <v>2728</v>
      </c>
      <c r="H28" s="108" t="s">
        <v>2729</v>
      </c>
      <c r="I28" s="108" t="s">
        <v>2730</v>
      </c>
      <c r="J28" s="136">
        <v>13</v>
      </c>
      <c r="K28" s="136" t="s">
        <v>526</v>
      </c>
      <c r="L28" s="139">
        <v>150</v>
      </c>
      <c r="M28" s="136">
        <v>44</v>
      </c>
      <c r="N28" s="108" t="s">
        <v>2730</v>
      </c>
      <c r="O28" s="567">
        <v>207543</v>
      </c>
      <c r="P28" s="560">
        <v>286000</v>
      </c>
      <c r="Q28" s="245" t="s">
        <v>536</v>
      </c>
      <c r="R28" s="128"/>
      <c r="S28" s="128"/>
      <c r="T28" s="128"/>
      <c r="U28" s="128"/>
      <c r="V28" s="128"/>
      <c r="W28" s="128"/>
      <c r="X28" s="128"/>
      <c r="Y28" s="128"/>
      <c r="Z28" s="128"/>
      <c r="AA28" s="128"/>
      <c r="AB28" s="128"/>
      <c r="AC28" s="128"/>
      <c r="AD28" s="128"/>
      <c r="AE28" s="128"/>
      <c r="AF28" s="128"/>
      <c r="AG28" s="128" t="s">
        <v>2731</v>
      </c>
      <c r="AH28" s="569" t="s">
        <v>2732</v>
      </c>
      <c r="AI28" s="128">
        <v>42</v>
      </c>
      <c r="AJ28" s="128"/>
      <c r="AK28" s="128">
        <f>+AK27</f>
        <v>0</v>
      </c>
      <c r="AL28" s="566">
        <v>772985</v>
      </c>
      <c r="AM28" s="128" t="s">
        <v>2733</v>
      </c>
      <c r="AN28" s="245" t="s">
        <v>536</v>
      </c>
      <c r="AO28" s="245" t="s">
        <v>536</v>
      </c>
      <c r="AP28" s="245" t="s">
        <v>536</v>
      </c>
      <c r="AQ28" s="245" t="s">
        <v>536</v>
      </c>
      <c r="AR28" s="245" t="s">
        <v>536</v>
      </c>
      <c r="AS28" s="245" t="s">
        <v>536</v>
      </c>
      <c r="AT28" s="245" t="s">
        <v>536</v>
      </c>
      <c r="AU28" s="245" t="s">
        <v>536</v>
      </c>
      <c r="AV28" s="245" t="s">
        <v>536</v>
      </c>
      <c r="AW28" s="245" t="s">
        <v>536</v>
      </c>
      <c r="AX28" s="245" t="s">
        <v>536</v>
      </c>
      <c r="AY28" s="245" t="s">
        <v>536</v>
      </c>
      <c r="AZ28" s="128" t="s">
        <v>2734</v>
      </c>
      <c r="BA28" s="128"/>
      <c r="BB28" s="562"/>
      <c r="BC28" s="557"/>
      <c r="BD28" s="557"/>
      <c r="BE28" s="557"/>
      <c r="BF28" s="557"/>
      <c r="BG28" s="557"/>
      <c r="BH28" s="557"/>
      <c r="BI28" s="557"/>
      <c r="BJ28" s="557"/>
      <c r="BK28" s="557"/>
      <c r="BL28" s="557"/>
      <c r="BM28" s="557"/>
      <c r="BN28" s="557"/>
      <c r="BO28" s="557"/>
      <c r="BP28" s="557"/>
      <c r="BQ28" s="557"/>
      <c r="BR28" s="557"/>
      <c r="BS28" s="557"/>
      <c r="BT28" s="557"/>
      <c r="BU28" s="557"/>
      <c r="BV28" s="557"/>
      <c r="BW28" s="557"/>
      <c r="BX28" s="557"/>
      <c r="BY28" s="557"/>
    </row>
    <row r="29" spans="1:77" ht="75" x14ac:dyDescent="0.25">
      <c r="A29" s="111" t="s">
        <v>1276</v>
      </c>
      <c r="B29" s="214" t="s">
        <v>2661</v>
      </c>
      <c r="C29" s="944"/>
      <c r="D29" s="944"/>
      <c r="E29" s="944"/>
      <c r="F29" s="214" t="s">
        <v>2727</v>
      </c>
      <c r="G29" s="944"/>
      <c r="H29" s="108" t="s">
        <v>2735</v>
      </c>
      <c r="I29" s="108" t="s">
        <v>2736</v>
      </c>
      <c r="J29" s="136">
        <v>13</v>
      </c>
      <c r="K29" s="136" t="s">
        <v>526</v>
      </c>
      <c r="L29" s="139">
        <v>150</v>
      </c>
      <c r="M29" s="136">
        <v>0</v>
      </c>
      <c r="N29" s="108" t="s">
        <v>2736</v>
      </c>
      <c r="O29" s="128"/>
      <c r="P29" s="560">
        <v>0</v>
      </c>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245" t="s">
        <v>2737</v>
      </c>
      <c r="BB29" s="562"/>
      <c r="BC29" s="557"/>
      <c r="BD29" s="557"/>
      <c r="BE29" s="557"/>
      <c r="BF29" s="557"/>
      <c r="BG29" s="557"/>
      <c r="BH29" s="557"/>
      <c r="BI29" s="557"/>
      <c r="BJ29" s="557"/>
      <c r="BK29" s="557"/>
      <c r="BL29" s="557"/>
      <c r="BM29" s="557"/>
      <c r="BN29" s="557"/>
      <c r="BO29" s="557"/>
      <c r="BP29" s="557"/>
      <c r="BQ29" s="557"/>
      <c r="BR29" s="557"/>
      <c r="BS29" s="557"/>
      <c r="BT29" s="557"/>
      <c r="BU29" s="557"/>
      <c r="BV29" s="557"/>
      <c r="BW29" s="557"/>
      <c r="BX29" s="557"/>
      <c r="BY29" s="557"/>
    </row>
    <row r="30" spans="1:77" ht="75" x14ac:dyDescent="0.25">
      <c r="A30" s="111" t="s">
        <v>1276</v>
      </c>
      <c r="B30" s="214" t="s">
        <v>2661</v>
      </c>
      <c r="C30" s="936" t="s">
        <v>2738</v>
      </c>
      <c r="D30" s="944" t="s">
        <v>2739</v>
      </c>
      <c r="E30" s="944">
        <v>0.06</v>
      </c>
      <c r="F30" s="214" t="s">
        <v>2740</v>
      </c>
      <c r="G30" s="936" t="s">
        <v>2741</v>
      </c>
      <c r="H30" s="108" t="s">
        <v>2742</v>
      </c>
      <c r="I30" s="108" t="s">
        <v>2743</v>
      </c>
      <c r="J30" s="136">
        <v>0</v>
      </c>
      <c r="K30" s="136" t="s">
        <v>526</v>
      </c>
      <c r="L30" s="476">
        <v>0.33</v>
      </c>
      <c r="M30" s="136">
        <v>0</v>
      </c>
      <c r="N30" s="108" t="s">
        <v>2743</v>
      </c>
      <c r="O30" s="128"/>
      <c r="P30" s="563">
        <v>0</v>
      </c>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548" t="s">
        <v>2744</v>
      </c>
      <c r="BA30" s="245" t="s">
        <v>2745</v>
      </c>
      <c r="BB30" s="562"/>
      <c r="BC30" s="557"/>
      <c r="BD30" s="557"/>
      <c r="BE30" s="557"/>
      <c r="BF30" s="557"/>
      <c r="BG30" s="557"/>
      <c r="BH30" s="557"/>
      <c r="BI30" s="557"/>
      <c r="BJ30" s="557"/>
      <c r="BK30" s="557"/>
      <c r="BL30" s="557"/>
      <c r="BM30" s="557"/>
      <c r="BN30" s="557"/>
      <c r="BO30" s="557"/>
      <c r="BP30" s="557"/>
      <c r="BQ30" s="557"/>
      <c r="BR30" s="557"/>
      <c r="BS30" s="557"/>
      <c r="BT30" s="557"/>
      <c r="BU30" s="557"/>
      <c r="BV30" s="557"/>
      <c r="BW30" s="557"/>
      <c r="BX30" s="557"/>
      <c r="BY30" s="557"/>
    </row>
    <row r="31" spans="1:77" ht="225" x14ac:dyDescent="0.25">
      <c r="A31" s="111" t="s">
        <v>1276</v>
      </c>
      <c r="B31" s="214" t="s">
        <v>2661</v>
      </c>
      <c r="C31" s="937"/>
      <c r="D31" s="944"/>
      <c r="E31" s="944"/>
      <c r="F31" s="214" t="s">
        <v>2740</v>
      </c>
      <c r="G31" s="937"/>
      <c r="H31" s="108" t="s">
        <v>2746</v>
      </c>
      <c r="I31" s="108" t="s">
        <v>2747</v>
      </c>
      <c r="J31" s="136">
        <v>0</v>
      </c>
      <c r="K31" s="136" t="s">
        <v>526</v>
      </c>
      <c r="L31" s="476">
        <v>0.33</v>
      </c>
      <c r="M31" s="136">
        <v>0</v>
      </c>
      <c r="N31" s="108" t="s">
        <v>2747</v>
      </c>
      <c r="O31" s="559">
        <v>0.23</v>
      </c>
      <c r="P31" s="563">
        <v>0</v>
      </c>
      <c r="Q31" s="245" t="s">
        <v>536</v>
      </c>
      <c r="R31" s="128"/>
      <c r="S31" s="128"/>
      <c r="T31" s="128"/>
      <c r="U31" s="128"/>
      <c r="V31" s="128"/>
      <c r="W31" s="128"/>
      <c r="X31" s="128"/>
      <c r="Y31" s="128"/>
      <c r="Z31" s="128"/>
      <c r="AA31" s="128"/>
      <c r="AB31" s="128"/>
      <c r="AC31" s="128"/>
      <c r="AD31" s="128"/>
      <c r="AE31" s="128"/>
      <c r="AF31" s="128"/>
      <c r="AG31" s="128" t="s">
        <v>2748</v>
      </c>
      <c r="AH31" s="128" t="s">
        <v>2749</v>
      </c>
      <c r="AI31" s="245" t="s">
        <v>2750</v>
      </c>
      <c r="AJ31" s="128"/>
      <c r="AK31" s="548" t="s">
        <v>2717</v>
      </c>
      <c r="AL31" s="570">
        <v>160</v>
      </c>
      <c r="AM31" s="128"/>
      <c r="AN31" s="128"/>
      <c r="AO31" s="128"/>
      <c r="AP31" s="128"/>
      <c r="AQ31" s="128"/>
      <c r="AR31" s="128"/>
      <c r="AS31" s="128"/>
      <c r="AT31" s="128"/>
      <c r="AU31" s="128"/>
      <c r="AV31" s="128"/>
      <c r="AW31" s="128"/>
      <c r="AX31" s="128"/>
      <c r="AY31" s="128"/>
      <c r="AZ31" s="548" t="s">
        <v>2744</v>
      </c>
      <c r="BA31" s="548" t="s">
        <v>2751</v>
      </c>
      <c r="BB31" s="562"/>
      <c r="BC31" s="557"/>
      <c r="BD31" s="557"/>
      <c r="BE31" s="557"/>
      <c r="BF31" s="557"/>
      <c r="BG31" s="557"/>
      <c r="BH31" s="557"/>
      <c r="BI31" s="557"/>
      <c r="BJ31" s="557"/>
      <c r="BK31" s="557"/>
      <c r="BL31" s="557"/>
      <c r="BM31" s="557"/>
      <c r="BN31" s="557"/>
      <c r="BO31" s="557"/>
      <c r="BP31" s="557"/>
      <c r="BQ31" s="557"/>
      <c r="BR31" s="557"/>
      <c r="BS31" s="557"/>
      <c r="BT31" s="557"/>
      <c r="BU31" s="557"/>
      <c r="BV31" s="557"/>
      <c r="BW31" s="557"/>
      <c r="BX31" s="557"/>
      <c r="BY31" s="557"/>
    </row>
    <row r="32" spans="1:77" ht="255" x14ac:dyDescent="0.25">
      <c r="A32" s="111" t="s">
        <v>1276</v>
      </c>
      <c r="B32" s="214" t="s">
        <v>2661</v>
      </c>
      <c r="C32" s="136" t="s">
        <v>2752</v>
      </c>
      <c r="D32" s="108" t="s">
        <v>2753</v>
      </c>
      <c r="E32" s="108">
        <v>0</v>
      </c>
      <c r="F32" s="136" t="s">
        <v>2754</v>
      </c>
      <c r="G32" s="108" t="s">
        <v>2755</v>
      </c>
      <c r="H32" s="108" t="s">
        <v>2756</v>
      </c>
      <c r="I32" s="108" t="s">
        <v>2757</v>
      </c>
      <c r="J32" s="136">
        <v>0</v>
      </c>
      <c r="K32" s="136" t="s">
        <v>526</v>
      </c>
      <c r="L32" s="136">
        <v>1</v>
      </c>
      <c r="M32" s="571">
        <v>0</v>
      </c>
      <c r="N32" s="108" t="s">
        <v>2757</v>
      </c>
      <c r="O32" s="245">
        <v>0</v>
      </c>
      <c r="P32" s="563">
        <v>0</v>
      </c>
      <c r="Q32" s="245" t="s">
        <v>536</v>
      </c>
      <c r="R32" s="128"/>
      <c r="S32" s="128"/>
      <c r="T32" s="128"/>
      <c r="U32" s="128"/>
      <c r="V32" s="128"/>
      <c r="W32" s="128"/>
      <c r="X32" s="128"/>
      <c r="Y32" s="128"/>
      <c r="Z32" s="128"/>
      <c r="AA32" s="128"/>
      <c r="AB32" s="128"/>
      <c r="AC32" s="128"/>
      <c r="AD32" s="128"/>
      <c r="AE32" s="128"/>
      <c r="AF32" s="128"/>
      <c r="AG32" s="548" t="s">
        <v>2758</v>
      </c>
      <c r="AH32" s="568">
        <v>2018003190071</v>
      </c>
      <c r="AI32" s="245" t="s">
        <v>2750</v>
      </c>
      <c r="AJ32" s="128"/>
      <c r="AK32" s="548" t="s">
        <v>2717</v>
      </c>
      <c r="AL32" s="245" t="s">
        <v>2759</v>
      </c>
      <c r="AM32" s="128" t="s">
        <v>2760</v>
      </c>
      <c r="AN32" s="245" t="s">
        <v>536</v>
      </c>
      <c r="AO32" s="245" t="s">
        <v>536</v>
      </c>
      <c r="AP32" s="245" t="s">
        <v>536</v>
      </c>
      <c r="AQ32" s="245" t="s">
        <v>536</v>
      </c>
      <c r="AR32" s="245" t="s">
        <v>536</v>
      </c>
      <c r="AS32" s="245" t="s">
        <v>536</v>
      </c>
      <c r="AT32" s="245" t="s">
        <v>536</v>
      </c>
      <c r="AU32" s="245" t="s">
        <v>536</v>
      </c>
      <c r="AV32" s="245" t="s">
        <v>536</v>
      </c>
      <c r="AW32" s="245" t="s">
        <v>536</v>
      </c>
      <c r="AX32" s="245" t="s">
        <v>536</v>
      </c>
      <c r="AY32" s="245" t="s">
        <v>536</v>
      </c>
      <c r="AZ32" s="548" t="s">
        <v>2761</v>
      </c>
      <c r="BA32" s="548" t="s">
        <v>2762</v>
      </c>
      <c r="BB32" s="562"/>
      <c r="BC32" s="557"/>
      <c r="BD32" s="557"/>
      <c r="BE32" s="557"/>
      <c r="BF32" s="557"/>
      <c r="BG32" s="557"/>
      <c r="BH32" s="557"/>
      <c r="BI32" s="557"/>
      <c r="BJ32" s="557"/>
      <c r="BK32" s="557"/>
      <c r="BL32" s="557"/>
      <c r="BM32" s="557"/>
      <c r="BN32" s="557"/>
      <c r="BO32" s="557"/>
      <c r="BP32" s="557"/>
      <c r="BQ32" s="557"/>
      <c r="BR32" s="557"/>
      <c r="BS32" s="557"/>
      <c r="BT32" s="557"/>
      <c r="BU32" s="557"/>
      <c r="BV32" s="557"/>
      <c r="BW32" s="557"/>
      <c r="BX32" s="557"/>
      <c r="BY32" s="557"/>
    </row>
    <row r="33" spans="1:77" ht="165" x14ac:dyDescent="0.25">
      <c r="A33" s="111" t="s">
        <v>1276</v>
      </c>
      <c r="B33" s="214" t="s">
        <v>2661</v>
      </c>
      <c r="C33" s="944" t="s">
        <v>2763</v>
      </c>
      <c r="D33" s="944" t="s">
        <v>2764</v>
      </c>
      <c r="E33" s="944">
        <v>0</v>
      </c>
      <c r="F33" s="214" t="s">
        <v>2765</v>
      </c>
      <c r="G33" s="944" t="s">
        <v>2766</v>
      </c>
      <c r="H33" s="108" t="s">
        <v>2767</v>
      </c>
      <c r="I33" s="558" t="s">
        <v>2768</v>
      </c>
      <c r="J33" s="572" t="s">
        <v>2769</v>
      </c>
      <c r="K33" s="558" t="s">
        <v>526</v>
      </c>
      <c r="L33" s="573">
        <v>77.599999999999994</v>
      </c>
      <c r="M33" s="558">
        <v>2.6</v>
      </c>
      <c r="N33" s="558" t="s">
        <v>2768</v>
      </c>
      <c r="O33" s="245">
        <v>80</v>
      </c>
      <c r="P33" s="560">
        <v>60000</v>
      </c>
      <c r="Q33" s="245" t="s">
        <v>536</v>
      </c>
      <c r="R33" s="128"/>
      <c r="S33" s="128"/>
      <c r="T33" s="128"/>
      <c r="U33" s="128"/>
      <c r="V33" s="128"/>
      <c r="W33" s="128"/>
      <c r="X33" s="128"/>
      <c r="Y33" s="128"/>
      <c r="Z33" s="128"/>
      <c r="AA33" s="128"/>
      <c r="AB33" s="128"/>
      <c r="AC33" s="128"/>
      <c r="AD33" s="245"/>
      <c r="AE33" s="128"/>
      <c r="AF33" s="128"/>
      <c r="AG33" s="128" t="s">
        <v>2758</v>
      </c>
      <c r="AH33" s="568">
        <v>2018003190071</v>
      </c>
      <c r="AI33" s="245" t="s">
        <v>2750</v>
      </c>
      <c r="AJ33" s="128"/>
      <c r="AK33" s="548" t="s">
        <v>2717</v>
      </c>
      <c r="AL33" s="245">
        <v>31.695</v>
      </c>
      <c r="AM33" s="128" t="s">
        <v>2770</v>
      </c>
      <c r="AN33" s="245" t="s">
        <v>536</v>
      </c>
      <c r="AO33" s="245" t="s">
        <v>536</v>
      </c>
      <c r="AP33" s="245" t="s">
        <v>536</v>
      </c>
      <c r="AQ33" s="245" t="s">
        <v>536</v>
      </c>
      <c r="AR33" s="245" t="s">
        <v>536</v>
      </c>
      <c r="AS33" s="245" t="s">
        <v>536</v>
      </c>
      <c r="AT33" s="245" t="s">
        <v>536</v>
      </c>
      <c r="AU33" s="245" t="s">
        <v>536</v>
      </c>
      <c r="AV33" s="245" t="s">
        <v>536</v>
      </c>
      <c r="AW33" s="245" t="s">
        <v>536</v>
      </c>
      <c r="AX33" s="245" t="s">
        <v>536</v>
      </c>
      <c r="AY33" s="245" t="s">
        <v>536</v>
      </c>
      <c r="AZ33" s="548" t="s">
        <v>2771</v>
      </c>
      <c r="BA33" s="548" t="s">
        <v>2772</v>
      </c>
      <c r="BB33" s="562"/>
      <c r="BC33" s="557"/>
      <c r="BD33" s="557"/>
      <c r="BE33" s="557"/>
      <c r="BF33" s="557"/>
      <c r="BG33" s="557"/>
      <c r="BH33" s="557"/>
      <c r="BI33" s="557"/>
      <c r="BJ33" s="557"/>
      <c r="BK33" s="557"/>
      <c r="BL33" s="557"/>
      <c r="BM33" s="557"/>
      <c r="BN33" s="557"/>
      <c r="BO33" s="557"/>
      <c r="BP33" s="557"/>
      <c r="BQ33" s="557"/>
      <c r="BR33" s="557"/>
      <c r="BS33" s="557"/>
      <c r="BT33" s="557"/>
      <c r="BU33" s="557"/>
      <c r="BV33" s="557"/>
      <c r="BW33" s="557"/>
      <c r="BX33" s="557"/>
      <c r="BY33" s="557"/>
    </row>
    <row r="34" spans="1:77" ht="165" x14ac:dyDescent="0.25">
      <c r="A34" s="111" t="s">
        <v>1276</v>
      </c>
      <c r="B34" s="214" t="s">
        <v>2661</v>
      </c>
      <c r="C34" s="944"/>
      <c r="D34" s="944"/>
      <c r="E34" s="944"/>
      <c r="F34" s="214" t="s">
        <v>2765</v>
      </c>
      <c r="G34" s="944"/>
      <c r="H34" s="108" t="s">
        <v>2773</v>
      </c>
      <c r="I34" s="136" t="s">
        <v>2774</v>
      </c>
      <c r="J34" s="572" t="s">
        <v>2775</v>
      </c>
      <c r="K34" s="558" t="s">
        <v>526</v>
      </c>
      <c r="L34" s="573">
        <v>77</v>
      </c>
      <c r="M34" s="558">
        <v>1</v>
      </c>
      <c r="N34" s="136" t="s">
        <v>2774</v>
      </c>
      <c r="O34" s="245">
        <v>80</v>
      </c>
      <c r="P34" s="560">
        <v>60000</v>
      </c>
      <c r="Q34" s="245" t="s">
        <v>536</v>
      </c>
      <c r="R34" s="128"/>
      <c r="S34" s="128"/>
      <c r="T34" s="128"/>
      <c r="U34" s="128"/>
      <c r="V34" s="128"/>
      <c r="W34" s="128"/>
      <c r="X34" s="128"/>
      <c r="Y34" s="128"/>
      <c r="Z34" s="128"/>
      <c r="AA34" s="128"/>
      <c r="AB34" s="128"/>
      <c r="AC34" s="128"/>
      <c r="AD34" s="245"/>
      <c r="AE34" s="128"/>
      <c r="AF34" s="128"/>
      <c r="AG34" s="128" t="s">
        <v>2758</v>
      </c>
      <c r="AH34" s="568">
        <v>2018003190071</v>
      </c>
      <c r="AI34" s="245" t="s">
        <v>2750</v>
      </c>
      <c r="AJ34" s="128"/>
      <c r="AK34" s="548" t="s">
        <v>2717</v>
      </c>
      <c r="AL34" s="245">
        <v>31.695</v>
      </c>
      <c r="AM34" s="128" t="s">
        <v>2770</v>
      </c>
      <c r="AN34" s="245" t="s">
        <v>536</v>
      </c>
      <c r="AO34" s="245" t="s">
        <v>536</v>
      </c>
      <c r="AP34" s="245" t="s">
        <v>536</v>
      </c>
      <c r="AQ34" s="245" t="s">
        <v>536</v>
      </c>
      <c r="AR34" s="245" t="s">
        <v>536</v>
      </c>
      <c r="AS34" s="245" t="s">
        <v>536</v>
      </c>
      <c r="AT34" s="245" t="s">
        <v>536</v>
      </c>
      <c r="AU34" s="245" t="s">
        <v>536</v>
      </c>
      <c r="AV34" s="245" t="s">
        <v>536</v>
      </c>
      <c r="AW34" s="245" t="s">
        <v>536</v>
      </c>
      <c r="AX34" s="245" t="s">
        <v>536</v>
      </c>
      <c r="AY34" s="245" t="s">
        <v>536</v>
      </c>
      <c r="AZ34" s="548" t="s">
        <v>2771</v>
      </c>
      <c r="BA34" s="548" t="s">
        <v>2776</v>
      </c>
      <c r="BB34" s="562"/>
      <c r="BC34" s="557"/>
      <c r="BD34" s="557"/>
      <c r="BE34" s="557"/>
      <c r="BF34" s="557"/>
      <c r="BG34" s="557"/>
      <c r="BH34" s="557"/>
      <c r="BI34" s="557"/>
      <c r="BJ34" s="557"/>
      <c r="BK34" s="557"/>
      <c r="BL34" s="557"/>
      <c r="BM34" s="557"/>
      <c r="BN34" s="557"/>
      <c r="BO34" s="557"/>
      <c r="BP34" s="557"/>
      <c r="BQ34" s="557"/>
      <c r="BR34" s="557"/>
      <c r="BS34" s="557"/>
      <c r="BT34" s="557"/>
      <c r="BU34" s="557"/>
      <c r="BV34" s="557"/>
      <c r="BW34" s="557"/>
      <c r="BX34" s="557"/>
      <c r="BY34" s="557"/>
    </row>
    <row r="35" spans="1:77" ht="165" x14ac:dyDescent="0.25">
      <c r="A35" s="111" t="s">
        <v>1276</v>
      </c>
      <c r="B35" s="214" t="s">
        <v>2661</v>
      </c>
      <c r="C35" s="944"/>
      <c r="D35" s="944"/>
      <c r="E35" s="944"/>
      <c r="F35" s="214" t="s">
        <v>2765</v>
      </c>
      <c r="G35" s="944"/>
      <c r="H35" s="108" t="s">
        <v>2777</v>
      </c>
      <c r="I35" s="136" t="s">
        <v>2778</v>
      </c>
      <c r="J35" s="572" t="s">
        <v>2779</v>
      </c>
      <c r="K35" s="558" t="s">
        <v>526</v>
      </c>
      <c r="L35" s="573">
        <v>90</v>
      </c>
      <c r="M35" s="558">
        <v>6</v>
      </c>
      <c r="N35" s="136" t="s">
        <v>2778</v>
      </c>
      <c r="O35" s="245">
        <v>95</v>
      </c>
      <c r="P35" s="560">
        <v>60000</v>
      </c>
      <c r="Q35" s="245" t="s">
        <v>536</v>
      </c>
      <c r="R35" s="128"/>
      <c r="S35" s="128"/>
      <c r="T35" s="128"/>
      <c r="U35" s="128"/>
      <c r="V35" s="128"/>
      <c r="W35" s="128"/>
      <c r="X35" s="128"/>
      <c r="Y35" s="128"/>
      <c r="Z35" s="128"/>
      <c r="AA35" s="128"/>
      <c r="AB35" s="128"/>
      <c r="AC35" s="128"/>
      <c r="AD35" s="245"/>
      <c r="AE35" s="128"/>
      <c r="AF35" s="128"/>
      <c r="AG35" s="128" t="s">
        <v>2758</v>
      </c>
      <c r="AH35" s="568">
        <v>2018003190071</v>
      </c>
      <c r="AI35" s="245" t="s">
        <v>2750</v>
      </c>
      <c r="AJ35" s="128"/>
      <c r="AK35" s="548" t="s">
        <v>2717</v>
      </c>
      <c r="AL35" s="245">
        <v>31.695</v>
      </c>
      <c r="AM35" s="128" t="s">
        <v>2770</v>
      </c>
      <c r="AN35" s="245" t="s">
        <v>536</v>
      </c>
      <c r="AO35" s="245" t="s">
        <v>536</v>
      </c>
      <c r="AP35" s="245" t="s">
        <v>536</v>
      </c>
      <c r="AQ35" s="245" t="s">
        <v>536</v>
      </c>
      <c r="AR35" s="245" t="s">
        <v>536</v>
      </c>
      <c r="AS35" s="245" t="s">
        <v>536</v>
      </c>
      <c r="AT35" s="245" t="s">
        <v>536</v>
      </c>
      <c r="AU35" s="245" t="s">
        <v>536</v>
      </c>
      <c r="AV35" s="245" t="s">
        <v>536</v>
      </c>
      <c r="AW35" s="245" t="s">
        <v>536</v>
      </c>
      <c r="AX35" s="245" t="s">
        <v>536</v>
      </c>
      <c r="AY35" s="245" t="s">
        <v>536</v>
      </c>
      <c r="AZ35" s="548" t="s">
        <v>2771</v>
      </c>
      <c r="BA35" s="548" t="s">
        <v>2776</v>
      </c>
      <c r="BB35" s="562"/>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row>
    <row r="36" spans="1:77" ht="165" x14ac:dyDescent="0.25">
      <c r="A36" s="111" t="s">
        <v>1276</v>
      </c>
      <c r="B36" s="108" t="s">
        <v>2661</v>
      </c>
      <c r="C36" s="944"/>
      <c r="D36" s="944"/>
      <c r="E36" s="944"/>
      <c r="F36" s="108" t="s">
        <v>2765</v>
      </c>
      <c r="G36" s="944"/>
      <c r="H36" s="108" t="s">
        <v>2780</v>
      </c>
      <c r="I36" s="136" t="s">
        <v>2781</v>
      </c>
      <c r="J36" s="572" t="s">
        <v>2782</v>
      </c>
      <c r="K36" s="558" t="s">
        <v>526</v>
      </c>
      <c r="L36" s="572">
        <v>66</v>
      </c>
      <c r="M36" s="558">
        <v>1</v>
      </c>
      <c r="N36" s="136" t="s">
        <v>2781</v>
      </c>
      <c r="O36" s="245">
        <v>75</v>
      </c>
      <c r="P36" s="560">
        <v>60000</v>
      </c>
      <c r="Q36" s="245" t="s">
        <v>536</v>
      </c>
      <c r="R36" s="128"/>
      <c r="S36" s="128"/>
      <c r="T36" s="128"/>
      <c r="U36" s="128"/>
      <c r="V36" s="128"/>
      <c r="W36" s="128"/>
      <c r="X36" s="128"/>
      <c r="Y36" s="128"/>
      <c r="Z36" s="128"/>
      <c r="AA36" s="128"/>
      <c r="AB36" s="128"/>
      <c r="AC36" s="128"/>
      <c r="AD36" s="245"/>
      <c r="AE36" s="128"/>
      <c r="AF36" s="128"/>
      <c r="AG36" s="128" t="s">
        <v>2758</v>
      </c>
      <c r="AH36" s="568">
        <v>2018003190071</v>
      </c>
      <c r="AI36" s="245" t="s">
        <v>2750</v>
      </c>
      <c r="AJ36" s="128"/>
      <c r="AK36" s="548" t="s">
        <v>2717</v>
      </c>
      <c r="AL36" s="245">
        <v>31.695</v>
      </c>
      <c r="AM36" s="128" t="s">
        <v>2770</v>
      </c>
      <c r="AN36" s="245" t="s">
        <v>536</v>
      </c>
      <c r="AO36" s="245" t="s">
        <v>536</v>
      </c>
      <c r="AP36" s="245" t="s">
        <v>536</v>
      </c>
      <c r="AQ36" s="245" t="s">
        <v>536</v>
      </c>
      <c r="AR36" s="245" t="s">
        <v>536</v>
      </c>
      <c r="AS36" s="245" t="s">
        <v>536</v>
      </c>
      <c r="AT36" s="245" t="s">
        <v>536</v>
      </c>
      <c r="AU36" s="245" t="s">
        <v>536</v>
      </c>
      <c r="AV36" s="245" t="s">
        <v>536</v>
      </c>
      <c r="AW36" s="245" t="s">
        <v>536</v>
      </c>
      <c r="AX36" s="245" t="s">
        <v>536</v>
      </c>
      <c r="AY36" s="245" t="s">
        <v>536</v>
      </c>
      <c r="AZ36" s="548" t="s">
        <v>2771</v>
      </c>
      <c r="BA36" s="548" t="s">
        <v>2776</v>
      </c>
      <c r="BB36" s="562"/>
      <c r="BC36" s="557"/>
      <c r="BD36" s="557"/>
      <c r="BE36" s="557"/>
      <c r="BF36" s="557"/>
      <c r="BG36" s="557"/>
      <c r="BH36" s="557"/>
      <c r="BI36" s="557"/>
      <c r="BJ36" s="557"/>
      <c r="BK36" s="557"/>
      <c r="BL36" s="557"/>
      <c r="BM36" s="557"/>
      <c r="BN36" s="557"/>
      <c r="BO36" s="557"/>
      <c r="BP36" s="557"/>
      <c r="BQ36" s="557"/>
      <c r="BR36" s="557"/>
      <c r="BS36" s="557"/>
      <c r="BT36" s="557"/>
      <c r="BU36" s="557"/>
      <c r="BV36" s="557"/>
      <c r="BW36" s="557"/>
      <c r="BX36" s="557"/>
      <c r="BY36" s="557"/>
    </row>
    <row r="37" spans="1:77" x14ac:dyDescent="0.25">
      <c r="A37" s="562"/>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57"/>
      <c r="BY37" s="557"/>
    </row>
    <row r="38" spans="1:77" x14ac:dyDescent="0.25">
      <c r="A38" s="562"/>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562"/>
      <c r="BA38" s="562"/>
      <c r="BB38" s="562"/>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57"/>
      <c r="BY38" s="557"/>
    </row>
    <row r="39" spans="1:77" x14ac:dyDescent="0.25">
      <c r="A39" s="562"/>
      <c r="B39" s="562"/>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57"/>
      <c r="BD39" s="557"/>
      <c r="BE39" s="557"/>
      <c r="BF39" s="557"/>
      <c r="BG39" s="557"/>
      <c r="BH39" s="557"/>
      <c r="BI39" s="557"/>
      <c r="BJ39" s="557"/>
      <c r="BK39" s="557"/>
      <c r="BL39" s="557"/>
      <c r="BM39" s="557"/>
      <c r="BN39" s="557"/>
      <c r="BO39" s="557"/>
      <c r="BP39" s="557"/>
      <c r="BQ39" s="557"/>
      <c r="BR39" s="557"/>
      <c r="BS39" s="557"/>
      <c r="BT39" s="557"/>
      <c r="BU39" s="557"/>
      <c r="BV39" s="557"/>
      <c r="BW39" s="557"/>
      <c r="BX39" s="557"/>
      <c r="BY39" s="557"/>
    </row>
    <row r="40" spans="1:77" x14ac:dyDescent="0.25">
      <c r="A40" s="562"/>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c r="BA40" s="562"/>
      <c r="BB40" s="562"/>
      <c r="BC40" s="557"/>
      <c r="BD40" s="557"/>
      <c r="BE40" s="557"/>
      <c r="BF40" s="557"/>
      <c r="BG40" s="557"/>
      <c r="BH40" s="557"/>
      <c r="BI40" s="557"/>
      <c r="BJ40" s="557"/>
      <c r="BK40" s="557"/>
      <c r="BL40" s="557"/>
      <c r="BM40" s="557"/>
      <c r="BN40" s="557"/>
      <c r="BO40" s="557"/>
      <c r="BP40" s="557"/>
      <c r="BQ40" s="557"/>
      <c r="BR40" s="557"/>
      <c r="BS40" s="557"/>
      <c r="BT40" s="557"/>
      <c r="BU40" s="557"/>
      <c r="BV40" s="557"/>
      <c r="BW40" s="557"/>
      <c r="BX40" s="557"/>
      <c r="BY40" s="557"/>
    </row>
    <row r="41" spans="1:77" x14ac:dyDescent="0.25">
      <c r="A41" s="562"/>
      <c r="B41" s="562"/>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c r="AM41" s="562"/>
      <c r="AN41" s="562"/>
      <c r="AO41" s="562"/>
      <c r="AP41" s="562"/>
      <c r="AQ41" s="562"/>
      <c r="AR41" s="562"/>
      <c r="AS41" s="562"/>
      <c r="AT41" s="562"/>
      <c r="AU41" s="562"/>
      <c r="AV41" s="562"/>
      <c r="AW41" s="562"/>
      <c r="AX41" s="562"/>
      <c r="AY41" s="562"/>
      <c r="AZ41" s="562"/>
      <c r="BA41" s="562"/>
      <c r="BB41" s="562"/>
      <c r="BC41" s="557"/>
      <c r="BD41" s="557"/>
      <c r="BE41" s="557"/>
      <c r="BF41" s="557"/>
      <c r="BG41" s="557"/>
      <c r="BH41" s="557"/>
      <c r="BI41" s="557"/>
      <c r="BJ41" s="557"/>
      <c r="BK41" s="557"/>
      <c r="BL41" s="557"/>
      <c r="BM41" s="557"/>
      <c r="BN41" s="557"/>
      <c r="BO41" s="557"/>
      <c r="BP41" s="557"/>
      <c r="BQ41" s="557"/>
      <c r="BR41" s="557"/>
      <c r="BS41" s="557"/>
      <c r="BT41" s="557"/>
      <c r="BU41" s="557"/>
      <c r="BV41" s="557"/>
      <c r="BW41" s="557"/>
      <c r="BX41" s="557"/>
      <c r="BY41" s="557"/>
    </row>
    <row r="42" spans="1:77" x14ac:dyDescent="0.25">
      <c r="A42" s="562"/>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562"/>
      <c r="AV42" s="562"/>
      <c r="AW42" s="562"/>
      <c r="AX42" s="562"/>
      <c r="AY42" s="562"/>
      <c r="AZ42" s="562"/>
      <c r="BA42" s="562"/>
      <c r="BB42" s="562"/>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row>
    <row r="43" spans="1:77" x14ac:dyDescent="0.25">
      <c r="A43" s="562"/>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2"/>
      <c r="AS43" s="562"/>
      <c r="AT43" s="562"/>
      <c r="AU43" s="562"/>
      <c r="AV43" s="562"/>
      <c r="AW43" s="562"/>
      <c r="AX43" s="562"/>
      <c r="AY43" s="562"/>
      <c r="AZ43" s="562"/>
      <c r="BA43" s="562"/>
      <c r="BB43" s="562"/>
      <c r="BC43" s="557"/>
      <c r="BD43" s="557"/>
      <c r="BE43" s="557"/>
      <c r="BF43" s="557"/>
      <c r="BG43" s="557"/>
      <c r="BH43" s="557"/>
      <c r="BI43" s="557"/>
      <c r="BJ43" s="557"/>
      <c r="BK43" s="557"/>
      <c r="BL43" s="557"/>
      <c r="BM43" s="557"/>
      <c r="BN43" s="557"/>
      <c r="BO43" s="557"/>
      <c r="BP43" s="557"/>
      <c r="BQ43" s="557"/>
      <c r="BR43" s="557"/>
      <c r="BS43" s="557"/>
      <c r="BT43" s="557"/>
      <c r="BU43" s="557"/>
      <c r="BV43" s="557"/>
      <c r="BW43" s="557"/>
      <c r="BX43" s="557"/>
      <c r="BY43" s="557"/>
    </row>
    <row r="44" spans="1:77" x14ac:dyDescent="0.25">
      <c r="A44" s="557"/>
      <c r="B44" s="557"/>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7"/>
      <c r="AG44" s="557"/>
      <c r="AH44" s="557"/>
      <c r="AI44" s="557"/>
      <c r="AJ44" s="557"/>
      <c r="AK44" s="557"/>
      <c r="AL44" s="557"/>
      <c r="AM44" s="557"/>
      <c r="AN44" s="557"/>
      <c r="AO44" s="557"/>
      <c r="AP44" s="557"/>
      <c r="AQ44" s="557"/>
      <c r="AR44" s="557"/>
      <c r="AS44" s="557"/>
      <c r="AT44" s="557"/>
      <c r="AU44" s="557"/>
      <c r="AV44" s="557"/>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c r="BT44" s="557"/>
      <c r="BU44" s="557"/>
      <c r="BV44" s="557"/>
      <c r="BW44" s="557"/>
      <c r="BX44" s="557"/>
      <c r="BY44" s="557"/>
    </row>
    <row r="45" spans="1:77" x14ac:dyDescent="0.2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557"/>
      <c r="AM45" s="557"/>
      <c r="AN45" s="557"/>
      <c r="AO45" s="557"/>
      <c r="AP45" s="557"/>
      <c r="AQ45" s="557"/>
      <c r="AR45" s="557"/>
      <c r="AS45" s="557"/>
      <c r="AT45" s="557"/>
      <c r="AU45" s="557"/>
      <c r="AV45" s="557"/>
      <c r="AW45" s="557"/>
      <c r="AX45" s="557"/>
      <c r="AY45" s="557"/>
      <c r="AZ45" s="557"/>
      <c r="BA45" s="557"/>
      <c r="BB45" s="557"/>
      <c r="BC45" s="557"/>
      <c r="BD45" s="557"/>
      <c r="BE45" s="557"/>
      <c r="BF45" s="557"/>
      <c r="BG45" s="557"/>
      <c r="BH45" s="557"/>
      <c r="BI45" s="557"/>
      <c r="BJ45" s="557"/>
      <c r="BK45" s="557"/>
      <c r="BL45" s="557"/>
      <c r="BM45" s="557"/>
      <c r="BN45" s="557"/>
      <c r="BO45" s="557"/>
      <c r="BP45" s="557"/>
      <c r="BQ45" s="557"/>
      <c r="BR45" s="557"/>
      <c r="BS45" s="557"/>
      <c r="BT45" s="557"/>
      <c r="BU45" s="557"/>
      <c r="BV45" s="557"/>
      <c r="BW45" s="557"/>
      <c r="BX45" s="557"/>
      <c r="BY45" s="557"/>
    </row>
    <row r="46" spans="1:77" x14ac:dyDescent="0.2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7"/>
      <c r="AQ46" s="557"/>
      <c r="AR46" s="557"/>
      <c r="AS46" s="557"/>
      <c r="AT46" s="557"/>
      <c r="AU46" s="557"/>
      <c r="AV46" s="557"/>
      <c r="AW46" s="557"/>
      <c r="AX46" s="557"/>
      <c r="AY46" s="557"/>
      <c r="AZ46" s="557"/>
      <c r="BA46" s="557"/>
      <c r="BB46" s="557"/>
      <c r="BC46" s="557"/>
      <c r="BD46" s="557"/>
      <c r="BE46" s="557"/>
      <c r="BF46" s="557"/>
      <c r="BG46" s="557"/>
      <c r="BH46" s="557"/>
      <c r="BI46" s="557"/>
      <c r="BJ46" s="557"/>
      <c r="BK46" s="557"/>
      <c r="BL46" s="557"/>
      <c r="BM46" s="557"/>
      <c r="BN46" s="557"/>
      <c r="BO46" s="557"/>
      <c r="BP46" s="557"/>
      <c r="BQ46" s="557"/>
      <c r="BR46" s="557"/>
      <c r="BS46" s="557"/>
      <c r="BT46" s="557"/>
      <c r="BU46" s="557"/>
      <c r="BV46" s="557"/>
      <c r="BW46" s="557"/>
      <c r="BX46" s="557"/>
      <c r="BY46" s="557"/>
    </row>
    <row r="47" spans="1:77" x14ac:dyDescent="0.2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7"/>
      <c r="AR47" s="557"/>
      <c r="AS47" s="557"/>
      <c r="AT47" s="557"/>
      <c r="AU47" s="557"/>
      <c r="AV47" s="557"/>
      <c r="AW47" s="557"/>
      <c r="AX47" s="557"/>
      <c r="AY47" s="557"/>
      <c r="AZ47" s="557"/>
      <c r="BA47" s="557"/>
      <c r="BB47" s="557"/>
      <c r="BC47" s="557"/>
      <c r="BD47" s="557"/>
      <c r="BE47" s="557"/>
      <c r="BF47" s="557"/>
      <c r="BG47" s="557"/>
      <c r="BH47" s="557"/>
      <c r="BI47" s="557"/>
      <c r="BJ47" s="557"/>
      <c r="BK47" s="557"/>
      <c r="BL47" s="557"/>
      <c r="BM47" s="557"/>
      <c r="BN47" s="557"/>
      <c r="BO47" s="557"/>
      <c r="BP47" s="557"/>
      <c r="BQ47" s="557"/>
      <c r="BR47" s="557"/>
      <c r="BS47" s="557"/>
      <c r="BT47" s="557"/>
      <c r="BU47" s="557"/>
      <c r="BV47" s="557"/>
      <c r="BW47" s="557"/>
      <c r="BX47" s="557"/>
      <c r="BY47" s="557"/>
    </row>
    <row r="48" spans="1:77" x14ac:dyDescent="0.25">
      <c r="A48" s="557"/>
      <c r="B48" s="557"/>
      <c r="C48" s="557"/>
      <c r="D48" s="557"/>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c r="AI48" s="557"/>
      <c r="AJ48" s="557"/>
      <c r="AK48" s="557"/>
      <c r="AL48" s="557"/>
      <c r="AM48" s="557"/>
      <c r="AN48" s="557"/>
      <c r="AO48" s="557"/>
      <c r="AP48" s="557"/>
      <c r="AQ48" s="557"/>
      <c r="AR48" s="557"/>
      <c r="AS48" s="557"/>
      <c r="AT48" s="557"/>
      <c r="AU48" s="557"/>
      <c r="AV48" s="557"/>
      <c r="AW48" s="557"/>
      <c r="AX48" s="557"/>
      <c r="AY48" s="557"/>
      <c r="AZ48" s="557"/>
      <c r="BA48" s="557"/>
      <c r="BB48" s="557"/>
      <c r="BC48" s="557"/>
      <c r="BD48" s="557"/>
      <c r="BE48" s="557"/>
      <c r="BF48" s="557"/>
      <c r="BG48" s="557"/>
      <c r="BH48" s="557"/>
      <c r="BI48" s="557"/>
      <c r="BJ48" s="557"/>
      <c r="BK48" s="557"/>
      <c r="BL48" s="557"/>
      <c r="BM48" s="557"/>
      <c r="BN48" s="557"/>
      <c r="BO48" s="557"/>
      <c r="BP48" s="557"/>
      <c r="BQ48" s="557"/>
      <c r="BR48" s="557"/>
      <c r="BS48" s="557"/>
      <c r="BT48" s="557"/>
      <c r="BU48" s="557"/>
      <c r="BV48" s="557"/>
      <c r="BW48" s="557"/>
      <c r="BX48" s="557"/>
      <c r="BY48" s="557"/>
    </row>
    <row r="49" spans="1:77" x14ac:dyDescent="0.25">
      <c r="A49" s="557"/>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c r="BB49" s="557"/>
      <c r="BC49" s="557"/>
      <c r="BD49" s="557"/>
      <c r="BE49" s="557"/>
      <c r="BF49" s="557"/>
      <c r="BG49" s="557"/>
      <c r="BH49" s="557"/>
      <c r="BI49" s="557"/>
      <c r="BJ49" s="557"/>
      <c r="BK49" s="557"/>
      <c r="BL49" s="557"/>
      <c r="BM49" s="557"/>
      <c r="BN49" s="557"/>
      <c r="BO49" s="557"/>
      <c r="BP49" s="557"/>
      <c r="BQ49" s="557"/>
      <c r="BR49" s="557"/>
      <c r="BS49" s="557"/>
      <c r="BT49" s="557"/>
      <c r="BU49" s="557"/>
      <c r="BV49" s="557"/>
      <c r="BW49" s="557"/>
      <c r="BX49" s="557"/>
      <c r="BY49" s="557"/>
    </row>
    <row r="50" spans="1:77" x14ac:dyDescent="0.25">
      <c r="A50" s="557"/>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7"/>
      <c r="AR50" s="557"/>
      <c r="AS50" s="557"/>
      <c r="AT50" s="557"/>
      <c r="AU50" s="557"/>
      <c r="AV50" s="557"/>
      <c r="AW50" s="557"/>
      <c r="AX50" s="557"/>
      <c r="AY50" s="557"/>
      <c r="AZ50" s="557"/>
      <c r="BA50" s="557"/>
      <c r="BB50" s="557"/>
      <c r="BC50" s="557"/>
      <c r="BD50" s="557"/>
      <c r="BE50" s="557"/>
      <c r="BF50" s="557"/>
      <c r="BG50" s="557"/>
      <c r="BH50" s="557"/>
      <c r="BI50" s="557"/>
      <c r="BJ50" s="557"/>
      <c r="BK50" s="557"/>
      <c r="BL50" s="557"/>
      <c r="BM50" s="557"/>
      <c r="BN50" s="557"/>
      <c r="BO50" s="557"/>
      <c r="BP50" s="557"/>
      <c r="BQ50" s="557"/>
      <c r="BR50" s="557"/>
      <c r="BS50" s="557"/>
      <c r="BT50" s="557"/>
      <c r="BU50" s="557"/>
      <c r="BV50" s="557"/>
      <c r="BW50" s="557"/>
      <c r="BX50" s="557"/>
      <c r="BY50" s="557"/>
    </row>
    <row r="51" spans="1:77" x14ac:dyDescent="0.25">
      <c r="A51" s="557"/>
      <c r="B51" s="557"/>
      <c r="C51" s="557"/>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7"/>
      <c r="AY51" s="557"/>
      <c r="AZ51" s="557"/>
      <c r="BA51" s="557"/>
      <c r="BB51" s="557"/>
      <c r="BC51" s="557"/>
      <c r="BD51" s="557"/>
      <c r="BE51" s="557"/>
      <c r="BF51" s="557"/>
      <c r="BG51" s="557"/>
      <c r="BH51" s="557"/>
      <c r="BI51" s="557"/>
      <c r="BJ51" s="557"/>
      <c r="BK51" s="557"/>
      <c r="BL51" s="557"/>
      <c r="BM51" s="557"/>
      <c r="BN51" s="557"/>
      <c r="BO51" s="557"/>
      <c r="BP51" s="557"/>
      <c r="BQ51" s="557"/>
      <c r="BR51" s="557"/>
      <c r="BS51" s="557"/>
      <c r="BT51" s="557"/>
      <c r="BU51" s="557"/>
      <c r="BV51" s="557"/>
      <c r="BW51" s="557"/>
      <c r="BX51" s="557"/>
      <c r="BY51" s="557"/>
    </row>
    <row r="52" spans="1:77" x14ac:dyDescent="0.25">
      <c r="A52" s="557"/>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7"/>
      <c r="AR52" s="557"/>
      <c r="AS52" s="557"/>
      <c r="AT52" s="557"/>
      <c r="AU52" s="557"/>
      <c r="AV52" s="557"/>
      <c r="AW52" s="557"/>
      <c r="AX52" s="557"/>
      <c r="AY52" s="557"/>
      <c r="AZ52" s="557"/>
      <c r="BA52" s="557"/>
      <c r="BB52" s="557"/>
      <c r="BC52" s="557"/>
      <c r="BD52" s="557"/>
      <c r="BE52" s="557"/>
      <c r="BF52" s="557"/>
      <c r="BG52" s="557"/>
      <c r="BH52" s="557"/>
      <c r="BI52" s="557"/>
      <c r="BJ52" s="557"/>
      <c r="BK52" s="557"/>
      <c r="BL52" s="557"/>
      <c r="BM52" s="557"/>
      <c r="BN52" s="557"/>
      <c r="BO52" s="557"/>
      <c r="BP52" s="557"/>
      <c r="BQ52" s="557"/>
      <c r="BR52" s="557"/>
      <c r="BS52" s="557"/>
      <c r="BT52" s="557"/>
      <c r="BU52" s="557"/>
      <c r="BV52" s="557"/>
      <c r="BW52" s="557"/>
      <c r="BX52" s="557"/>
      <c r="BY52" s="557"/>
    </row>
    <row r="53" spans="1:77" x14ac:dyDescent="0.25">
      <c r="A53" s="557"/>
      <c r="B53" s="557"/>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57"/>
      <c r="AV53" s="557"/>
      <c r="AW53" s="557"/>
      <c r="AX53" s="557"/>
      <c r="AY53" s="557"/>
      <c r="AZ53" s="557"/>
      <c r="BA53" s="557"/>
      <c r="BB53" s="557"/>
      <c r="BC53" s="557"/>
      <c r="BD53" s="557"/>
      <c r="BE53" s="557"/>
      <c r="BF53" s="557"/>
      <c r="BG53" s="557"/>
      <c r="BH53" s="557"/>
      <c r="BI53" s="557"/>
      <c r="BJ53" s="557"/>
      <c r="BK53" s="557"/>
      <c r="BL53" s="557"/>
      <c r="BM53" s="557"/>
      <c r="BN53" s="557"/>
      <c r="BO53" s="557"/>
      <c r="BP53" s="557"/>
      <c r="BQ53" s="557"/>
      <c r="BR53" s="557"/>
      <c r="BS53" s="557"/>
      <c r="BT53" s="557"/>
      <c r="BU53" s="557"/>
      <c r="BV53" s="557"/>
      <c r="BW53" s="557"/>
      <c r="BX53" s="557"/>
      <c r="BY53" s="557"/>
    </row>
    <row r="54" spans="1:77" x14ac:dyDescent="0.25">
      <c r="A54" s="557"/>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7"/>
      <c r="BC54" s="557"/>
      <c r="BD54" s="557"/>
      <c r="BE54" s="557"/>
      <c r="BF54" s="557"/>
      <c r="BG54" s="557"/>
      <c r="BH54" s="557"/>
      <c r="BI54" s="557"/>
      <c r="BJ54" s="557"/>
      <c r="BK54" s="557"/>
      <c r="BL54" s="557"/>
      <c r="BM54" s="557"/>
      <c r="BN54" s="557"/>
      <c r="BO54" s="557"/>
      <c r="BP54" s="557"/>
      <c r="BQ54" s="557"/>
      <c r="BR54" s="557"/>
      <c r="BS54" s="557"/>
      <c r="BT54" s="557"/>
      <c r="BU54" s="557"/>
      <c r="BV54" s="557"/>
      <c r="BW54" s="557"/>
      <c r="BX54" s="557"/>
      <c r="BY54" s="557"/>
    </row>
    <row r="55" spans="1:77" x14ac:dyDescent="0.25">
      <c r="A55" s="557"/>
      <c r="B55" s="557"/>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7"/>
      <c r="BJ55" s="557"/>
      <c r="BK55" s="557"/>
      <c r="BL55" s="557"/>
      <c r="BM55" s="557"/>
      <c r="BN55" s="557"/>
      <c r="BO55" s="557"/>
      <c r="BP55" s="557"/>
      <c r="BQ55" s="557"/>
      <c r="BR55" s="557"/>
      <c r="BS55" s="557"/>
      <c r="BT55" s="557"/>
      <c r="BU55" s="557"/>
      <c r="BV55" s="557"/>
      <c r="BW55" s="557"/>
      <c r="BX55" s="557"/>
      <c r="BY55" s="557"/>
    </row>
    <row r="56" spans="1:77" x14ac:dyDescent="0.25">
      <c r="A56" s="557"/>
      <c r="B56" s="557"/>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7"/>
      <c r="AY56" s="557"/>
      <c r="AZ56" s="557"/>
      <c r="BA56" s="557"/>
      <c r="BB56" s="557"/>
      <c r="BC56" s="557"/>
      <c r="BD56" s="557"/>
      <c r="BE56" s="557"/>
      <c r="BF56" s="557"/>
      <c r="BG56" s="557"/>
      <c r="BH56" s="557"/>
      <c r="BI56" s="557"/>
      <c r="BJ56" s="557"/>
      <c r="BK56" s="557"/>
      <c r="BL56" s="557"/>
      <c r="BM56" s="557"/>
      <c r="BN56" s="557"/>
      <c r="BO56" s="557"/>
      <c r="BP56" s="557"/>
      <c r="BQ56" s="557"/>
      <c r="BR56" s="557"/>
      <c r="BS56" s="557"/>
      <c r="BT56" s="557"/>
      <c r="BU56" s="557"/>
      <c r="BV56" s="557"/>
      <c r="BW56" s="557"/>
      <c r="BX56" s="557"/>
      <c r="BY56" s="557"/>
    </row>
    <row r="57" spans="1:77" x14ac:dyDescent="0.25">
      <c r="A57" s="557"/>
      <c r="B57" s="557"/>
      <c r="C57" s="557"/>
      <c r="D57" s="557"/>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7"/>
      <c r="AL57" s="557"/>
      <c r="AM57" s="557"/>
      <c r="AN57" s="557"/>
      <c r="AO57" s="557"/>
      <c r="AP57" s="557"/>
      <c r="AQ57" s="557"/>
      <c r="AR57" s="557"/>
      <c r="AS57" s="557"/>
      <c r="AT57" s="557"/>
      <c r="AU57" s="557"/>
      <c r="AV57" s="557"/>
      <c r="AW57" s="557"/>
      <c r="AX57" s="557"/>
      <c r="AY57" s="557"/>
      <c r="AZ57" s="557"/>
      <c r="BA57" s="557"/>
      <c r="BB57" s="557"/>
      <c r="BC57" s="557"/>
      <c r="BD57" s="557"/>
      <c r="BE57" s="557"/>
      <c r="BF57" s="557"/>
      <c r="BG57" s="557"/>
      <c r="BH57" s="557"/>
      <c r="BI57" s="557"/>
      <c r="BJ57" s="557"/>
      <c r="BK57" s="557"/>
      <c r="BL57" s="557"/>
      <c r="BM57" s="557"/>
      <c r="BN57" s="557"/>
      <c r="BO57" s="557"/>
      <c r="BP57" s="557"/>
      <c r="BQ57" s="557"/>
      <c r="BR57" s="557"/>
      <c r="BS57" s="557"/>
      <c r="BT57" s="557"/>
      <c r="BU57" s="557"/>
      <c r="BV57" s="557"/>
      <c r="BW57" s="557"/>
      <c r="BX57" s="557"/>
      <c r="BY57" s="557"/>
    </row>
    <row r="58" spans="1:77" x14ac:dyDescent="0.25">
      <c r="A58" s="557"/>
      <c r="B58" s="557"/>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7"/>
      <c r="AU58" s="557"/>
      <c r="AV58" s="557"/>
      <c r="AW58" s="557"/>
      <c r="AX58" s="557"/>
      <c r="AY58" s="557"/>
      <c r="AZ58" s="557"/>
      <c r="BA58" s="557"/>
      <c r="BB58" s="557"/>
      <c r="BC58" s="557"/>
      <c r="BD58" s="557"/>
      <c r="BE58" s="557"/>
      <c r="BF58" s="557"/>
      <c r="BG58" s="557"/>
      <c r="BH58" s="557"/>
      <c r="BI58" s="557"/>
      <c r="BJ58" s="557"/>
      <c r="BK58" s="557"/>
      <c r="BL58" s="557"/>
      <c r="BM58" s="557"/>
      <c r="BN58" s="557"/>
      <c r="BO58" s="557"/>
      <c r="BP58" s="557"/>
      <c r="BQ58" s="557"/>
      <c r="BR58" s="557"/>
      <c r="BS58" s="557"/>
      <c r="BT58" s="557"/>
      <c r="BU58" s="557"/>
      <c r="BV58" s="557"/>
      <c r="BW58" s="557"/>
      <c r="BX58" s="557"/>
      <c r="BY58" s="557"/>
    </row>
    <row r="59" spans="1:77" x14ac:dyDescent="0.25">
      <c r="A59" s="557"/>
      <c r="B59" s="557"/>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557"/>
      <c r="AQ59" s="557"/>
      <c r="AR59" s="557"/>
      <c r="AS59" s="557"/>
      <c r="AT59" s="557"/>
      <c r="AU59" s="557"/>
      <c r="AV59" s="557"/>
      <c r="AW59" s="557"/>
      <c r="AX59" s="557"/>
      <c r="AY59" s="557"/>
      <c r="AZ59" s="557"/>
      <c r="BA59" s="557"/>
      <c r="BB59" s="557"/>
      <c r="BC59" s="557"/>
      <c r="BD59" s="557"/>
      <c r="BE59" s="557"/>
      <c r="BF59" s="557"/>
      <c r="BG59" s="557"/>
      <c r="BH59" s="557"/>
      <c r="BI59" s="557"/>
      <c r="BJ59" s="557"/>
      <c r="BK59" s="557"/>
      <c r="BL59" s="557"/>
      <c r="BM59" s="557"/>
      <c r="BN59" s="557"/>
      <c r="BO59" s="557"/>
      <c r="BP59" s="557"/>
      <c r="BQ59" s="557"/>
      <c r="BR59" s="557"/>
      <c r="BS59" s="557"/>
      <c r="BT59" s="557"/>
      <c r="BU59" s="557"/>
      <c r="BV59" s="557"/>
      <c r="BW59" s="557"/>
      <c r="BX59" s="557"/>
      <c r="BY59" s="557"/>
    </row>
    <row r="60" spans="1:77" x14ac:dyDescent="0.25">
      <c r="A60" s="557"/>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557"/>
      <c r="BE60" s="557"/>
      <c r="BF60" s="557"/>
      <c r="BG60" s="557"/>
      <c r="BH60" s="557"/>
      <c r="BI60" s="557"/>
      <c r="BJ60" s="557"/>
      <c r="BK60" s="557"/>
      <c r="BL60" s="557"/>
      <c r="BM60" s="557"/>
      <c r="BN60" s="557"/>
      <c r="BO60" s="557"/>
      <c r="BP60" s="557"/>
      <c r="BQ60" s="557"/>
      <c r="BR60" s="557"/>
      <c r="BS60" s="557"/>
      <c r="BT60" s="557"/>
      <c r="BU60" s="557"/>
      <c r="BV60" s="557"/>
      <c r="BW60" s="557"/>
      <c r="BX60" s="557"/>
      <c r="BY60" s="557"/>
    </row>
    <row r="61" spans="1:77" x14ac:dyDescent="0.25">
      <c r="A61" s="557"/>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557"/>
      <c r="AJ61" s="557"/>
      <c r="AK61" s="557"/>
      <c r="AL61" s="557"/>
      <c r="AM61" s="557"/>
      <c r="AN61" s="557"/>
      <c r="AO61" s="557"/>
      <c r="AP61" s="557"/>
      <c r="AQ61" s="557"/>
      <c r="AR61" s="557"/>
      <c r="AS61" s="557"/>
      <c r="AT61" s="557"/>
      <c r="AU61" s="557"/>
      <c r="AV61" s="557"/>
      <c r="AW61" s="557"/>
      <c r="AX61" s="557"/>
      <c r="AY61" s="557"/>
      <c r="AZ61" s="557"/>
      <c r="BA61" s="557"/>
      <c r="BB61" s="557"/>
      <c r="BC61" s="557"/>
      <c r="BD61" s="557"/>
      <c r="BE61" s="557"/>
      <c r="BF61" s="557"/>
      <c r="BG61" s="557"/>
      <c r="BH61" s="557"/>
      <c r="BI61" s="557"/>
      <c r="BJ61" s="557"/>
      <c r="BK61" s="557"/>
      <c r="BL61" s="557"/>
      <c r="BM61" s="557"/>
      <c r="BN61" s="557"/>
      <c r="BO61" s="557"/>
      <c r="BP61" s="557"/>
      <c r="BQ61" s="557"/>
      <c r="BR61" s="557"/>
      <c r="BS61" s="557"/>
      <c r="BT61" s="557"/>
      <c r="BU61" s="557"/>
      <c r="BV61" s="557"/>
      <c r="BW61" s="557"/>
      <c r="BX61" s="557"/>
      <c r="BY61" s="557"/>
    </row>
    <row r="62" spans="1:77" x14ac:dyDescent="0.25">
      <c r="A62" s="557"/>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7"/>
      <c r="AP62" s="557"/>
      <c r="AQ62" s="557"/>
      <c r="AR62" s="557"/>
      <c r="AS62" s="557"/>
      <c r="AT62" s="557"/>
      <c r="AU62" s="557"/>
      <c r="AV62" s="557"/>
      <c r="AW62" s="557"/>
      <c r="AX62" s="557"/>
      <c r="AY62" s="557"/>
      <c r="AZ62" s="557"/>
      <c r="BA62" s="557"/>
      <c r="BB62" s="557"/>
      <c r="BC62" s="557"/>
      <c r="BD62" s="557"/>
      <c r="BE62" s="557"/>
      <c r="BF62" s="557"/>
      <c r="BG62" s="557"/>
      <c r="BH62" s="557"/>
      <c r="BI62" s="557"/>
      <c r="BJ62" s="557"/>
      <c r="BK62" s="557"/>
      <c r="BL62" s="557"/>
      <c r="BM62" s="557"/>
      <c r="BN62" s="557"/>
      <c r="BO62" s="557"/>
      <c r="BP62" s="557"/>
      <c r="BQ62" s="557"/>
      <c r="BR62" s="557"/>
      <c r="BS62" s="557"/>
      <c r="BT62" s="557"/>
      <c r="BU62" s="557"/>
      <c r="BV62" s="557"/>
      <c r="BW62" s="557"/>
      <c r="BX62" s="557"/>
      <c r="BY62" s="557"/>
    </row>
    <row r="63" spans="1:77" x14ac:dyDescent="0.25">
      <c r="A63" s="557"/>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c r="AE63" s="557"/>
      <c r="AF63" s="557"/>
      <c r="AG63" s="557"/>
      <c r="AH63" s="557"/>
      <c r="AI63" s="557"/>
      <c r="AJ63" s="557"/>
      <c r="AK63" s="557"/>
      <c r="AL63" s="557"/>
      <c r="AM63" s="557"/>
      <c r="AN63" s="557"/>
      <c r="AO63" s="557"/>
      <c r="AP63" s="557"/>
      <c r="AQ63" s="557"/>
      <c r="AR63" s="557"/>
      <c r="AS63" s="557"/>
      <c r="AT63" s="557"/>
      <c r="AU63" s="557"/>
      <c r="AV63" s="557"/>
      <c r="AW63" s="557"/>
      <c r="AX63" s="557"/>
      <c r="AY63" s="557"/>
      <c r="AZ63" s="557"/>
      <c r="BA63" s="557"/>
      <c r="BB63" s="557"/>
      <c r="BC63" s="557"/>
      <c r="BD63" s="557"/>
      <c r="BE63" s="557"/>
      <c r="BF63" s="557"/>
      <c r="BG63" s="557"/>
      <c r="BH63" s="557"/>
      <c r="BI63" s="557"/>
      <c r="BJ63" s="557"/>
      <c r="BK63" s="557"/>
      <c r="BL63" s="557"/>
      <c r="BM63" s="557"/>
      <c r="BN63" s="557"/>
      <c r="BO63" s="557"/>
      <c r="BP63" s="557"/>
      <c r="BQ63" s="557"/>
      <c r="BR63" s="557"/>
      <c r="BS63" s="557"/>
      <c r="BT63" s="557"/>
      <c r="BU63" s="557"/>
      <c r="BV63" s="557"/>
      <c r="BW63" s="557"/>
      <c r="BX63" s="557"/>
      <c r="BY63" s="557"/>
    </row>
    <row r="64" spans="1:77" x14ac:dyDescent="0.25">
      <c r="A64" s="557"/>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57"/>
      <c r="AH64" s="557"/>
      <c r="AI64" s="557"/>
      <c r="AJ64" s="557"/>
      <c r="AK64" s="557"/>
      <c r="AL64" s="557"/>
      <c r="AM64" s="557"/>
      <c r="AN64" s="557"/>
      <c r="AO64" s="557"/>
      <c r="AP64" s="557"/>
      <c r="AQ64" s="557"/>
      <c r="AR64" s="557"/>
      <c r="AS64" s="557"/>
      <c r="AT64" s="557"/>
      <c r="AU64" s="557"/>
      <c r="AV64" s="557"/>
      <c r="AW64" s="557"/>
      <c r="AX64" s="557"/>
      <c r="AY64" s="557"/>
      <c r="AZ64" s="557"/>
      <c r="BA64" s="557"/>
      <c r="BB64" s="557"/>
      <c r="BC64" s="557"/>
      <c r="BD64" s="557"/>
      <c r="BE64" s="557"/>
      <c r="BF64" s="557"/>
      <c r="BG64" s="557"/>
      <c r="BH64" s="557"/>
      <c r="BI64" s="557"/>
      <c r="BJ64" s="557"/>
      <c r="BK64" s="557"/>
      <c r="BL64" s="557"/>
      <c r="BM64" s="557"/>
      <c r="BN64" s="557"/>
      <c r="BO64" s="557"/>
      <c r="BP64" s="557"/>
      <c r="BQ64" s="557"/>
      <c r="BR64" s="557"/>
      <c r="BS64" s="557"/>
      <c r="BT64" s="557"/>
      <c r="BU64" s="557"/>
      <c r="BV64" s="557"/>
      <c r="BW64" s="557"/>
      <c r="BX64" s="557"/>
      <c r="BY64" s="557"/>
    </row>
    <row r="65" spans="1:77" x14ac:dyDescent="0.25">
      <c r="A65" s="557"/>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557"/>
      <c r="AK65" s="557"/>
      <c r="AL65" s="557"/>
      <c r="AM65" s="557"/>
      <c r="AN65" s="557"/>
      <c r="AO65" s="557"/>
      <c r="AP65" s="557"/>
      <c r="AQ65" s="557"/>
      <c r="AR65" s="557"/>
      <c r="AS65" s="557"/>
      <c r="AT65" s="557"/>
      <c r="AU65" s="557"/>
      <c r="AV65" s="557"/>
      <c r="AW65" s="557"/>
      <c r="AX65" s="557"/>
      <c r="AY65" s="557"/>
      <c r="AZ65" s="557"/>
      <c r="BA65" s="557"/>
      <c r="BB65" s="557"/>
      <c r="BC65" s="557"/>
      <c r="BD65" s="557"/>
      <c r="BE65" s="557"/>
      <c r="BF65" s="557"/>
      <c r="BG65" s="557"/>
      <c r="BH65" s="557"/>
      <c r="BI65" s="557"/>
      <c r="BJ65" s="557"/>
      <c r="BK65" s="557"/>
      <c r="BL65" s="557"/>
      <c r="BM65" s="557"/>
      <c r="BN65" s="557"/>
      <c r="BO65" s="557"/>
      <c r="BP65" s="557"/>
      <c r="BQ65" s="557"/>
      <c r="BR65" s="557"/>
      <c r="BS65" s="557"/>
      <c r="BT65" s="557"/>
      <c r="BU65" s="557"/>
      <c r="BV65" s="557"/>
      <c r="BW65" s="557"/>
      <c r="BX65" s="557"/>
      <c r="BY65" s="557"/>
    </row>
    <row r="66" spans="1:77" x14ac:dyDescent="0.25">
      <c r="A66" s="557"/>
      <c r="B66" s="557"/>
      <c r="C66" s="557"/>
      <c r="D66" s="557"/>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7"/>
      <c r="AL66" s="557"/>
      <c r="AM66" s="557"/>
      <c r="AN66" s="557"/>
      <c r="AO66" s="557"/>
      <c r="AP66" s="557"/>
      <c r="AQ66" s="557"/>
      <c r="AR66" s="557"/>
      <c r="AS66" s="557"/>
      <c r="AT66" s="557"/>
      <c r="AU66" s="557"/>
      <c r="AV66" s="557"/>
      <c r="AW66" s="557"/>
      <c r="AX66" s="557"/>
      <c r="AY66" s="557"/>
      <c r="AZ66" s="557"/>
      <c r="BA66" s="557"/>
      <c r="BB66" s="557"/>
      <c r="BC66" s="557"/>
      <c r="BD66" s="557"/>
      <c r="BE66" s="557"/>
      <c r="BF66" s="557"/>
      <c r="BG66" s="557"/>
      <c r="BH66" s="557"/>
      <c r="BI66" s="557"/>
      <c r="BJ66" s="557"/>
      <c r="BK66" s="557"/>
      <c r="BL66" s="557"/>
      <c r="BM66" s="557"/>
      <c r="BN66" s="557"/>
      <c r="BO66" s="557"/>
      <c r="BP66" s="557"/>
      <c r="BQ66" s="557"/>
      <c r="BR66" s="557"/>
      <c r="BS66" s="557"/>
      <c r="BT66" s="557"/>
      <c r="BU66" s="557"/>
      <c r="BV66" s="557"/>
      <c r="BW66" s="557"/>
      <c r="BX66" s="557"/>
      <c r="BY66" s="557"/>
    </row>
    <row r="67" spans="1:77" x14ac:dyDescent="0.25">
      <c r="A67" s="557"/>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c r="AX67" s="557"/>
      <c r="AY67" s="557"/>
      <c r="AZ67" s="557"/>
      <c r="BA67" s="557"/>
      <c r="BB67" s="557"/>
      <c r="BC67" s="557"/>
      <c r="BD67" s="557"/>
      <c r="BE67" s="557"/>
      <c r="BF67" s="557"/>
      <c r="BG67" s="557"/>
      <c r="BH67" s="557"/>
      <c r="BI67" s="557"/>
      <c r="BJ67" s="557"/>
      <c r="BK67" s="557"/>
      <c r="BL67" s="557"/>
      <c r="BM67" s="557"/>
      <c r="BN67" s="557"/>
      <c r="BO67" s="557"/>
      <c r="BP67" s="557"/>
      <c r="BQ67" s="557"/>
      <c r="BR67" s="557"/>
      <c r="BS67" s="557"/>
      <c r="BT67" s="557"/>
      <c r="BU67" s="557"/>
      <c r="BV67" s="557"/>
      <c r="BW67" s="557"/>
      <c r="BX67" s="557"/>
      <c r="BY67" s="557"/>
    </row>
    <row r="68" spans="1:77" x14ac:dyDescent="0.25">
      <c r="A68" s="557"/>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c r="AE68" s="557"/>
      <c r="AF68" s="557"/>
      <c r="AG68" s="557"/>
      <c r="AH68" s="557"/>
      <c r="AI68" s="557"/>
      <c r="AJ68" s="557"/>
      <c r="AK68" s="557"/>
      <c r="AL68" s="557"/>
      <c r="AM68" s="557"/>
      <c r="AN68" s="557"/>
      <c r="AO68" s="557"/>
      <c r="AP68" s="557"/>
      <c r="AQ68" s="557"/>
      <c r="AR68" s="557"/>
      <c r="AS68" s="557"/>
      <c r="AT68" s="557"/>
      <c r="AU68" s="557"/>
      <c r="AV68" s="557"/>
      <c r="AW68" s="557"/>
      <c r="AX68" s="557"/>
      <c r="AY68" s="557"/>
      <c r="AZ68" s="557"/>
      <c r="BA68" s="557"/>
      <c r="BB68" s="557"/>
      <c r="BC68" s="557"/>
      <c r="BD68" s="557"/>
      <c r="BE68" s="557"/>
      <c r="BF68" s="557"/>
      <c r="BG68" s="557"/>
      <c r="BH68" s="557"/>
      <c r="BI68" s="557"/>
      <c r="BJ68" s="557"/>
      <c r="BK68" s="557"/>
      <c r="BL68" s="557"/>
      <c r="BM68" s="557"/>
      <c r="BN68" s="557"/>
      <c r="BO68" s="557"/>
      <c r="BP68" s="557"/>
      <c r="BQ68" s="557"/>
      <c r="BR68" s="557"/>
      <c r="BS68" s="557"/>
      <c r="BT68" s="557"/>
      <c r="BU68" s="557"/>
      <c r="BV68" s="557"/>
      <c r="BW68" s="557"/>
      <c r="BX68" s="557"/>
      <c r="BY68" s="557"/>
    </row>
    <row r="69" spans="1:77" x14ac:dyDescent="0.25">
      <c r="A69" s="557"/>
      <c r="B69" s="557"/>
      <c r="C69" s="557"/>
      <c r="D69" s="557"/>
      <c r="E69" s="557"/>
      <c r="F69" s="557"/>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7"/>
      <c r="AJ69" s="557"/>
      <c r="AK69" s="557"/>
      <c r="AL69" s="557"/>
      <c r="AM69" s="557"/>
      <c r="AN69" s="557"/>
      <c r="AO69" s="557"/>
      <c r="AP69" s="557"/>
      <c r="AQ69" s="557"/>
      <c r="AR69" s="557"/>
      <c r="AS69" s="557"/>
      <c r="AT69" s="557"/>
      <c r="AU69" s="557"/>
      <c r="AV69" s="557"/>
      <c r="AW69" s="557"/>
      <c r="AX69" s="557"/>
      <c r="AY69" s="557"/>
      <c r="AZ69" s="557"/>
      <c r="BA69" s="557"/>
      <c r="BB69" s="557"/>
      <c r="BC69" s="557"/>
      <c r="BD69" s="557"/>
      <c r="BE69" s="557"/>
      <c r="BF69" s="557"/>
      <c r="BG69" s="557"/>
      <c r="BH69" s="557"/>
      <c r="BI69" s="557"/>
      <c r="BJ69" s="557"/>
      <c r="BK69" s="557"/>
      <c r="BL69" s="557"/>
      <c r="BM69" s="557"/>
      <c r="BN69" s="557"/>
      <c r="BO69" s="557"/>
      <c r="BP69" s="557"/>
      <c r="BQ69" s="557"/>
      <c r="BR69" s="557"/>
      <c r="BS69" s="557"/>
      <c r="BT69" s="557"/>
      <c r="BU69" s="557"/>
      <c r="BV69" s="557"/>
      <c r="BW69" s="557"/>
      <c r="BX69" s="557"/>
      <c r="BY69" s="557"/>
    </row>
    <row r="70" spans="1:77" x14ac:dyDescent="0.25">
      <c r="A70" s="557"/>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7"/>
      <c r="AZ70" s="557"/>
      <c r="BA70" s="557"/>
      <c r="BB70" s="557"/>
      <c r="BC70" s="557"/>
      <c r="BD70" s="557"/>
      <c r="BE70" s="557"/>
      <c r="BF70" s="557"/>
      <c r="BG70" s="557"/>
      <c r="BH70" s="557"/>
      <c r="BI70" s="557"/>
      <c r="BJ70" s="557"/>
      <c r="BK70" s="557"/>
      <c r="BL70" s="557"/>
      <c r="BM70" s="557"/>
      <c r="BN70" s="557"/>
      <c r="BO70" s="557"/>
      <c r="BP70" s="557"/>
      <c r="BQ70" s="557"/>
      <c r="BR70" s="557"/>
      <c r="BS70" s="557"/>
      <c r="BT70" s="557"/>
      <c r="BU70" s="557"/>
      <c r="BV70" s="557"/>
      <c r="BW70" s="557"/>
      <c r="BX70" s="557"/>
      <c r="BY70" s="557"/>
    </row>
    <row r="71" spans="1:77" x14ac:dyDescent="0.25">
      <c r="A71" s="557"/>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c r="AU71" s="557"/>
      <c r="AV71" s="557"/>
      <c r="AW71" s="557"/>
      <c r="AX71" s="557"/>
      <c r="AY71" s="557"/>
      <c r="AZ71" s="557"/>
      <c r="BA71" s="557"/>
      <c r="BB71" s="557"/>
      <c r="BC71" s="557"/>
      <c r="BD71" s="557"/>
      <c r="BE71" s="557"/>
      <c r="BF71" s="557"/>
      <c r="BG71" s="557"/>
      <c r="BH71" s="557"/>
      <c r="BI71" s="557"/>
      <c r="BJ71" s="557"/>
      <c r="BK71" s="557"/>
      <c r="BL71" s="557"/>
      <c r="BM71" s="557"/>
      <c r="BN71" s="557"/>
      <c r="BO71" s="557"/>
      <c r="BP71" s="557"/>
      <c r="BQ71" s="557"/>
      <c r="BR71" s="557"/>
      <c r="BS71" s="557"/>
      <c r="BT71" s="557"/>
      <c r="BU71" s="557"/>
      <c r="BV71" s="557"/>
      <c r="BW71" s="557"/>
      <c r="BX71" s="557"/>
      <c r="BY71" s="557"/>
    </row>
    <row r="72" spans="1:77" x14ac:dyDescent="0.25">
      <c r="A72" s="557"/>
      <c r="B72" s="557"/>
      <c r="C72" s="557"/>
      <c r="D72" s="557"/>
      <c r="E72" s="557"/>
      <c r="F72" s="557"/>
      <c r="G72" s="557"/>
      <c r="H72" s="557"/>
      <c r="I72" s="557"/>
      <c r="J72" s="557"/>
      <c r="K72" s="557"/>
      <c r="L72" s="557"/>
      <c r="M72" s="557"/>
      <c r="N72" s="557"/>
      <c r="O72" s="557"/>
      <c r="P72" s="557"/>
      <c r="Q72" s="557"/>
      <c r="R72" s="557"/>
      <c r="S72" s="557"/>
      <c r="T72" s="557"/>
      <c r="U72" s="557"/>
      <c r="V72" s="557"/>
      <c r="W72" s="557"/>
      <c r="X72" s="557"/>
      <c r="Y72" s="557"/>
      <c r="Z72" s="557"/>
      <c r="AA72" s="557"/>
      <c r="AB72" s="557"/>
      <c r="AC72" s="557"/>
      <c r="AD72" s="557"/>
      <c r="AE72" s="557"/>
      <c r="AF72" s="557"/>
      <c r="AG72" s="557"/>
      <c r="AH72" s="557"/>
      <c r="AI72" s="557"/>
      <c r="AJ72" s="557"/>
      <c r="AK72" s="557"/>
      <c r="AL72" s="557"/>
      <c r="AM72" s="557"/>
      <c r="AN72" s="557"/>
      <c r="AO72" s="557"/>
      <c r="AP72" s="557"/>
      <c r="AQ72" s="557"/>
      <c r="AR72" s="557"/>
      <c r="AS72" s="557"/>
      <c r="AT72" s="557"/>
      <c r="AU72" s="557"/>
      <c r="AV72" s="557"/>
      <c r="AW72" s="557"/>
      <c r="AX72" s="557"/>
      <c r="AY72" s="557"/>
      <c r="AZ72" s="557"/>
      <c r="BA72" s="557"/>
      <c r="BB72" s="557"/>
      <c r="BC72" s="557"/>
      <c r="BD72" s="557"/>
      <c r="BE72" s="557"/>
      <c r="BF72" s="557"/>
      <c r="BG72" s="557"/>
      <c r="BH72" s="557"/>
      <c r="BI72" s="557"/>
      <c r="BJ72" s="557"/>
      <c r="BK72" s="557"/>
      <c r="BL72" s="557"/>
      <c r="BM72" s="557"/>
      <c r="BN72" s="557"/>
      <c r="BO72" s="557"/>
      <c r="BP72" s="557"/>
      <c r="BQ72" s="557"/>
      <c r="BR72" s="557"/>
      <c r="BS72" s="557"/>
      <c r="BT72" s="557"/>
      <c r="BU72" s="557"/>
      <c r="BV72" s="557"/>
      <c r="BW72" s="557"/>
      <c r="BX72" s="557"/>
      <c r="BY72" s="557"/>
    </row>
    <row r="73" spans="1:77" x14ac:dyDescent="0.25">
      <c r="A73" s="557"/>
      <c r="B73" s="557"/>
      <c r="C73" s="557"/>
      <c r="D73" s="557"/>
      <c r="E73" s="557"/>
      <c r="F73" s="557"/>
      <c r="G73" s="557"/>
      <c r="H73" s="557"/>
      <c r="I73" s="557"/>
      <c r="J73" s="557"/>
      <c r="K73" s="557"/>
      <c r="L73" s="557"/>
      <c r="M73" s="557"/>
      <c r="N73" s="557"/>
      <c r="O73" s="557"/>
      <c r="P73" s="557"/>
      <c r="Q73" s="557"/>
      <c r="R73" s="557"/>
      <c r="S73" s="557"/>
      <c r="T73" s="557"/>
      <c r="U73" s="557"/>
      <c r="V73" s="557"/>
      <c r="W73" s="557"/>
      <c r="X73" s="557"/>
      <c r="Y73" s="557"/>
      <c r="Z73" s="557"/>
      <c r="AA73" s="557"/>
      <c r="AB73" s="557"/>
      <c r="AC73" s="557"/>
      <c r="AD73" s="557"/>
      <c r="AE73" s="557"/>
      <c r="AF73" s="557"/>
      <c r="AG73" s="557"/>
      <c r="AH73" s="557"/>
      <c r="AI73" s="557"/>
      <c r="AJ73" s="557"/>
      <c r="AK73" s="557"/>
      <c r="AL73" s="557"/>
      <c r="AM73" s="557"/>
      <c r="AN73" s="557"/>
      <c r="AO73" s="557"/>
      <c r="AP73" s="557"/>
      <c r="AQ73" s="557"/>
      <c r="AR73" s="557"/>
      <c r="AS73" s="557"/>
      <c r="AT73" s="557"/>
      <c r="AU73" s="557"/>
      <c r="AV73" s="557"/>
      <c r="AW73" s="557"/>
      <c r="AX73" s="557"/>
      <c r="AY73" s="557"/>
      <c r="AZ73" s="557"/>
      <c r="BA73" s="557"/>
      <c r="BB73" s="557"/>
      <c r="BC73" s="557"/>
      <c r="BD73" s="557"/>
      <c r="BE73" s="557"/>
      <c r="BF73" s="557"/>
      <c r="BG73" s="557"/>
      <c r="BH73" s="557"/>
      <c r="BI73" s="557"/>
      <c r="BJ73" s="557"/>
      <c r="BK73" s="557"/>
      <c r="BL73" s="557"/>
      <c r="BM73" s="557"/>
      <c r="BN73" s="557"/>
      <c r="BO73" s="557"/>
      <c r="BP73" s="557"/>
      <c r="BQ73" s="557"/>
      <c r="BR73" s="557"/>
      <c r="BS73" s="557"/>
      <c r="BT73" s="557"/>
      <c r="BU73" s="557"/>
      <c r="BV73" s="557"/>
      <c r="BW73" s="557"/>
      <c r="BX73" s="557"/>
      <c r="BY73" s="557"/>
    </row>
    <row r="74" spans="1:77" x14ac:dyDescent="0.25">
      <c r="A74" s="557"/>
      <c r="B74" s="557"/>
      <c r="C74" s="557"/>
      <c r="D74" s="557"/>
      <c r="E74" s="557"/>
      <c r="F74" s="557"/>
      <c r="G74" s="557"/>
      <c r="H74" s="557"/>
      <c r="I74" s="557"/>
      <c r="J74" s="557"/>
      <c r="K74" s="557"/>
      <c r="L74" s="557"/>
      <c r="M74" s="557"/>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7"/>
      <c r="AZ74" s="557"/>
      <c r="BA74" s="557"/>
      <c r="BB74" s="557"/>
      <c r="BC74" s="557"/>
      <c r="BD74" s="557"/>
      <c r="BE74" s="557"/>
      <c r="BF74" s="557"/>
      <c r="BG74" s="557"/>
      <c r="BH74" s="557"/>
      <c r="BI74" s="557"/>
      <c r="BJ74" s="557"/>
      <c r="BK74" s="557"/>
      <c r="BL74" s="557"/>
      <c r="BM74" s="557"/>
      <c r="BN74" s="557"/>
      <c r="BO74" s="557"/>
      <c r="BP74" s="557"/>
      <c r="BQ74" s="557"/>
      <c r="BR74" s="557"/>
      <c r="BS74" s="557"/>
      <c r="BT74" s="557"/>
      <c r="BU74" s="557"/>
      <c r="BV74" s="557"/>
      <c r="BW74" s="557"/>
      <c r="BX74" s="557"/>
      <c r="BY74" s="557"/>
    </row>
    <row r="75" spans="1:77" x14ac:dyDescent="0.25">
      <c r="A75" s="557"/>
      <c r="B75" s="557"/>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7"/>
      <c r="AL75" s="557"/>
      <c r="AM75" s="557"/>
      <c r="AN75" s="557"/>
      <c r="AO75" s="557"/>
      <c r="AP75" s="557"/>
      <c r="AQ75" s="557"/>
      <c r="AR75" s="557"/>
      <c r="AS75" s="557"/>
      <c r="AT75" s="557"/>
      <c r="AU75" s="557"/>
      <c r="AV75" s="557"/>
      <c r="AW75" s="557"/>
      <c r="AX75" s="557"/>
      <c r="AY75" s="557"/>
      <c r="AZ75" s="557"/>
      <c r="BA75" s="557"/>
      <c r="BB75" s="557"/>
      <c r="BC75" s="557"/>
      <c r="BD75" s="557"/>
      <c r="BE75" s="557"/>
      <c r="BF75" s="557"/>
      <c r="BG75" s="557"/>
      <c r="BH75" s="557"/>
      <c r="BI75" s="557"/>
      <c r="BJ75" s="557"/>
      <c r="BK75" s="557"/>
      <c r="BL75" s="557"/>
      <c r="BM75" s="557"/>
      <c r="BN75" s="557"/>
      <c r="BO75" s="557"/>
      <c r="BP75" s="557"/>
      <c r="BQ75" s="557"/>
      <c r="BR75" s="557"/>
      <c r="BS75" s="557"/>
      <c r="BT75" s="557"/>
      <c r="BU75" s="557"/>
      <c r="BV75" s="557"/>
      <c r="BW75" s="557"/>
      <c r="BX75" s="557"/>
      <c r="BY75" s="557"/>
    </row>
    <row r="76" spans="1:77" x14ac:dyDescent="0.25">
      <c r="A76" s="557"/>
      <c r="B76" s="557"/>
      <c r="C76" s="557"/>
      <c r="D76" s="557"/>
      <c r="E76" s="557"/>
      <c r="F76" s="557"/>
      <c r="G76" s="557"/>
      <c r="H76" s="557"/>
      <c r="I76" s="557"/>
      <c r="J76" s="557"/>
      <c r="K76" s="557"/>
      <c r="L76" s="557"/>
      <c r="M76" s="557"/>
      <c r="N76" s="557"/>
      <c r="O76" s="557"/>
      <c r="P76" s="557"/>
      <c r="Q76" s="557"/>
      <c r="R76" s="557"/>
      <c r="S76" s="557"/>
      <c r="T76" s="557"/>
      <c r="U76" s="557"/>
      <c r="V76" s="557"/>
      <c r="W76" s="557"/>
      <c r="X76" s="557"/>
      <c r="Y76" s="557"/>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7"/>
      <c r="AX76" s="557"/>
      <c r="AY76" s="557"/>
      <c r="AZ76" s="557"/>
      <c r="BA76" s="557"/>
      <c r="BB76" s="557"/>
      <c r="BC76" s="557"/>
      <c r="BD76" s="557"/>
      <c r="BE76" s="557"/>
      <c r="BF76" s="557"/>
      <c r="BG76" s="557"/>
      <c r="BH76" s="557"/>
      <c r="BI76" s="557"/>
      <c r="BJ76" s="557"/>
      <c r="BK76" s="557"/>
      <c r="BL76" s="557"/>
      <c r="BM76" s="557"/>
      <c r="BN76" s="557"/>
      <c r="BO76" s="557"/>
      <c r="BP76" s="557"/>
      <c r="BQ76" s="557"/>
      <c r="BR76" s="557"/>
      <c r="BS76" s="557"/>
      <c r="BT76" s="557"/>
      <c r="BU76" s="557"/>
      <c r="BV76" s="557"/>
      <c r="BW76" s="557"/>
      <c r="BX76" s="557"/>
      <c r="BY76" s="557"/>
    </row>
    <row r="77" spans="1:77" x14ac:dyDescent="0.25">
      <c r="A77" s="557"/>
      <c r="B77" s="557"/>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7"/>
      <c r="AY77" s="557"/>
      <c r="AZ77" s="557"/>
      <c r="BA77" s="557"/>
      <c r="BB77" s="557"/>
      <c r="BC77" s="557"/>
      <c r="BD77" s="557"/>
      <c r="BE77" s="557"/>
      <c r="BF77" s="557"/>
      <c r="BG77" s="557"/>
      <c r="BH77" s="557"/>
      <c r="BI77" s="557"/>
      <c r="BJ77" s="557"/>
      <c r="BK77" s="557"/>
      <c r="BL77" s="557"/>
      <c r="BM77" s="557"/>
      <c r="BN77" s="557"/>
      <c r="BO77" s="557"/>
      <c r="BP77" s="557"/>
      <c r="BQ77" s="557"/>
      <c r="BR77" s="557"/>
      <c r="BS77" s="557"/>
      <c r="BT77" s="557"/>
      <c r="BU77" s="557"/>
      <c r="BV77" s="557"/>
      <c r="BW77" s="557"/>
      <c r="BX77" s="557"/>
      <c r="BY77" s="557"/>
    </row>
    <row r="78" spans="1:77" x14ac:dyDescent="0.25">
      <c r="A78" s="557"/>
      <c r="B78" s="557"/>
      <c r="C78" s="557"/>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7"/>
      <c r="AY78" s="557"/>
      <c r="AZ78" s="557"/>
      <c r="BA78" s="557"/>
      <c r="BB78" s="557"/>
      <c r="BC78" s="557"/>
      <c r="BD78" s="557"/>
      <c r="BE78" s="557"/>
      <c r="BF78" s="557"/>
      <c r="BG78" s="557"/>
      <c r="BH78" s="557"/>
      <c r="BI78" s="557"/>
      <c r="BJ78" s="557"/>
      <c r="BK78" s="557"/>
      <c r="BL78" s="557"/>
      <c r="BM78" s="557"/>
      <c r="BN78" s="557"/>
      <c r="BO78" s="557"/>
      <c r="BP78" s="557"/>
      <c r="BQ78" s="557"/>
      <c r="BR78" s="557"/>
      <c r="BS78" s="557"/>
      <c r="BT78" s="557"/>
      <c r="BU78" s="557"/>
      <c r="BV78" s="557"/>
      <c r="BW78" s="557"/>
      <c r="BX78" s="557"/>
      <c r="BY78" s="557"/>
    </row>
  </sheetData>
  <sheetProtection password="DFEF" sheet="1" objects="1" scenarios="1" autoFilter="0"/>
  <mergeCells count="52">
    <mergeCell ref="C30:C31"/>
    <mergeCell ref="D30:D31"/>
    <mergeCell ref="E30:E31"/>
    <mergeCell ref="G30:G31"/>
    <mergeCell ref="C33:C36"/>
    <mergeCell ref="D33:D36"/>
    <mergeCell ref="E33:E36"/>
    <mergeCell ref="G33:G36"/>
    <mergeCell ref="C21:C27"/>
    <mergeCell ref="D21:D27"/>
    <mergeCell ref="E21:E27"/>
    <mergeCell ref="G21:G27"/>
    <mergeCell ref="C28:C29"/>
    <mergeCell ref="D28:D29"/>
    <mergeCell ref="E28:E29"/>
    <mergeCell ref="G28:G29"/>
    <mergeCell ref="AZ14:AZ15"/>
    <mergeCell ref="BA14:BA15"/>
    <mergeCell ref="C16:C20"/>
    <mergeCell ref="D16:D20"/>
    <mergeCell ref="E16:E20"/>
    <mergeCell ref="G16:G20"/>
    <mergeCell ref="AI14:AI15"/>
    <mergeCell ref="AJ14:AJ15"/>
    <mergeCell ref="AK14:AK15"/>
    <mergeCell ref="AL14:AL15"/>
    <mergeCell ref="AM14:AM15"/>
    <mergeCell ref="AN14:AY14"/>
    <mergeCell ref="M14:M15"/>
    <mergeCell ref="N14:O14"/>
    <mergeCell ref="P14:P15"/>
    <mergeCell ref="Q14:AF14"/>
    <mergeCell ref="AG14:AG15"/>
    <mergeCell ref="AH14:AH15"/>
    <mergeCell ref="G14:G15"/>
    <mergeCell ref="H14:H15"/>
    <mergeCell ref="I14:I15"/>
    <mergeCell ref="J14:J15"/>
    <mergeCell ref="K14:K15"/>
    <mergeCell ref="L14:L15"/>
    <mergeCell ref="F14:F15"/>
    <mergeCell ref="A2:L2"/>
    <mergeCell ref="A3:L3"/>
    <mergeCell ref="A5:L5"/>
    <mergeCell ref="A6:L6"/>
    <mergeCell ref="A9:M9"/>
    <mergeCell ref="A11:M11"/>
    <mergeCell ref="A14:A15"/>
    <mergeCell ref="B14:B15"/>
    <mergeCell ref="C14:C15"/>
    <mergeCell ref="D14:D15"/>
    <mergeCell ref="E14:E1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1"/>
  <sheetViews>
    <sheetView topLeftCell="A3" workbookViewId="0">
      <selection activeCell="N15" sqref="N15"/>
    </sheetView>
  </sheetViews>
  <sheetFormatPr baseColWidth="10" defaultRowHeight="15" x14ac:dyDescent="0.25"/>
  <cols>
    <col min="2" max="2" width="18.140625" customWidth="1"/>
    <col min="11" max="11" width="15.140625" customWidth="1"/>
    <col min="38" max="49" width="6.7109375" customWidth="1"/>
  </cols>
  <sheetData>
    <row r="1" spans="1:52" x14ac:dyDescent="0.25">
      <c r="A1" s="96"/>
      <c r="B1" s="96"/>
      <c r="C1" s="96"/>
      <c r="D1" s="96"/>
      <c r="E1" s="96"/>
      <c r="F1" s="96"/>
      <c r="G1" s="96"/>
      <c r="H1" s="97"/>
      <c r="I1" s="96"/>
      <c r="J1" s="96"/>
      <c r="K1" s="96"/>
      <c r="L1" s="96"/>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2" ht="18" x14ac:dyDescent="0.25">
      <c r="A2" s="958" t="s">
        <v>481</v>
      </c>
      <c r="B2" s="958"/>
      <c r="C2" s="958"/>
      <c r="D2" s="958"/>
      <c r="E2" s="958"/>
      <c r="F2" s="958"/>
      <c r="G2" s="958"/>
      <c r="H2" s="958"/>
      <c r="I2" s="958"/>
      <c r="J2" s="958"/>
      <c r="K2" s="958"/>
      <c r="L2" s="95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row>
    <row r="3" spans="1:52" ht="18" x14ac:dyDescent="0.25">
      <c r="A3" s="959" t="s">
        <v>482</v>
      </c>
      <c r="B3" s="959"/>
      <c r="C3" s="959"/>
      <c r="D3" s="959"/>
      <c r="E3" s="959"/>
      <c r="F3" s="959"/>
      <c r="G3" s="959"/>
      <c r="H3" s="959"/>
      <c r="I3" s="959"/>
      <c r="J3" s="959"/>
      <c r="K3" s="959"/>
      <c r="L3" s="959"/>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x14ac:dyDescent="0.25">
      <c r="A4" s="101"/>
      <c r="B4" s="96"/>
      <c r="C4" s="96"/>
      <c r="D4" s="96"/>
      <c r="E4" s="96"/>
      <c r="F4" s="96"/>
      <c r="G4" s="96"/>
      <c r="H4" s="97"/>
      <c r="I4" s="96"/>
      <c r="J4" s="96"/>
      <c r="K4" s="96"/>
      <c r="L4" s="96"/>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row>
    <row r="5" spans="1:52" ht="18" x14ac:dyDescent="0.25">
      <c r="A5" s="960" t="s">
        <v>483</v>
      </c>
      <c r="B5" s="960"/>
      <c r="C5" s="960"/>
      <c r="D5" s="960"/>
      <c r="E5" s="960"/>
      <c r="F5" s="960"/>
      <c r="G5" s="960"/>
      <c r="H5" s="960"/>
      <c r="I5" s="960"/>
      <c r="J5" s="960"/>
      <c r="K5" s="960"/>
      <c r="L5" s="960"/>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row>
    <row r="6" spans="1:52" ht="18" x14ac:dyDescent="0.25">
      <c r="A6" s="958" t="s">
        <v>528</v>
      </c>
      <c r="B6" s="958"/>
      <c r="C6" s="958"/>
      <c r="D6" s="958"/>
      <c r="E6" s="958"/>
      <c r="F6" s="958"/>
      <c r="G6" s="958"/>
      <c r="H6" s="958"/>
      <c r="I6" s="958"/>
      <c r="J6" s="958"/>
      <c r="K6" s="958"/>
      <c r="L6" s="95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row>
    <row r="7" spans="1:52" ht="18" x14ac:dyDescent="0.25">
      <c r="A7" s="296"/>
      <c r="B7" s="296"/>
      <c r="C7" s="296"/>
      <c r="D7" s="296"/>
      <c r="E7" s="296"/>
      <c r="F7" s="296"/>
      <c r="G7" s="296"/>
      <c r="H7" s="296"/>
      <c r="I7" s="296"/>
      <c r="J7" s="296"/>
      <c r="K7" s="296"/>
      <c r="L7" s="296"/>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row>
    <row r="8" spans="1:52" ht="18" x14ac:dyDescent="0.25">
      <c r="A8" s="296"/>
      <c r="B8" s="296"/>
      <c r="C8" s="296"/>
      <c r="D8" s="296"/>
      <c r="E8" s="296"/>
      <c r="F8" s="296"/>
      <c r="G8" s="296"/>
      <c r="H8" s="296"/>
      <c r="I8" s="296"/>
      <c r="J8" s="296"/>
      <c r="K8" s="296"/>
      <c r="L8" s="296"/>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row>
    <row r="9" spans="1:52" x14ac:dyDescent="0.25">
      <c r="A9" s="961" t="s">
        <v>3376</v>
      </c>
      <c r="B9" s="961"/>
      <c r="C9" s="961"/>
      <c r="D9" s="961"/>
      <c r="E9" s="961"/>
      <c r="F9" s="961"/>
      <c r="G9" s="961"/>
      <c r="H9" s="961"/>
      <c r="I9" s="961"/>
      <c r="J9" s="961"/>
      <c r="K9" s="961"/>
      <c r="L9" s="961"/>
      <c r="M9" s="961"/>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row>
    <row r="10" spans="1:52" ht="18" x14ac:dyDescent="0.25">
      <c r="A10" s="297"/>
      <c r="B10" s="297"/>
      <c r="C10" s="297"/>
      <c r="D10" s="297"/>
      <c r="E10" s="297"/>
      <c r="F10" s="296"/>
      <c r="G10" s="296"/>
      <c r="H10" s="296"/>
      <c r="I10" s="296"/>
      <c r="J10" s="296"/>
      <c r="K10" s="296"/>
      <c r="L10" s="296"/>
      <c r="M10" s="296"/>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row>
    <row r="11" spans="1:52" x14ac:dyDescent="0.25">
      <c r="A11" s="961" t="s">
        <v>951</v>
      </c>
      <c r="B11" s="961"/>
      <c r="C11" s="961"/>
      <c r="D11" s="961"/>
      <c r="E11" s="961"/>
      <c r="F11" s="961"/>
      <c r="G11" s="961"/>
      <c r="H11" s="961"/>
      <c r="I11" s="961"/>
      <c r="J11" s="961"/>
      <c r="K11" s="961"/>
      <c r="L11" s="961"/>
      <c r="M11" s="961"/>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row>
    <row r="12" spans="1:52" ht="18" x14ac:dyDescent="0.25">
      <c r="A12" s="296"/>
      <c r="B12" s="296"/>
      <c r="C12" s="296"/>
      <c r="D12" s="296"/>
      <c r="E12" s="296"/>
      <c r="F12" s="296"/>
      <c r="G12" s="296"/>
      <c r="H12" s="296"/>
      <c r="I12" s="296"/>
      <c r="J12" s="296"/>
      <c r="K12" s="296"/>
      <c r="L12" s="296"/>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row>
    <row r="13" spans="1:52" x14ac:dyDescent="0.25">
      <c r="A13" s="96"/>
      <c r="B13" s="96"/>
      <c r="C13" s="96"/>
      <c r="D13" s="96"/>
      <c r="E13" s="96"/>
      <c r="F13" s="96"/>
      <c r="G13" s="96"/>
      <c r="H13" s="97"/>
      <c r="I13" s="96"/>
      <c r="J13" s="96"/>
      <c r="K13" s="96"/>
      <c r="L13" s="96"/>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row>
    <row r="14" spans="1:52" x14ac:dyDescent="0.25">
      <c r="A14" s="914" t="s">
        <v>62</v>
      </c>
      <c r="B14" s="914" t="s">
        <v>63</v>
      </c>
      <c r="C14" s="894" t="s">
        <v>0</v>
      </c>
      <c r="D14" s="894" t="s">
        <v>1</v>
      </c>
      <c r="E14" s="894" t="s">
        <v>2</v>
      </c>
      <c r="F14" s="894" t="s">
        <v>3</v>
      </c>
      <c r="G14" s="894" t="s">
        <v>64</v>
      </c>
      <c r="H14" s="894" t="s">
        <v>65</v>
      </c>
      <c r="I14" s="894" t="s">
        <v>66</v>
      </c>
      <c r="J14" s="894" t="s">
        <v>67</v>
      </c>
      <c r="K14" s="894" t="s">
        <v>480</v>
      </c>
      <c r="L14" s="894" t="s">
        <v>521</v>
      </c>
      <c r="M14" s="1064" t="s">
        <v>529</v>
      </c>
      <c r="N14" s="1063" t="s">
        <v>66</v>
      </c>
      <c r="O14" s="1063"/>
      <c r="P14" s="1063" t="s">
        <v>3377</v>
      </c>
      <c r="Q14" s="1063" t="s">
        <v>484</v>
      </c>
      <c r="R14" s="1063"/>
      <c r="S14" s="1063"/>
      <c r="T14" s="1063"/>
      <c r="U14" s="1063"/>
      <c r="V14" s="1063"/>
      <c r="W14" s="1063"/>
      <c r="X14" s="1063"/>
      <c r="Y14" s="1063"/>
      <c r="Z14" s="1063"/>
      <c r="AA14" s="1063"/>
      <c r="AB14" s="1063"/>
      <c r="AC14" s="1063"/>
      <c r="AD14" s="1063"/>
      <c r="AE14" s="1063" t="s">
        <v>485</v>
      </c>
      <c r="AF14" s="1063" t="s">
        <v>3378</v>
      </c>
      <c r="AG14" s="1063" t="s">
        <v>952</v>
      </c>
      <c r="AH14" s="1064" t="s">
        <v>511</v>
      </c>
      <c r="AI14" s="1063" t="s">
        <v>486</v>
      </c>
      <c r="AJ14" s="1063" t="s">
        <v>3451</v>
      </c>
      <c r="AK14" s="1063" t="s">
        <v>487</v>
      </c>
      <c r="AL14" s="1060" t="s">
        <v>524</v>
      </c>
      <c r="AM14" s="1060"/>
      <c r="AN14" s="1060"/>
      <c r="AO14" s="1060"/>
      <c r="AP14" s="1060"/>
      <c r="AQ14" s="1060"/>
      <c r="AR14" s="1060"/>
      <c r="AS14" s="1060"/>
      <c r="AT14" s="1060"/>
      <c r="AU14" s="1060"/>
      <c r="AV14" s="1060"/>
      <c r="AW14" s="1060"/>
      <c r="AX14" s="1060" t="s">
        <v>512</v>
      </c>
      <c r="AY14" s="1061" t="s">
        <v>488</v>
      </c>
      <c r="AZ14" s="914" t="s">
        <v>3379</v>
      </c>
    </row>
    <row r="15" spans="1:52" ht="91.5" customHeight="1" x14ac:dyDescent="0.25">
      <c r="A15" s="915"/>
      <c r="B15" s="915"/>
      <c r="C15" s="895"/>
      <c r="D15" s="895"/>
      <c r="E15" s="895"/>
      <c r="F15" s="895"/>
      <c r="G15" s="895"/>
      <c r="H15" s="895"/>
      <c r="I15" s="895"/>
      <c r="J15" s="895"/>
      <c r="K15" s="895"/>
      <c r="L15" s="895"/>
      <c r="M15" s="1065"/>
      <c r="N15" s="854" t="s">
        <v>489</v>
      </c>
      <c r="O15" s="854" t="s">
        <v>530</v>
      </c>
      <c r="P15" s="1063"/>
      <c r="Q15" s="855" t="s">
        <v>490</v>
      </c>
      <c r="R15" s="855" t="s">
        <v>491</v>
      </c>
      <c r="S15" s="855" t="s">
        <v>492</v>
      </c>
      <c r="T15" s="855" t="s">
        <v>522</v>
      </c>
      <c r="U15" s="855" t="s">
        <v>493</v>
      </c>
      <c r="V15" s="855" t="s">
        <v>3380</v>
      </c>
      <c r="W15" s="855" t="s">
        <v>3381</v>
      </c>
      <c r="X15" s="855" t="s">
        <v>496</v>
      </c>
      <c r="Y15" s="855" t="s">
        <v>497</v>
      </c>
      <c r="Z15" s="855" t="s">
        <v>523</v>
      </c>
      <c r="AA15" s="855" t="s">
        <v>498</v>
      </c>
      <c r="AB15" s="855" t="s">
        <v>499</v>
      </c>
      <c r="AC15" s="855" t="s">
        <v>500</v>
      </c>
      <c r="AD15" s="855" t="s">
        <v>501</v>
      </c>
      <c r="AE15" s="1063"/>
      <c r="AF15" s="1063"/>
      <c r="AG15" s="1063"/>
      <c r="AH15" s="1065"/>
      <c r="AI15" s="1063"/>
      <c r="AJ15" s="1063"/>
      <c r="AK15" s="1066"/>
      <c r="AL15" s="856" t="s">
        <v>502</v>
      </c>
      <c r="AM15" s="856" t="s">
        <v>503</v>
      </c>
      <c r="AN15" s="856" t="s">
        <v>504</v>
      </c>
      <c r="AO15" s="856" t="s">
        <v>505</v>
      </c>
      <c r="AP15" s="856" t="s">
        <v>504</v>
      </c>
      <c r="AQ15" s="856" t="s">
        <v>506</v>
      </c>
      <c r="AR15" s="856" t="s">
        <v>506</v>
      </c>
      <c r="AS15" s="856" t="s">
        <v>505</v>
      </c>
      <c r="AT15" s="856" t="s">
        <v>507</v>
      </c>
      <c r="AU15" s="856" t="s">
        <v>508</v>
      </c>
      <c r="AV15" s="856" t="s">
        <v>509</v>
      </c>
      <c r="AW15" s="856" t="s">
        <v>510</v>
      </c>
      <c r="AX15" s="1060"/>
      <c r="AY15" s="1062"/>
      <c r="AZ15" s="915"/>
    </row>
    <row r="16" spans="1:52" ht="135" x14ac:dyDescent="0.25">
      <c r="A16" s="293" t="s">
        <v>1276</v>
      </c>
      <c r="B16" s="413" t="s">
        <v>1277</v>
      </c>
      <c r="C16" s="944" t="s">
        <v>3382</v>
      </c>
      <c r="D16" s="944" t="s">
        <v>3383</v>
      </c>
      <c r="E16" s="936" t="s">
        <v>3384</v>
      </c>
      <c r="F16" s="413" t="s">
        <v>3385</v>
      </c>
      <c r="G16" s="936" t="s">
        <v>3386</v>
      </c>
      <c r="H16" s="413" t="s">
        <v>3387</v>
      </c>
      <c r="I16" s="413" t="s">
        <v>3388</v>
      </c>
      <c r="J16" s="294">
        <v>11</v>
      </c>
      <c r="K16" s="294" t="s">
        <v>526</v>
      </c>
      <c r="L16" s="421">
        <v>11</v>
      </c>
      <c r="M16" s="294">
        <v>4</v>
      </c>
      <c r="N16" s="413" t="s">
        <v>3416</v>
      </c>
      <c r="O16" s="243">
        <v>7</v>
      </c>
      <c r="P16" s="423">
        <v>26900</v>
      </c>
      <c r="Q16" s="243">
        <v>26900</v>
      </c>
      <c r="R16" s="243"/>
      <c r="S16" s="243"/>
      <c r="T16" s="243"/>
      <c r="U16" s="243"/>
      <c r="V16" s="243"/>
      <c r="W16" s="243"/>
      <c r="X16" s="243"/>
      <c r="Y16" s="243"/>
      <c r="Z16" s="243"/>
      <c r="AA16" s="243"/>
      <c r="AB16" s="243"/>
      <c r="AC16" s="243"/>
      <c r="AD16" s="243"/>
      <c r="AE16" s="243"/>
      <c r="AF16" s="243"/>
      <c r="AG16" s="243">
        <v>42</v>
      </c>
      <c r="AH16" s="243"/>
      <c r="AI16" s="243">
        <v>1300000</v>
      </c>
      <c r="AJ16" s="243"/>
      <c r="AK16" s="243"/>
      <c r="AL16" s="243" t="s">
        <v>554</v>
      </c>
      <c r="AM16" s="243" t="s">
        <v>554</v>
      </c>
      <c r="AN16" s="243" t="s">
        <v>554</v>
      </c>
      <c r="AO16" s="243" t="s">
        <v>554</v>
      </c>
      <c r="AP16" s="243"/>
      <c r="AQ16" s="243" t="s">
        <v>554</v>
      </c>
      <c r="AR16" s="243" t="s">
        <v>554</v>
      </c>
      <c r="AS16" s="243" t="s">
        <v>554</v>
      </c>
      <c r="AT16" s="243"/>
      <c r="AU16" s="243"/>
      <c r="AV16" s="243"/>
      <c r="AW16" s="243"/>
      <c r="AX16" s="505" t="s">
        <v>3389</v>
      </c>
      <c r="AY16" s="243"/>
      <c r="AZ16" s="293" t="s">
        <v>3390</v>
      </c>
    </row>
    <row r="17" spans="1:52" ht="165" x14ac:dyDescent="0.25">
      <c r="A17" s="293" t="s">
        <v>1276</v>
      </c>
      <c r="B17" s="413" t="s">
        <v>1277</v>
      </c>
      <c r="C17" s="944"/>
      <c r="D17" s="944"/>
      <c r="E17" s="947"/>
      <c r="F17" s="413" t="s">
        <v>3385</v>
      </c>
      <c r="G17" s="937"/>
      <c r="H17" s="413" t="s">
        <v>3391</v>
      </c>
      <c r="I17" s="413" t="s">
        <v>3392</v>
      </c>
      <c r="J17" s="294">
        <v>0</v>
      </c>
      <c r="K17" s="294" t="s">
        <v>527</v>
      </c>
      <c r="L17" s="443">
        <v>0.1</v>
      </c>
      <c r="M17" s="443">
        <v>0.1</v>
      </c>
      <c r="N17" s="413" t="s">
        <v>3391</v>
      </c>
      <c r="O17" s="857">
        <v>7.0000000000000007E-2</v>
      </c>
      <c r="P17" s="423">
        <v>10000</v>
      </c>
      <c r="Q17" s="423">
        <v>10000</v>
      </c>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t="s">
        <v>554</v>
      </c>
      <c r="AU17" s="243" t="s">
        <v>554</v>
      </c>
      <c r="AV17" s="243" t="s">
        <v>554</v>
      </c>
      <c r="AW17" s="243" t="s">
        <v>554</v>
      </c>
      <c r="AX17" s="128" t="s">
        <v>3393</v>
      </c>
      <c r="AY17" s="243"/>
      <c r="AZ17" s="293" t="s">
        <v>3390</v>
      </c>
    </row>
    <row r="18" spans="1:52" ht="135" x14ac:dyDescent="0.25">
      <c r="A18" s="293" t="s">
        <v>1276</v>
      </c>
      <c r="B18" s="413" t="s">
        <v>1277</v>
      </c>
      <c r="C18" s="944"/>
      <c r="D18" s="944"/>
      <c r="E18" s="947"/>
      <c r="F18" s="413" t="s">
        <v>3385</v>
      </c>
      <c r="G18" s="293" t="s">
        <v>3394</v>
      </c>
      <c r="H18" s="294" t="s">
        <v>3395</v>
      </c>
      <c r="I18" s="413" t="s">
        <v>3396</v>
      </c>
      <c r="J18" s="295">
        <v>8</v>
      </c>
      <c r="K18" s="294" t="s">
        <v>526</v>
      </c>
      <c r="L18" s="390">
        <v>19</v>
      </c>
      <c r="M18" s="295">
        <v>2</v>
      </c>
      <c r="N18" s="294" t="s">
        <v>3397</v>
      </c>
      <c r="O18" s="243">
        <v>17</v>
      </c>
      <c r="P18" s="423">
        <v>18000</v>
      </c>
      <c r="Q18" s="423">
        <v>18000</v>
      </c>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t="s">
        <v>554</v>
      </c>
      <c r="AP18" s="243"/>
      <c r="AQ18" s="243"/>
      <c r="AR18" s="243"/>
      <c r="AS18" s="243"/>
      <c r="AT18" s="243"/>
      <c r="AU18" s="243" t="s">
        <v>554</v>
      </c>
      <c r="AV18" s="243"/>
      <c r="AW18" s="243"/>
      <c r="AX18" s="128" t="s">
        <v>3389</v>
      </c>
      <c r="AY18" s="243"/>
      <c r="AZ18" s="293" t="s">
        <v>3390</v>
      </c>
    </row>
    <row r="19" spans="1:52" ht="195" x14ac:dyDescent="0.25">
      <c r="A19" s="293" t="s">
        <v>1276</v>
      </c>
      <c r="B19" s="413" t="s">
        <v>1277</v>
      </c>
      <c r="C19" s="944"/>
      <c r="D19" s="944"/>
      <c r="E19" s="937"/>
      <c r="F19" s="413" t="s">
        <v>3385</v>
      </c>
      <c r="G19" s="460" t="s">
        <v>3398</v>
      </c>
      <c r="H19" s="413" t="s">
        <v>3399</v>
      </c>
      <c r="I19" s="413" t="s">
        <v>3400</v>
      </c>
      <c r="J19" s="294">
        <v>0</v>
      </c>
      <c r="K19" s="294" t="s">
        <v>526</v>
      </c>
      <c r="L19" s="421">
        <v>1</v>
      </c>
      <c r="M19" s="294">
        <v>1</v>
      </c>
      <c r="N19" s="413" t="s">
        <v>3414</v>
      </c>
      <c r="O19" s="243">
        <v>0</v>
      </c>
      <c r="P19" s="423">
        <v>4800000</v>
      </c>
      <c r="Q19" s="243"/>
      <c r="R19" s="243"/>
      <c r="S19" s="243"/>
      <c r="T19" s="243"/>
      <c r="U19" s="502">
        <v>3000000</v>
      </c>
      <c r="V19" s="243"/>
      <c r="W19" s="243"/>
      <c r="X19" s="243"/>
      <c r="Y19" s="243"/>
      <c r="Z19" s="243"/>
      <c r="AA19" s="243"/>
      <c r="AB19" s="502">
        <v>1800000</v>
      </c>
      <c r="AC19" s="243"/>
      <c r="AD19" s="243"/>
      <c r="AE19" s="243"/>
      <c r="AF19" s="243"/>
      <c r="AG19" s="243"/>
      <c r="AH19" s="243"/>
      <c r="AI19" s="243"/>
      <c r="AJ19" s="243"/>
      <c r="AK19" s="243"/>
      <c r="AL19" s="243" t="s">
        <v>554</v>
      </c>
      <c r="AM19" s="243" t="s">
        <v>554</v>
      </c>
      <c r="AN19" s="243" t="s">
        <v>554</v>
      </c>
      <c r="AO19" s="243" t="s">
        <v>554</v>
      </c>
      <c r="AP19" s="243" t="s">
        <v>554</v>
      </c>
      <c r="AQ19" s="243" t="s">
        <v>554</v>
      </c>
      <c r="AR19" s="243" t="s">
        <v>554</v>
      </c>
      <c r="AS19" s="243" t="s">
        <v>554</v>
      </c>
      <c r="AT19" s="243" t="s">
        <v>554</v>
      </c>
      <c r="AU19" s="243" t="s">
        <v>554</v>
      </c>
      <c r="AV19" s="243" t="s">
        <v>554</v>
      </c>
      <c r="AW19" s="243" t="s">
        <v>554</v>
      </c>
      <c r="AX19" s="243" t="s">
        <v>3401</v>
      </c>
      <c r="AY19" s="243"/>
      <c r="AZ19" s="293" t="s">
        <v>3390</v>
      </c>
    </row>
    <row r="20" spans="1:52" ht="150" x14ac:dyDescent="0.25">
      <c r="A20" s="293" t="s">
        <v>1276</v>
      </c>
      <c r="B20" s="413" t="s">
        <v>1277</v>
      </c>
      <c r="C20" s="413" t="s">
        <v>3402</v>
      </c>
      <c r="D20" s="293" t="s">
        <v>3403</v>
      </c>
      <c r="E20" s="295">
        <v>0.71</v>
      </c>
      <c r="F20" s="413" t="s">
        <v>3404</v>
      </c>
      <c r="G20" s="460" t="s">
        <v>3405</v>
      </c>
      <c r="H20" s="413" t="s">
        <v>3406</v>
      </c>
      <c r="I20" s="413" t="s">
        <v>3407</v>
      </c>
      <c r="J20" s="294">
        <v>120</v>
      </c>
      <c r="K20" s="294" t="s">
        <v>526</v>
      </c>
      <c r="L20" s="421">
        <v>100</v>
      </c>
      <c r="M20" s="294">
        <v>20</v>
      </c>
      <c r="N20" s="413" t="s">
        <v>3415</v>
      </c>
      <c r="O20" s="243">
        <v>70</v>
      </c>
      <c r="P20" s="423">
        <v>206000</v>
      </c>
      <c r="Q20" s="502">
        <v>100000</v>
      </c>
      <c r="R20" s="502"/>
      <c r="S20" s="502"/>
      <c r="T20" s="502"/>
      <c r="U20" s="502"/>
      <c r="V20" s="502"/>
      <c r="W20" s="502"/>
      <c r="X20" s="502"/>
      <c r="Y20" s="502"/>
      <c r="Z20" s="502"/>
      <c r="AA20" s="502"/>
      <c r="AB20" s="502">
        <v>106000</v>
      </c>
      <c r="AC20" s="243"/>
      <c r="AD20" s="243"/>
      <c r="AE20" s="243"/>
      <c r="AF20" s="243"/>
      <c r="AG20" s="243"/>
      <c r="AH20" s="243"/>
      <c r="AI20" s="243"/>
      <c r="AJ20" s="243"/>
      <c r="AK20" s="243"/>
      <c r="AL20" s="243" t="s">
        <v>554</v>
      </c>
      <c r="AM20" s="243" t="s">
        <v>554</v>
      </c>
      <c r="AN20" s="243" t="s">
        <v>554</v>
      </c>
      <c r="AO20" s="243" t="s">
        <v>554</v>
      </c>
      <c r="AP20" s="243" t="s">
        <v>554</v>
      </c>
      <c r="AQ20" s="243" t="s">
        <v>554</v>
      </c>
      <c r="AR20" s="243" t="s">
        <v>554</v>
      </c>
      <c r="AS20" s="243" t="s">
        <v>554</v>
      </c>
      <c r="AT20" s="243" t="s">
        <v>554</v>
      </c>
      <c r="AU20" s="243" t="s">
        <v>554</v>
      </c>
      <c r="AV20" s="243" t="s">
        <v>554</v>
      </c>
      <c r="AW20" s="243" t="s">
        <v>554</v>
      </c>
      <c r="AX20" s="128" t="s">
        <v>3389</v>
      </c>
      <c r="AY20" s="243"/>
      <c r="AZ20" s="293" t="s">
        <v>3390</v>
      </c>
    </row>
    <row r="21" spans="1:52" ht="409.5" x14ac:dyDescent="0.25">
      <c r="A21" s="293" t="s">
        <v>1276</v>
      </c>
      <c r="B21" s="413" t="s">
        <v>1277</v>
      </c>
      <c r="C21" s="292"/>
      <c r="D21" s="292"/>
      <c r="E21" s="292"/>
      <c r="F21" s="413" t="s">
        <v>3408</v>
      </c>
      <c r="G21" s="292" t="s">
        <v>3409</v>
      </c>
      <c r="H21" s="294" t="s">
        <v>3410</v>
      </c>
      <c r="I21" s="294" t="s">
        <v>3411</v>
      </c>
      <c r="J21" s="438" t="s">
        <v>3412</v>
      </c>
      <c r="K21" s="294" t="s">
        <v>527</v>
      </c>
      <c r="L21" s="438">
        <v>1</v>
      </c>
      <c r="M21" s="294">
        <v>1</v>
      </c>
      <c r="N21" s="294" t="s">
        <v>3410</v>
      </c>
      <c r="O21" s="243">
        <v>1</v>
      </c>
      <c r="P21" s="423">
        <v>140000000</v>
      </c>
      <c r="Q21" s="502">
        <v>140000000</v>
      </c>
      <c r="R21" s="243"/>
      <c r="S21" s="243"/>
      <c r="T21" s="243"/>
      <c r="U21" s="243"/>
      <c r="V21" s="243"/>
      <c r="W21" s="243"/>
      <c r="X21" s="243"/>
      <c r="Y21" s="243"/>
      <c r="Z21" s="243"/>
      <c r="AA21" s="243"/>
      <c r="AB21" s="243"/>
      <c r="AC21" s="243"/>
      <c r="AD21" s="243"/>
      <c r="AE21" s="243"/>
      <c r="AF21" s="243"/>
      <c r="AG21" s="243"/>
      <c r="AH21" s="243"/>
      <c r="AI21" s="243"/>
      <c r="AJ21" s="243"/>
      <c r="AK21" s="243"/>
      <c r="AL21" s="243" t="s">
        <v>554</v>
      </c>
      <c r="AM21" s="243" t="s">
        <v>554</v>
      </c>
      <c r="AN21" s="243" t="s">
        <v>554</v>
      </c>
      <c r="AO21" s="243" t="s">
        <v>554</v>
      </c>
      <c r="AP21" s="243" t="s">
        <v>554</v>
      </c>
      <c r="AQ21" s="243" t="s">
        <v>554</v>
      </c>
      <c r="AR21" s="243" t="s">
        <v>554</v>
      </c>
      <c r="AS21" s="243" t="s">
        <v>554</v>
      </c>
      <c r="AT21" s="243" t="s">
        <v>554</v>
      </c>
      <c r="AU21" s="243" t="s">
        <v>554</v>
      </c>
      <c r="AV21" s="243" t="s">
        <v>554</v>
      </c>
      <c r="AW21" s="243" t="s">
        <v>554</v>
      </c>
      <c r="AX21" s="128" t="s">
        <v>3413</v>
      </c>
      <c r="AY21" s="243"/>
      <c r="AZ21" s="293" t="s">
        <v>3390</v>
      </c>
    </row>
  </sheetData>
  <sheetProtection password="DFEF" sheet="1" objects="1" scenarios="1" autoFilter="0"/>
  <mergeCells count="37">
    <mergeCell ref="F14:F15"/>
    <mergeCell ref="A2:L2"/>
    <mergeCell ref="A3:L3"/>
    <mergeCell ref="A5:L5"/>
    <mergeCell ref="A6:L6"/>
    <mergeCell ref="A9:M9"/>
    <mergeCell ref="A11:M11"/>
    <mergeCell ref="A14:A15"/>
    <mergeCell ref="B14:B15"/>
    <mergeCell ref="C14:C15"/>
    <mergeCell ref="D14:D15"/>
    <mergeCell ref="E14:E15"/>
    <mergeCell ref="Q14:AD14"/>
    <mergeCell ref="AE14:AE15"/>
    <mergeCell ref="AF14:AF15"/>
    <mergeCell ref="G14:G15"/>
    <mergeCell ref="H14:H15"/>
    <mergeCell ref="I14:I15"/>
    <mergeCell ref="J14:J15"/>
    <mergeCell ref="K14:K15"/>
    <mergeCell ref="L14:L15"/>
    <mergeCell ref="AX14:AX15"/>
    <mergeCell ref="AY14:AY15"/>
    <mergeCell ref="AZ14:AZ15"/>
    <mergeCell ref="C16:C19"/>
    <mergeCell ref="D16:D19"/>
    <mergeCell ref="E16:E19"/>
    <mergeCell ref="G16:G17"/>
    <mergeCell ref="AG14:AG15"/>
    <mergeCell ref="AH14:AH15"/>
    <mergeCell ref="AI14:AI15"/>
    <mergeCell ref="AJ14:AJ15"/>
    <mergeCell ref="AK14:AK15"/>
    <mergeCell ref="AL14:AW14"/>
    <mergeCell ref="M14:M15"/>
    <mergeCell ref="N14:O14"/>
    <mergeCell ref="P14:P15"/>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9"/>
  <sheetViews>
    <sheetView topLeftCell="A11" workbookViewId="0">
      <selection activeCell="G16" sqref="G16:G19"/>
    </sheetView>
  </sheetViews>
  <sheetFormatPr baseColWidth="10" defaultRowHeight="15" x14ac:dyDescent="0.25"/>
  <cols>
    <col min="38" max="49" width="6.7109375" customWidth="1"/>
  </cols>
  <sheetData>
    <row r="1" spans="1:51" x14ac:dyDescent="0.25">
      <c r="A1" s="96"/>
      <c r="B1" s="96"/>
      <c r="C1" s="96"/>
      <c r="D1" s="96"/>
      <c r="E1" s="96"/>
      <c r="F1" s="96"/>
      <c r="G1" s="96"/>
      <c r="H1" s="97"/>
      <c r="I1" s="96"/>
      <c r="J1" s="96"/>
      <c r="K1" s="96"/>
      <c r="L1" s="96"/>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row>
    <row r="2" spans="1:51" ht="18" x14ac:dyDescent="0.25">
      <c r="A2" s="958" t="s">
        <v>481</v>
      </c>
      <c r="B2" s="958"/>
      <c r="C2" s="958"/>
      <c r="D2" s="958"/>
      <c r="E2" s="958"/>
      <c r="F2" s="958"/>
      <c r="G2" s="958"/>
      <c r="H2" s="958"/>
      <c r="I2" s="958"/>
      <c r="J2" s="958"/>
      <c r="K2" s="958"/>
      <c r="L2" s="95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row>
    <row r="3" spans="1:51" ht="18" x14ac:dyDescent="0.25">
      <c r="A3" s="959" t="s">
        <v>482</v>
      </c>
      <c r="B3" s="959"/>
      <c r="C3" s="959"/>
      <c r="D3" s="959"/>
      <c r="E3" s="959"/>
      <c r="F3" s="959"/>
      <c r="G3" s="959"/>
      <c r="H3" s="959"/>
      <c r="I3" s="959"/>
      <c r="J3" s="959"/>
      <c r="K3" s="959"/>
      <c r="L3" s="959"/>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row>
    <row r="4" spans="1:51" x14ac:dyDescent="0.25">
      <c r="A4" s="101"/>
      <c r="B4" s="96"/>
      <c r="C4" s="96"/>
      <c r="D4" s="96"/>
      <c r="E4" s="96"/>
      <c r="F4" s="96"/>
      <c r="G4" s="96"/>
      <c r="H4" s="97"/>
      <c r="I4" s="96"/>
      <c r="J4" s="96"/>
      <c r="K4" s="96"/>
      <c r="L4" s="96"/>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row>
    <row r="5" spans="1:51" ht="18" x14ac:dyDescent="0.25">
      <c r="A5" s="960" t="s">
        <v>483</v>
      </c>
      <c r="B5" s="960"/>
      <c r="C5" s="960"/>
      <c r="D5" s="960"/>
      <c r="E5" s="960"/>
      <c r="F5" s="960"/>
      <c r="G5" s="960"/>
      <c r="H5" s="960"/>
      <c r="I5" s="960"/>
      <c r="J5" s="960"/>
      <c r="K5" s="960"/>
      <c r="L5" s="960"/>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row>
    <row r="6" spans="1:51" ht="18" x14ac:dyDescent="0.25">
      <c r="A6" s="958" t="s">
        <v>528</v>
      </c>
      <c r="B6" s="958"/>
      <c r="C6" s="958"/>
      <c r="D6" s="958"/>
      <c r="E6" s="958"/>
      <c r="F6" s="958"/>
      <c r="G6" s="958"/>
      <c r="H6" s="958"/>
      <c r="I6" s="958"/>
      <c r="J6" s="958"/>
      <c r="K6" s="958"/>
      <c r="L6" s="95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row>
    <row r="7" spans="1:51" ht="18" x14ac:dyDescent="0.25">
      <c r="A7" s="296"/>
      <c r="B7" s="296"/>
      <c r="C7" s="296"/>
      <c r="D7" s="296"/>
      <c r="E7" s="296"/>
      <c r="F7" s="296"/>
      <c r="G7" s="296"/>
      <c r="H7" s="296"/>
      <c r="I7" s="296"/>
      <c r="J7" s="296"/>
      <c r="K7" s="296"/>
      <c r="L7" s="296"/>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row>
    <row r="8" spans="1:51" ht="18" x14ac:dyDescent="0.25">
      <c r="A8" s="296"/>
      <c r="B8" s="296"/>
      <c r="C8" s="296"/>
      <c r="D8" s="296"/>
      <c r="E8" s="296"/>
      <c r="F8" s="296"/>
      <c r="G8" s="296"/>
      <c r="H8" s="296"/>
      <c r="I8" s="296"/>
      <c r="J8" s="296"/>
      <c r="K8" s="296"/>
      <c r="L8" s="296"/>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row>
    <row r="9" spans="1:51" x14ac:dyDescent="0.25">
      <c r="A9" s="961" t="s">
        <v>3417</v>
      </c>
      <c r="B9" s="961"/>
      <c r="C9" s="961"/>
      <c r="D9" s="961"/>
      <c r="E9" s="961"/>
      <c r="F9" s="961"/>
      <c r="G9" s="961"/>
      <c r="H9" s="961"/>
      <c r="I9" s="961"/>
      <c r="J9" s="961"/>
      <c r="K9" s="961"/>
      <c r="L9" s="961"/>
      <c r="M9" s="961"/>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row>
    <row r="10" spans="1:51" ht="18" x14ac:dyDescent="0.25">
      <c r="A10" s="297"/>
      <c r="B10" s="297"/>
      <c r="C10" s="297"/>
      <c r="D10" s="297"/>
      <c r="E10" s="297"/>
      <c r="F10" s="296"/>
      <c r="G10" s="296"/>
      <c r="H10" s="296"/>
      <c r="I10" s="296"/>
      <c r="J10" s="296"/>
      <c r="K10" s="296"/>
      <c r="L10" s="296"/>
      <c r="M10" s="296"/>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row>
    <row r="11" spans="1:51" x14ac:dyDescent="0.25">
      <c r="A11" s="961" t="s">
        <v>951</v>
      </c>
      <c r="B11" s="961"/>
      <c r="C11" s="961"/>
      <c r="D11" s="961"/>
      <c r="E11" s="961"/>
      <c r="F11" s="961"/>
      <c r="G11" s="961"/>
      <c r="H11" s="961"/>
      <c r="I11" s="961"/>
      <c r="J11" s="961"/>
      <c r="K11" s="961"/>
      <c r="L11" s="961"/>
      <c r="M11" s="961"/>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row>
    <row r="12" spans="1:51" ht="18" x14ac:dyDescent="0.25">
      <c r="A12" s="296"/>
      <c r="B12" s="296"/>
      <c r="C12" s="296"/>
      <c r="D12" s="296"/>
      <c r="E12" s="296"/>
      <c r="F12" s="296"/>
      <c r="G12" s="296"/>
      <c r="H12" s="296"/>
      <c r="I12" s="296"/>
      <c r="J12" s="296"/>
      <c r="K12" s="296"/>
      <c r="L12" s="296"/>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row>
    <row r="13" spans="1:51" x14ac:dyDescent="0.25">
      <c r="A13" s="96"/>
      <c r="B13" s="96"/>
      <c r="C13" s="96"/>
      <c r="D13" s="96"/>
      <c r="E13" s="96"/>
      <c r="F13" s="96"/>
      <c r="G13" s="96"/>
      <c r="H13" s="97"/>
      <c r="I13" s="96"/>
      <c r="J13" s="96"/>
      <c r="K13" s="96"/>
      <c r="L13" s="96"/>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row>
    <row r="14" spans="1:51" x14ac:dyDescent="0.25">
      <c r="A14" s="914" t="s">
        <v>62</v>
      </c>
      <c r="B14" s="914" t="s">
        <v>63</v>
      </c>
      <c r="C14" s="894" t="s">
        <v>0</v>
      </c>
      <c r="D14" s="894" t="s">
        <v>1</v>
      </c>
      <c r="E14" s="894" t="s">
        <v>2</v>
      </c>
      <c r="F14" s="894" t="s">
        <v>3</v>
      </c>
      <c r="G14" s="894" t="s">
        <v>64</v>
      </c>
      <c r="H14" s="894" t="s">
        <v>65</v>
      </c>
      <c r="I14" s="894" t="s">
        <v>66</v>
      </c>
      <c r="J14" s="894" t="s">
        <v>67</v>
      </c>
      <c r="K14" s="894" t="s">
        <v>480</v>
      </c>
      <c r="L14" s="894" t="s">
        <v>3418</v>
      </c>
      <c r="M14" s="889" t="s">
        <v>529</v>
      </c>
      <c r="N14" s="1073" t="s">
        <v>66</v>
      </c>
      <c r="O14" s="1073"/>
      <c r="P14" s="1073" t="s">
        <v>532</v>
      </c>
      <c r="Q14" s="1071" t="s">
        <v>484</v>
      </c>
      <c r="R14" s="1071"/>
      <c r="S14" s="1071"/>
      <c r="T14" s="1071"/>
      <c r="U14" s="1071"/>
      <c r="V14" s="1071"/>
      <c r="W14" s="1071"/>
      <c r="X14" s="1071"/>
      <c r="Y14" s="1071"/>
      <c r="Z14" s="1071"/>
      <c r="AA14" s="1071"/>
      <c r="AB14" s="1071"/>
      <c r="AC14" s="1071"/>
      <c r="AD14" s="1071"/>
      <c r="AE14" s="1071" t="s">
        <v>485</v>
      </c>
      <c r="AF14" s="1071" t="s">
        <v>531</v>
      </c>
      <c r="AG14" s="1071" t="s">
        <v>952</v>
      </c>
      <c r="AH14" s="1003" t="s">
        <v>511</v>
      </c>
      <c r="AI14" s="1071" t="s">
        <v>486</v>
      </c>
      <c r="AJ14" s="1071" t="s">
        <v>3451</v>
      </c>
      <c r="AK14" s="1071" t="s">
        <v>487</v>
      </c>
      <c r="AL14" s="1067" t="s">
        <v>3419</v>
      </c>
      <c r="AM14" s="1067"/>
      <c r="AN14" s="1067"/>
      <c r="AO14" s="1067"/>
      <c r="AP14" s="1067"/>
      <c r="AQ14" s="1067"/>
      <c r="AR14" s="1067"/>
      <c r="AS14" s="1067"/>
      <c r="AT14" s="1067"/>
      <c r="AU14" s="1067"/>
      <c r="AV14" s="1067"/>
      <c r="AW14" s="1067"/>
      <c r="AX14" s="1067" t="s">
        <v>512</v>
      </c>
      <c r="AY14" s="1068" t="s">
        <v>488</v>
      </c>
    </row>
    <row r="15" spans="1:51" ht="63.75" x14ac:dyDescent="0.25">
      <c r="A15" s="915"/>
      <c r="B15" s="915"/>
      <c r="C15" s="895"/>
      <c r="D15" s="895"/>
      <c r="E15" s="895"/>
      <c r="F15" s="895"/>
      <c r="G15" s="895"/>
      <c r="H15" s="895"/>
      <c r="I15" s="895"/>
      <c r="J15" s="895"/>
      <c r="K15" s="895"/>
      <c r="L15" s="895"/>
      <c r="M15" s="890"/>
      <c r="N15" s="93" t="s">
        <v>489</v>
      </c>
      <c r="O15" s="93" t="s">
        <v>3420</v>
      </c>
      <c r="P15" s="1073"/>
      <c r="Q15" s="94" t="s">
        <v>490</v>
      </c>
      <c r="R15" s="94" t="s">
        <v>491</v>
      </c>
      <c r="S15" s="94" t="s">
        <v>492</v>
      </c>
      <c r="T15" s="94" t="s">
        <v>3421</v>
      </c>
      <c r="U15" s="94" t="s">
        <v>493</v>
      </c>
      <c r="V15" s="94" t="s">
        <v>494</v>
      </c>
      <c r="W15" s="94" t="s">
        <v>495</v>
      </c>
      <c r="X15" s="94" t="s">
        <v>496</v>
      </c>
      <c r="Y15" s="94" t="s">
        <v>497</v>
      </c>
      <c r="Z15" s="94" t="s">
        <v>3422</v>
      </c>
      <c r="AA15" s="94" t="s">
        <v>498</v>
      </c>
      <c r="AB15" s="94" t="s">
        <v>499</v>
      </c>
      <c r="AC15" s="94" t="s">
        <v>500</v>
      </c>
      <c r="AD15" s="94" t="s">
        <v>501</v>
      </c>
      <c r="AE15" s="1071"/>
      <c r="AF15" s="1071"/>
      <c r="AG15" s="1071"/>
      <c r="AH15" s="1004"/>
      <c r="AI15" s="1071"/>
      <c r="AJ15" s="1071"/>
      <c r="AK15" s="1072"/>
      <c r="AL15" s="465" t="s">
        <v>502</v>
      </c>
      <c r="AM15" s="465" t="s">
        <v>503</v>
      </c>
      <c r="AN15" s="465" t="s">
        <v>504</v>
      </c>
      <c r="AO15" s="465" t="s">
        <v>505</v>
      </c>
      <c r="AP15" s="465" t="s">
        <v>504</v>
      </c>
      <c r="AQ15" s="465" t="s">
        <v>506</v>
      </c>
      <c r="AR15" s="465" t="s">
        <v>506</v>
      </c>
      <c r="AS15" s="465" t="s">
        <v>505</v>
      </c>
      <c r="AT15" s="465" t="s">
        <v>507</v>
      </c>
      <c r="AU15" s="465" t="s">
        <v>508</v>
      </c>
      <c r="AV15" s="465" t="s">
        <v>509</v>
      </c>
      <c r="AW15" s="465" t="s">
        <v>510</v>
      </c>
      <c r="AX15" s="1067"/>
      <c r="AY15" s="1069"/>
    </row>
    <row r="16" spans="1:51" ht="409.5" x14ac:dyDescent="0.25">
      <c r="A16" s="551" t="s">
        <v>1276</v>
      </c>
      <c r="B16" s="103" t="s">
        <v>1277</v>
      </c>
      <c r="C16" s="967" t="s">
        <v>3423</v>
      </c>
      <c r="D16" s="967" t="s">
        <v>3424</v>
      </c>
      <c r="E16" s="1070" t="s">
        <v>3425</v>
      </c>
      <c r="F16" s="103" t="s">
        <v>3426</v>
      </c>
      <c r="G16" s="967" t="s">
        <v>3427</v>
      </c>
      <c r="H16" s="103" t="s">
        <v>3428</v>
      </c>
      <c r="I16" s="103" t="s">
        <v>3429</v>
      </c>
      <c r="J16" s="239">
        <v>0</v>
      </c>
      <c r="K16" s="239" t="s">
        <v>527</v>
      </c>
      <c r="L16" s="239">
        <v>1</v>
      </c>
      <c r="M16" s="225">
        <v>1</v>
      </c>
      <c r="N16" s="103" t="s">
        <v>3429</v>
      </c>
      <c r="O16" s="225">
        <v>0</v>
      </c>
      <c r="P16" s="858">
        <v>790667</v>
      </c>
      <c r="Q16" s="858">
        <v>790667</v>
      </c>
      <c r="R16" s="225"/>
      <c r="S16" s="225"/>
      <c r="T16" s="225"/>
      <c r="U16" s="225"/>
      <c r="V16" s="225"/>
      <c r="W16" s="225"/>
      <c r="X16" s="225"/>
      <c r="Y16" s="225"/>
      <c r="Z16" s="225"/>
      <c r="AA16" s="225"/>
      <c r="AB16" s="225"/>
      <c r="AC16" s="225"/>
      <c r="AD16" s="225"/>
      <c r="AE16" s="225" t="s">
        <v>3430</v>
      </c>
      <c r="AF16" s="225" t="s">
        <v>3431</v>
      </c>
      <c r="AG16" s="225">
        <v>42</v>
      </c>
      <c r="AH16" s="225">
        <v>7</v>
      </c>
      <c r="AI16" s="225">
        <v>1350000</v>
      </c>
      <c r="AJ16" s="858">
        <v>1101271</v>
      </c>
      <c r="AK16" s="256" t="s">
        <v>3432</v>
      </c>
      <c r="AL16" s="225" t="s">
        <v>554</v>
      </c>
      <c r="AM16" s="225" t="s">
        <v>554</v>
      </c>
      <c r="AN16" s="225" t="s">
        <v>554</v>
      </c>
      <c r="AO16" s="225" t="s">
        <v>554</v>
      </c>
      <c r="AP16" s="225" t="s">
        <v>554</v>
      </c>
      <c r="AQ16" s="225" t="s">
        <v>554</v>
      </c>
      <c r="AR16" s="225" t="s">
        <v>554</v>
      </c>
      <c r="AS16" s="225" t="s">
        <v>554</v>
      </c>
      <c r="AT16" s="225" t="s">
        <v>554</v>
      </c>
      <c r="AU16" s="225" t="s">
        <v>554</v>
      </c>
      <c r="AV16" s="225" t="s">
        <v>554</v>
      </c>
      <c r="AW16" s="225" t="s">
        <v>554</v>
      </c>
      <c r="AX16" s="256" t="s">
        <v>3433</v>
      </c>
      <c r="AY16" s="256"/>
    </row>
    <row r="17" spans="1:51" ht="180" x14ac:dyDescent="0.25">
      <c r="A17" s="551" t="s">
        <v>1276</v>
      </c>
      <c r="B17" s="103" t="s">
        <v>1277</v>
      </c>
      <c r="C17" s="967"/>
      <c r="D17" s="967"/>
      <c r="E17" s="1070"/>
      <c r="F17" s="103" t="s">
        <v>3426</v>
      </c>
      <c r="G17" s="967"/>
      <c r="H17" s="103" t="s">
        <v>3434</v>
      </c>
      <c r="I17" s="103" t="s">
        <v>3435</v>
      </c>
      <c r="J17" s="103" t="s">
        <v>3436</v>
      </c>
      <c r="K17" s="239" t="s">
        <v>527</v>
      </c>
      <c r="L17" s="103">
        <v>1</v>
      </c>
      <c r="M17" s="225">
        <v>1</v>
      </c>
      <c r="N17" s="103" t="s">
        <v>3435</v>
      </c>
      <c r="O17" s="103" t="s">
        <v>3436</v>
      </c>
      <c r="P17" s="858">
        <v>4189463</v>
      </c>
      <c r="Q17" s="858">
        <v>4189463</v>
      </c>
      <c r="R17" s="225"/>
      <c r="S17" s="225"/>
      <c r="T17" s="225"/>
      <c r="U17" s="225"/>
      <c r="V17" s="225"/>
      <c r="W17" s="225"/>
      <c r="X17" s="225"/>
      <c r="Y17" s="225"/>
      <c r="Z17" s="225"/>
      <c r="AA17" s="225"/>
      <c r="AB17" s="225"/>
      <c r="AC17" s="225"/>
      <c r="AD17" s="225"/>
      <c r="AE17" s="225" t="s">
        <v>3437</v>
      </c>
      <c r="AF17" s="225">
        <v>0</v>
      </c>
      <c r="AG17" s="225">
        <v>42</v>
      </c>
      <c r="AH17" s="225">
        <v>7</v>
      </c>
      <c r="AI17" s="225">
        <v>1340000</v>
      </c>
      <c r="AJ17" s="225">
        <v>4189463</v>
      </c>
      <c r="AK17" s="256" t="s">
        <v>3438</v>
      </c>
      <c r="AL17" s="225" t="s">
        <v>554</v>
      </c>
      <c r="AM17" s="225" t="s">
        <v>554</v>
      </c>
      <c r="AN17" s="225" t="s">
        <v>554</v>
      </c>
      <c r="AO17" s="225" t="s">
        <v>554</v>
      </c>
      <c r="AP17" s="225" t="s">
        <v>554</v>
      </c>
      <c r="AQ17" s="225" t="s">
        <v>554</v>
      </c>
      <c r="AR17" s="225" t="s">
        <v>554</v>
      </c>
      <c r="AS17" s="225" t="s">
        <v>554</v>
      </c>
      <c r="AT17" s="225" t="s">
        <v>554</v>
      </c>
      <c r="AU17" s="225" t="s">
        <v>554</v>
      </c>
      <c r="AV17" s="225" t="s">
        <v>554</v>
      </c>
      <c r="AW17" s="225" t="s">
        <v>554</v>
      </c>
      <c r="AX17" s="859" t="s">
        <v>3439</v>
      </c>
      <c r="AY17" s="256"/>
    </row>
    <row r="18" spans="1:51" ht="120" x14ac:dyDescent="0.25">
      <c r="A18" s="551" t="s">
        <v>1276</v>
      </c>
      <c r="B18" s="103" t="s">
        <v>1277</v>
      </c>
      <c r="C18" s="967"/>
      <c r="D18" s="967"/>
      <c r="E18" s="1070"/>
      <c r="F18" s="103" t="s">
        <v>3426</v>
      </c>
      <c r="G18" s="967"/>
      <c r="H18" s="103" t="s">
        <v>3440</v>
      </c>
      <c r="I18" s="103" t="s">
        <v>3441</v>
      </c>
      <c r="J18" s="103">
        <v>0</v>
      </c>
      <c r="K18" s="103"/>
      <c r="L18" s="103">
        <v>1</v>
      </c>
      <c r="M18" s="225"/>
      <c r="N18" s="103" t="s">
        <v>3441</v>
      </c>
      <c r="O18" s="225">
        <v>0</v>
      </c>
      <c r="P18" s="860">
        <v>38400</v>
      </c>
      <c r="Q18" s="860">
        <v>38400</v>
      </c>
      <c r="R18" s="225"/>
      <c r="S18" s="225"/>
      <c r="T18" s="225"/>
      <c r="U18" s="225"/>
      <c r="V18" s="225"/>
      <c r="W18" s="225"/>
      <c r="X18" s="225"/>
      <c r="Y18" s="225"/>
      <c r="Z18" s="225"/>
      <c r="AA18" s="225"/>
      <c r="AB18" s="860"/>
      <c r="AC18" s="225"/>
      <c r="AD18" s="225"/>
      <c r="AE18" s="103" t="s">
        <v>3442</v>
      </c>
      <c r="AF18" s="225">
        <v>0</v>
      </c>
      <c r="AG18" s="225">
        <v>42</v>
      </c>
      <c r="AH18" s="225">
        <v>7</v>
      </c>
      <c r="AI18" s="225">
        <v>1340000</v>
      </c>
      <c r="AJ18" s="861">
        <v>38400</v>
      </c>
      <c r="AK18" s="103" t="s">
        <v>3443</v>
      </c>
      <c r="AL18" s="225"/>
      <c r="AM18" s="225"/>
      <c r="AN18" s="225"/>
      <c r="AO18" s="225"/>
      <c r="AP18" s="225"/>
      <c r="AQ18" s="225"/>
      <c r="AR18" s="225"/>
      <c r="AS18" s="225"/>
      <c r="AT18" s="225"/>
      <c r="AU18" s="225"/>
      <c r="AV18" s="225"/>
      <c r="AW18" s="225"/>
      <c r="AX18" s="862" t="s">
        <v>3444</v>
      </c>
      <c r="AY18" s="256" t="s">
        <v>3445</v>
      </c>
    </row>
    <row r="19" spans="1:51" ht="195" x14ac:dyDescent="0.25">
      <c r="A19" s="551" t="s">
        <v>1276</v>
      </c>
      <c r="B19" s="103" t="s">
        <v>1277</v>
      </c>
      <c r="C19" s="967"/>
      <c r="D19" s="967"/>
      <c r="E19" s="1070"/>
      <c r="F19" s="103" t="s">
        <v>3426</v>
      </c>
      <c r="G19" s="967"/>
      <c r="H19" s="103" t="s">
        <v>3446</v>
      </c>
      <c r="I19" s="103" t="s">
        <v>3447</v>
      </c>
      <c r="J19" s="239">
        <v>0</v>
      </c>
      <c r="K19" s="239"/>
      <c r="L19" s="239">
        <v>1</v>
      </c>
      <c r="M19" s="225"/>
      <c r="N19" s="103" t="s">
        <v>3447</v>
      </c>
      <c r="O19" s="225">
        <v>0</v>
      </c>
      <c r="P19" s="864">
        <v>25600</v>
      </c>
      <c r="Q19" s="865">
        <v>25600</v>
      </c>
      <c r="R19" s="225"/>
      <c r="S19" s="225"/>
      <c r="T19" s="225"/>
      <c r="U19" s="225"/>
      <c r="V19" s="225"/>
      <c r="W19" s="225"/>
      <c r="X19" s="225"/>
      <c r="Y19" s="225"/>
      <c r="Z19" s="225"/>
      <c r="AA19" s="225"/>
      <c r="AB19" s="863"/>
      <c r="AC19" s="225"/>
      <c r="AD19" s="225"/>
      <c r="AE19" s="225" t="s">
        <v>3448</v>
      </c>
      <c r="AF19" s="225">
        <v>0</v>
      </c>
      <c r="AG19" s="225">
        <v>42</v>
      </c>
      <c r="AH19" s="225">
        <v>7</v>
      </c>
      <c r="AI19" s="225">
        <v>1340000</v>
      </c>
      <c r="AJ19" s="863">
        <v>25600</v>
      </c>
      <c r="AK19" s="256" t="s">
        <v>3449</v>
      </c>
      <c r="AL19" s="225"/>
      <c r="AM19" s="225"/>
      <c r="AN19" s="225"/>
      <c r="AO19" s="225"/>
      <c r="AP19" s="225"/>
      <c r="AQ19" s="225"/>
      <c r="AR19" s="225"/>
      <c r="AS19" s="225"/>
      <c r="AT19" s="225"/>
      <c r="AU19" s="225"/>
      <c r="AV19" s="225"/>
      <c r="AW19" s="225"/>
      <c r="AX19" s="256" t="s">
        <v>3450</v>
      </c>
      <c r="AY19" s="256" t="s">
        <v>3445</v>
      </c>
    </row>
  </sheetData>
  <sheetProtection password="DFEF" sheet="1" objects="1" scenarios="1" autoFilter="0"/>
  <mergeCells count="36">
    <mergeCell ref="F14:F15"/>
    <mergeCell ref="A2:L2"/>
    <mergeCell ref="A3:L3"/>
    <mergeCell ref="A5:L5"/>
    <mergeCell ref="A6:L6"/>
    <mergeCell ref="A9:M9"/>
    <mergeCell ref="A11:M11"/>
    <mergeCell ref="A14:A15"/>
    <mergeCell ref="B14:B15"/>
    <mergeCell ref="C14:C15"/>
    <mergeCell ref="D14:D15"/>
    <mergeCell ref="E14:E15"/>
    <mergeCell ref="AE14:AE15"/>
    <mergeCell ref="AF14:AF15"/>
    <mergeCell ref="G14:G15"/>
    <mergeCell ref="H14:H15"/>
    <mergeCell ref="I14:I15"/>
    <mergeCell ref="J14:J15"/>
    <mergeCell ref="K14:K15"/>
    <mergeCell ref="L14:L15"/>
    <mergeCell ref="AX14:AX15"/>
    <mergeCell ref="AY14:AY15"/>
    <mergeCell ref="C16:C19"/>
    <mergeCell ref="D16:D19"/>
    <mergeCell ref="E16:E19"/>
    <mergeCell ref="G16:G19"/>
    <mergeCell ref="AG14:AG15"/>
    <mergeCell ref="AH14:AH15"/>
    <mergeCell ref="AI14:AI15"/>
    <mergeCell ref="AJ14:AJ15"/>
    <mergeCell ref="AK14:AK15"/>
    <mergeCell ref="AL14:AW14"/>
    <mergeCell ref="M14:M15"/>
    <mergeCell ref="N14:O14"/>
    <mergeCell ref="P14:P15"/>
    <mergeCell ref="Q14:AD14"/>
  </mergeCells>
  <hyperlinks>
    <hyperlink ref="AX17" r:id="rId1" display="Secretari@ de Hacienda, Jefe Oficina de Presupeusto"/>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00"/>
  <sheetViews>
    <sheetView topLeftCell="A5" workbookViewId="0">
      <selection activeCell="D15" sqref="D15"/>
    </sheetView>
  </sheetViews>
  <sheetFormatPr baseColWidth="10" defaultRowHeight="15" x14ac:dyDescent="0.25"/>
  <cols>
    <col min="2" max="2" width="15" customWidth="1"/>
    <col min="5" max="5" width="14.5703125" customWidth="1"/>
    <col min="12" max="12" width="17.5703125" customWidth="1"/>
    <col min="40" max="51" width="6.7109375" customWidth="1"/>
  </cols>
  <sheetData>
    <row r="1" spans="1:53" x14ac:dyDescent="0.25">
      <c r="A1" s="96"/>
      <c r="B1" s="96"/>
      <c r="C1" s="96"/>
      <c r="D1" s="96"/>
      <c r="E1" s="96"/>
      <c r="F1" s="96"/>
      <c r="G1" s="96"/>
      <c r="H1" s="97"/>
      <c r="I1" s="96"/>
      <c r="J1" s="96"/>
      <c r="K1" s="96"/>
      <c r="L1" s="96"/>
      <c r="M1" s="98"/>
      <c r="N1" s="98"/>
      <c r="O1" s="98"/>
      <c r="P1" s="99"/>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row>
    <row r="2" spans="1:53" ht="18" x14ac:dyDescent="0.25">
      <c r="A2" s="958" t="s">
        <v>481</v>
      </c>
      <c r="B2" s="958"/>
      <c r="C2" s="958"/>
      <c r="D2" s="958"/>
      <c r="E2" s="958"/>
      <c r="F2" s="958"/>
      <c r="G2" s="958"/>
      <c r="H2" s="958"/>
      <c r="I2" s="958"/>
      <c r="J2" s="958"/>
      <c r="K2" s="958"/>
      <c r="L2" s="958"/>
      <c r="M2" s="98"/>
      <c r="N2" s="98"/>
      <c r="O2" s="98"/>
      <c r="P2" s="99"/>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row>
    <row r="3" spans="1:53" ht="18" x14ac:dyDescent="0.25">
      <c r="A3" s="959" t="s">
        <v>482</v>
      </c>
      <c r="B3" s="959"/>
      <c r="C3" s="959"/>
      <c r="D3" s="959"/>
      <c r="E3" s="959"/>
      <c r="F3" s="959"/>
      <c r="G3" s="959"/>
      <c r="H3" s="959"/>
      <c r="I3" s="959"/>
      <c r="J3" s="959"/>
      <c r="K3" s="959"/>
      <c r="L3" s="959"/>
      <c r="M3" s="98"/>
      <c r="N3" s="98"/>
      <c r="O3" s="98"/>
      <c r="P3" s="99"/>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x14ac:dyDescent="0.25">
      <c r="A4" s="101"/>
      <c r="B4" s="96"/>
      <c r="C4" s="96"/>
      <c r="D4" s="96"/>
      <c r="E4" s="96"/>
      <c r="F4" s="96"/>
      <c r="G4" s="96"/>
      <c r="H4" s="97"/>
      <c r="I4" s="96"/>
      <c r="J4" s="96"/>
      <c r="K4" s="96"/>
      <c r="L4" s="96"/>
      <c r="M4" s="98"/>
      <c r="N4" s="98"/>
      <c r="O4" s="98"/>
      <c r="P4" s="99"/>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row>
    <row r="5" spans="1:53" ht="18" x14ac:dyDescent="0.25">
      <c r="A5" s="960" t="s">
        <v>483</v>
      </c>
      <c r="B5" s="960"/>
      <c r="C5" s="960"/>
      <c r="D5" s="960"/>
      <c r="E5" s="960"/>
      <c r="F5" s="960"/>
      <c r="G5" s="960"/>
      <c r="H5" s="960"/>
      <c r="I5" s="960"/>
      <c r="J5" s="960"/>
      <c r="K5" s="960"/>
      <c r="L5" s="960"/>
      <c r="M5" s="98"/>
      <c r="N5" s="98"/>
      <c r="O5" s="98"/>
      <c r="P5" s="99"/>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row>
    <row r="6" spans="1:53" ht="18" x14ac:dyDescent="0.25">
      <c r="A6" s="958" t="s">
        <v>528</v>
      </c>
      <c r="B6" s="958"/>
      <c r="C6" s="958"/>
      <c r="D6" s="958"/>
      <c r="E6" s="958"/>
      <c r="F6" s="958"/>
      <c r="G6" s="958"/>
      <c r="H6" s="958"/>
      <c r="I6" s="958"/>
      <c r="J6" s="958"/>
      <c r="K6" s="958"/>
      <c r="L6" s="958"/>
      <c r="M6" s="98"/>
      <c r="N6" s="98"/>
      <c r="O6" s="98"/>
      <c r="P6" s="99"/>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row>
    <row r="7" spans="1:53" ht="18" x14ac:dyDescent="0.25">
      <c r="A7" s="100"/>
      <c r="B7" s="100"/>
      <c r="C7" s="100"/>
      <c r="D7" s="100"/>
      <c r="E7" s="100"/>
      <c r="F7" s="100"/>
      <c r="G7" s="100"/>
      <c r="H7" s="100"/>
      <c r="I7" s="100"/>
      <c r="J7" s="100"/>
      <c r="K7" s="100"/>
      <c r="L7" s="100"/>
      <c r="M7" s="98"/>
      <c r="N7" s="98"/>
      <c r="O7" s="98"/>
      <c r="P7" s="99"/>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row>
    <row r="8" spans="1:53" ht="18" x14ac:dyDescent="0.25">
      <c r="A8" s="100"/>
      <c r="B8" s="100"/>
      <c r="C8" s="100"/>
      <c r="D8" s="100"/>
      <c r="E8" s="100"/>
      <c r="F8" s="100"/>
      <c r="G8" s="100"/>
      <c r="H8" s="100"/>
      <c r="I8" s="100"/>
      <c r="J8" s="100"/>
      <c r="K8" s="100"/>
      <c r="L8" s="100"/>
      <c r="M8" s="98"/>
      <c r="N8" s="98"/>
      <c r="O8" s="98"/>
      <c r="P8" s="99"/>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53" x14ac:dyDescent="0.25">
      <c r="A9" s="961" t="s">
        <v>950</v>
      </c>
      <c r="B9" s="961"/>
      <c r="C9" s="961"/>
      <c r="D9" s="961"/>
      <c r="E9" s="961"/>
      <c r="F9" s="961"/>
      <c r="G9" s="961"/>
      <c r="H9" s="961"/>
      <c r="I9" s="961"/>
      <c r="J9" s="961"/>
      <c r="K9" s="961"/>
      <c r="L9" s="961"/>
      <c r="M9" s="961"/>
      <c r="N9" s="98"/>
      <c r="O9" s="98"/>
      <c r="P9" s="99"/>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row>
    <row r="10" spans="1:53" ht="18" x14ac:dyDescent="0.25">
      <c r="A10" s="102"/>
      <c r="B10" s="102"/>
      <c r="C10" s="102"/>
      <c r="D10" s="102"/>
      <c r="E10" s="102"/>
      <c r="F10" s="100"/>
      <c r="G10" s="100"/>
      <c r="H10" s="100"/>
      <c r="I10" s="100"/>
      <c r="J10" s="100"/>
      <c r="K10" s="100"/>
      <c r="L10" s="100"/>
      <c r="M10" s="100"/>
      <c r="N10" s="98"/>
      <c r="O10" s="98"/>
      <c r="P10" s="99"/>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x14ac:dyDescent="0.25">
      <c r="A11" s="961" t="s">
        <v>951</v>
      </c>
      <c r="B11" s="961"/>
      <c r="C11" s="961"/>
      <c r="D11" s="961"/>
      <c r="E11" s="961"/>
      <c r="F11" s="961"/>
      <c r="G11" s="961"/>
      <c r="H11" s="961"/>
      <c r="I11" s="961"/>
      <c r="J11" s="961"/>
      <c r="K11" s="961"/>
      <c r="L11" s="961"/>
      <c r="M11" s="961"/>
      <c r="N11" s="98"/>
      <c r="O11" s="98"/>
      <c r="P11" s="99"/>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x14ac:dyDescent="0.25">
      <c r="A12" s="96"/>
      <c r="B12" s="96"/>
      <c r="C12" s="96"/>
      <c r="D12" s="96"/>
      <c r="E12" s="96"/>
      <c r="F12" s="96"/>
      <c r="G12" s="96"/>
      <c r="H12" s="97"/>
      <c r="I12" s="96"/>
      <c r="J12" s="96"/>
      <c r="K12" s="96"/>
      <c r="L12" s="96"/>
      <c r="M12" s="98"/>
      <c r="N12" s="98"/>
      <c r="O12" s="98"/>
      <c r="P12" s="99"/>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ht="36.75" customHeight="1" x14ac:dyDescent="0.25">
      <c r="A13" s="956" t="s">
        <v>62</v>
      </c>
      <c r="B13" s="956" t="s">
        <v>63</v>
      </c>
      <c r="C13" s="954" t="s">
        <v>0</v>
      </c>
      <c r="D13" s="954" t="s">
        <v>1</v>
      </c>
      <c r="E13" s="954" t="s">
        <v>2</v>
      </c>
      <c r="F13" s="954" t="s">
        <v>3</v>
      </c>
      <c r="G13" s="954" t="s">
        <v>64</v>
      </c>
      <c r="H13" s="954" t="s">
        <v>65</v>
      </c>
      <c r="I13" s="954" t="s">
        <v>66</v>
      </c>
      <c r="J13" s="954" t="s">
        <v>67</v>
      </c>
      <c r="K13" s="954" t="s">
        <v>480</v>
      </c>
      <c r="L13" s="954" t="s">
        <v>521</v>
      </c>
      <c r="M13" s="889" t="s">
        <v>529</v>
      </c>
      <c r="N13" s="891" t="s">
        <v>66</v>
      </c>
      <c r="O13" s="893"/>
      <c r="P13" s="889" t="s">
        <v>532</v>
      </c>
      <c r="Q13" s="891" t="s">
        <v>484</v>
      </c>
      <c r="R13" s="892"/>
      <c r="S13" s="892"/>
      <c r="T13" s="892"/>
      <c r="U13" s="892"/>
      <c r="V13" s="892"/>
      <c r="W13" s="892"/>
      <c r="X13" s="892"/>
      <c r="Y13" s="892"/>
      <c r="Z13" s="892"/>
      <c r="AA13" s="892"/>
      <c r="AB13" s="892"/>
      <c r="AC13" s="892"/>
      <c r="AD13" s="892"/>
      <c r="AE13" s="892"/>
      <c r="AF13" s="893"/>
      <c r="AG13" s="889" t="s">
        <v>485</v>
      </c>
      <c r="AH13" s="889" t="s">
        <v>531</v>
      </c>
      <c r="AI13" s="889" t="s">
        <v>952</v>
      </c>
      <c r="AJ13" s="889" t="s">
        <v>511</v>
      </c>
      <c r="AK13" s="889" t="s">
        <v>486</v>
      </c>
      <c r="AL13" s="889" t="s">
        <v>535</v>
      </c>
      <c r="AM13" s="889" t="s">
        <v>487</v>
      </c>
      <c r="AN13" s="900" t="s">
        <v>524</v>
      </c>
      <c r="AO13" s="901"/>
      <c r="AP13" s="901"/>
      <c r="AQ13" s="901"/>
      <c r="AR13" s="901"/>
      <c r="AS13" s="901"/>
      <c r="AT13" s="901"/>
      <c r="AU13" s="901"/>
      <c r="AV13" s="901"/>
      <c r="AW13" s="901"/>
      <c r="AX13" s="901"/>
      <c r="AY13" s="902"/>
      <c r="AZ13" s="898" t="s">
        <v>512</v>
      </c>
      <c r="BA13" s="950" t="s">
        <v>488</v>
      </c>
    </row>
    <row r="14" spans="1:53" ht="70.5" customHeight="1" x14ac:dyDescent="0.25">
      <c r="A14" s="957"/>
      <c r="B14" s="957"/>
      <c r="C14" s="955"/>
      <c r="D14" s="955"/>
      <c r="E14" s="955"/>
      <c r="F14" s="955"/>
      <c r="G14" s="955"/>
      <c r="H14" s="955"/>
      <c r="I14" s="955"/>
      <c r="J14" s="955"/>
      <c r="K14" s="955"/>
      <c r="L14" s="955"/>
      <c r="M14" s="890"/>
      <c r="N14" s="93" t="s">
        <v>489</v>
      </c>
      <c r="O14" s="93" t="s">
        <v>530</v>
      </c>
      <c r="P14" s="890"/>
      <c r="Q14" s="94" t="s">
        <v>490</v>
      </c>
      <c r="R14" s="94" t="s">
        <v>533</v>
      </c>
      <c r="S14" s="94" t="s">
        <v>491</v>
      </c>
      <c r="T14" s="94" t="s">
        <v>492</v>
      </c>
      <c r="U14" s="94" t="s">
        <v>522</v>
      </c>
      <c r="V14" s="94" t="s">
        <v>493</v>
      </c>
      <c r="W14" s="94" t="s">
        <v>494</v>
      </c>
      <c r="X14" s="94" t="s">
        <v>495</v>
      </c>
      <c r="Y14" s="94" t="s">
        <v>496</v>
      </c>
      <c r="Z14" s="94" t="s">
        <v>497</v>
      </c>
      <c r="AA14" s="94" t="s">
        <v>523</v>
      </c>
      <c r="AB14" s="94" t="s">
        <v>534</v>
      </c>
      <c r="AC14" s="94" t="s">
        <v>498</v>
      </c>
      <c r="AD14" s="94" t="s">
        <v>499</v>
      </c>
      <c r="AE14" s="94" t="s">
        <v>500</v>
      </c>
      <c r="AF14" s="94" t="s">
        <v>501</v>
      </c>
      <c r="AG14" s="890"/>
      <c r="AH14" s="890"/>
      <c r="AI14" s="890"/>
      <c r="AJ14" s="890"/>
      <c r="AK14" s="890"/>
      <c r="AL14" s="890"/>
      <c r="AM14" s="890"/>
      <c r="AN14" s="95" t="s">
        <v>502</v>
      </c>
      <c r="AO14" s="95" t="s">
        <v>503</v>
      </c>
      <c r="AP14" s="95" t="s">
        <v>504</v>
      </c>
      <c r="AQ14" s="95" t="s">
        <v>505</v>
      </c>
      <c r="AR14" s="95" t="s">
        <v>504</v>
      </c>
      <c r="AS14" s="95" t="s">
        <v>506</v>
      </c>
      <c r="AT14" s="95" t="s">
        <v>506</v>
      </c>
      <c r="AU14" s="95" t="s">
        <v>505</v>
      </c>
      <c r="AV14" s="95" t="s">
        <v>507</v>
      </c>
      <c r="AW14" s="95" t="s">
        <v>508</v>
      </c>
      <c r="AX14" s="95" t="s">
        <v>509</v>
      </c>
      <c r="AY14" s="95" t="s">
        <v>510</v>
      </c>
      <c r="AZ14" s="899"/>
      <c r="BA14" s="951"/>
    </row>
    <row r="15" spans="1:53" ht="255" x14ac:dyDescent="0.25">
      <c r="A15" s="108" t="s">
        <v>438</v>
      </c>
      <c r="B15" s="109" t="s">
        <v>953</v>
      </c>
      <c r="C15" s="109" t="s">
        <v>954</v>
      </c>
      <c r="D15" s="109" t="s">
        <v>955</v>
      </c>
      <c r="E15" s="110">
        <v>1</v>
      </c>
      <c r="F15" s="108" t="s">
        <v>956</v>
      </c>
      <c r="G15" s="942" t="s">
        <v>957</v>
      </c>
      <c r="H15" s="109" t="s">
        <v>958</v>
      </c>
      <c r="I15" s="109" t="s">
        <v>959</v>
      </c>
      <c r="J15" s="112">
        <v>218251</v>
      </c>
      <c r="K15" s="113" t="s">
        <v>527</v>
      </c>
      <c r="L15" s="114">
        <v>218251</v>
      </c>
      <c r="M15" s="115">
        <v>218251</v>
      </c>
      <c r="N15" s="116" t="s">
        <v>959</v>
      </c>
      <c r="O15" s="117">
        <v>159708</v>
      </c>
      <c r="P15" s="115">
        <v>634907173.31787705</v>
      </c>
      <c r="Q15" s="118"/>
      <c r="R15" s="118"/>
      <c r="S15" s="118"/>
      <c r="T15" s="118"/>
      <c r="U15" s="115">
        <v>634907173.31787705</v>
      </c>
      <c r="V15" s="118"/>
      <c r="W15" s="118"/>
      <c r="X15" s="118"/>
      <c r="Y15" s="118"/>
      <c r="Z15" s="118"/>
      <c r="AA15" s="118"/>
      <c r="AB15" s="118"/>
      <c r="AC15" s="118"/>
      <c r="AD15" s="118"/>
      <c r="AE15" s="118"/>
      <c r="AF15" s="118"/>
      <c r="AG15" s="117" t="s">
        <v>960</v>
      </c>
      <c r="AH15" s="117" t="s">
        <v>960</v>
      </c>
      <c r="AI15" s="117" t="s">
        <v>960</v>
      </c>
      <c r="AJ15" s="117" t="s">
        <v>960</v>
      </c>
      <c r="AK15" s="117" t="s">
        <v>960</v>
      </c>
      <c r="AL15" s="117" t="s">
        <v>960</v>
      </c>
      <c r="AM15" s="117" t="s">
        <v>960</v>
      </c>
      <c r="AN15" s="119"/>
      <c r="AO15" s="117" t="s">
        <v>536</v>
      </c>
      <c r="AP15" s="117" t="s">
        <v>536</v>
      </c>
      <c r="AQ15" s="117" t="s">
        <v>536</v>
      </c>
      <c r="AR15" s="117" t="s">
        <v>536</v>
      </c>
      <c r="AS15" s="117" t="s">
        <v>536</v>
      </c>
      <c r="AT15" s="117" t="s">
        <v>536</v>
      </c>
      <c r="AU15" s="117" t="s">
        <v>536</v>
      </c>
      <c r="AV15" s="117" t="s">
        <v>536</v>
      </c>
      <c r="AW15" s="117" t="s">
        <v>536</v>
      </c>
      <c r="AX15" s="117" t="s">
        <v>536</v>
      </c>
      <c r="AY15" s="117" t="s">
        <v>536</v>
      </c>
      <c r="AZ15" s="116" t="s">
        <v>961</v>
      </c>
      <c r="BA15" s="116" t="s">
        <v>962</v>
      </c>
    </row>
    <row r="16" spans="1:53" ht="240" x14ac:dyDescent="0.25">
      <c r="A16" s="108" t="s">
        <v>438</v>
      </c>
      <c r="B16" s="109" t="s">
        <v>953</v>
      </c>
      <c r="C16" s="109" t="s">
        <v>963</v>
      </c>
      <c r="D16" s="109" t="s">
        <v>964</v>
      </c>
      <c r="E16" s="110">
        <v>0.80710000000000004</v>
      </c>
      <c r="F16" s="108" t="s">
        <v>956</v>
      </c>
      <c r="G16" s="943"/>
      <c r="H16" s="109" t="s">
        <v>965</v>
      </c>
      <c r="I16" s="109" t="s">
        <v>966</v>
      </c>
      <c r="J16" s="112">
        <v>212059</v>
      </c>
      <c r="K16" s="113" t="s">
        <v>526</v>
      </c>
      <c r="L16" s="114">
        <v>1060</v>
      </c>
      <c r="M16" s="113">
        <v>265</v>
      </c>
      <c r="N16" s="120" t="s">
        <v>966</v>
      </c>
      <c r="O16" s="117">
        <v>594</v>
      </c>
      <c r="P16" s="121">
        <v>507797.25</v>
      </c>
      <c r="Q16" s="118"/>
      <c r="R16" s="118"/>
      <c r="S16" s="118"/>
      <c r="T16" s="118"/>
      <c r="U16" s="121">
        <v>507797.25</v>
      </c>
      <c r="V16" s="118"/>
      <c r="W16" s="118"/>
      <c r="X16" s="118"/>
      <c r="Y16" s="118"/>
      <c r="Z16" s="118"/>
      <c r="AA16" s="118"/>
      <c r="AB16" s="118"/>
      <c r="AC16" s="118"/>
      <c r="AD16" s="118"/>
      <c r="AE16" s="118"/>
      <c r="AF16" s="118"/>
      <c r="AG16" s="117" t="s">
        <v>960</v>
      </c>
      <c r="AH16" s="117" t="s">
        <v>960</v>
      </c>
      <c r="AI16" s="117" t="s">
        <v>960</v>
      </c>
      <c r="AJ16" s="117" t="s">
        <v>960</v>
      </c>
      <c r="AK16" s="117" t="s">
        <v>960</v>
      </c>
      <c r="AL16" s="117" t="s">
        <v>960</v>
      </c>
      <c r="AM16" s="117" t="s">
        <v>960</v>
      </c>
      <c r="AN16" s="118"/>
      <c r="AO16" s="117" t="s">
        <v>536</v>
      </c>
      <c r="AP16" s="117" t="s">
        <v>536</v>
      </c>
      <c r="AQ16" s="117" t="s">
        <v>536</v>
      </c>
      <c r="AR16" s="117" t="s">
        <v>536</v>
      </c>
      <c r="AS16" s="117" t="s">
        <v>536</v>
      </c>
      <c r="AT16" s="117" t="s">
        <v>536</v>
      </c>
      <c r="AU16" s="117" t="s">
        <v>536</v>
      </c>
      <c r="AV16" s="117" t="s">
        <v>536</v>
      </c>
      <c r="AW16" s="117" t="s">
        <v>536</v>
      </c>
      <c r="AX16" s="117" t="s">
        <v>536</v>
      </c>
      <c r="AY16" s="117" t="s">
        <v>536</v>
      </c>
      <c r="AZ16" s="116" t="s">
        <v>961</v>
      </c>
      <c r="BA16" s="116" t="s">
        <v>962</v>
      </c>
    </row>
    <row r="17" spans="1:53" ht="180" x14ac:dyDescent="0.25">
      <c r="A17" s="108" t="s">
        <v>438</v>
      </c>
      <c r="B17" s="109" t="s">
        <v>953</v>
      </c>
      <c r="C17" s="109" t="s">
        <v>967</v>
      </c>
      <c r="D17" s="109" t="s">
        <v>968</v>
      </c>
      <c r="E17" s="110">
        <v>1.1599999999999999E-2</v>
      </c>
      <c r="F17" s="108" t="s">
        <v>956</v>
      </c>
      <c r="G17" s="943"/>
      <c r="H17" s="109" t="s">
        <v>969</v>
      </c>
      <c r="I17" s="109" t="s">
        <v>970</v>
      </c>
      <c r="J17" s="112">
        <v>2788</v>
      </c>
      <c r="K17" s="113" t="s">
        <v>527</v>
      </c>
      <c r="L17" s="114">
        <v>2788</v>
      </c>
      <c r="M17" s="115">
        <v>2788</v>
      </c>
      <c r="N17" s="120" t="s">
        <v>970</v>
      </c>
      <c r="O17" s="117">
        <v>2021</v>
      </c>
      <c r="P17" s="121">
        <v>8294850.9803666398</v>
      </c>
      <c r="Q17" s="118"/>
      <c r="R17" s="118"/>
      <c r="S17" s="118"/>
      <c r="T17" s="118"/>
      <c r="U17" s="121">
        <v>8294850.9803666398</v>
      </c>
      <c r="V17" s="118"/>
      <c r="W17" s="118"/>
      <c r="X17" s="118"/>
      <c r="Y17" s="118"/>
      <c r="Z17" s="118"/>
      <c r="AA17" s="118"/>
      <c r="AB17" s="118"/>
      <c r="AC17" s="118"/>
      <c r="AD17" s="118"/>
      <c r="AE17" s="118"/>
      <c r="AF17" s="118"/>
      <c r="AG17" s="117" t="s">
        <v>960</v>
      </c>
      <c r="AH17" s="117" t="s">
        <v>960</v>
      </c>
      <c r="AI17" s="117" t="s">
        <v>960</v>
      </c>
      <c r="AJ17" s="117" t="s">
        <v>960</v>
      </c>
      <c r="AK17" s="117" t="s">
        <v>960</v>
      </c>
      <c r="AL17" s="117" t="s">
        <v>960</v>
      </c>
      <c r="AM17" s="117" t="s">
        <v>960</v>
      </c>
      <c r="AN17" s="118"/>
      <c r="AO17" s="117" t="s">
        <v>536</v>
      </c>
      <c r="AP17" s="117" t="s">
        <v>536</v>
      </c>
      <c r="AQ17" s="117" t="s">
        <v>536</v>
      </c>
      <c r="AR17" s="117" t="s">
        <v>536</v>
      </c>
      <c r="AS17" s="117" t="s">
        <v>536</v>
      </c>
      <c r="AT17" s="117" t="s">
        <v>536</v>
      </c>
      <c r="AU17" s="117" t="s">
        <v>536</v>
      </c>
      <c r="AV17" s="117" t="s">
        <v>536</v>
      </c>
      <c r="AW17" s="117" t="s">
        <v>536</v>
      </c>
      <c r="AX17" s="117" t="s">
        <v>536</v>
      </c>
      <c r="AY17" s="117" t="s">
        <v>536</v>
      </c>
      <c r="AZ17" s="116" t="s">
        <v>961</v>
      </c>
      <c r="BA17" s="116" t="s">
        <v>962</v>
      </c>
    </row>
    <row r="18" spans="1:53" ht="300" x14ac:dyDescent="0.25">
      <c r="A18" s="108" t="s">
        <v>438</v>
      </c>
      <c r="B18" s="109" t="s">
        <v>953</v>
      </c>
      <c r="C18" s="109" t="s">
        <v>971</v>
      </c>
      <c r="D18" s="122" t="s">
        <v>972</v>
      </c>
      <c r="E18" s="110">
        <v>1.3899999999999999E-2</v>
      </c>
      <c r="F18" s="108" t="s">
        <v>956</v>
      </c>
      <c r="G18" s="943"/>
      <c r="H18" s="109" t="s">
        <v>973</v>
      </c>
      <c r="I18" s="109" t="s">
        <v>974</v>
      </c>
      <c r="J18" s="112">
        <v>2427</v>
      </c>
      <c r="K18" s="113" t="s">
        <v>527</v>
      </c>
      <c r="L18" s="114">
        <v>2063</v>
      </c>
      <c r="M18" s="115">
        <v>2063</v>
      </c>
      <c r="N18" s="120" t="s">
        <v>974</v>
      </c>
      <c r="O18" s="117">
        <v>1961</v>
      </c>
      <c r="P18" s="121">
        <v>6137832.7017562399</v>
      </c>
      <c r="Q18" s="118"/>
      <c r="R18" s="118"/>
      <c r="S18" s="118"/>
      <c r="T18" s="118"/>
      <c r="U18" s="121">
        <v>6137832.7017562399</v>
      </c>
      <c r="V18" s="118"/>
      <c r="W18" s="118"/>
      <c r="X18" s="118"/>
      <c r="Y18" s="118"/>
      <c r="Z18" s="118"/>
      <c r="AA18" s="118"/>
      <c r="AB18" s="118"/>
      <c r="AC18" s="118"/>
      <c r="AD18" s="118"/>
      <c r="AE18" s="118"/>
      <c r="AF18" s="118"/>
      <c r="AG18" s="117" t="s">
        <v>960</v>
      </c>
      <c r="AH18" s="117" t="s">
        <v>960</v>
      </c>
      <c r="AI18" s="117" t="s">
        <v>960</v>
      </c>
      <c r="AJ18" s="117" t="s">
        <v>960</v>
      </c>
      <c r="AK18" s="117" t="s">
        <v>960</v>
      </c>
      <c r="AL18" s="117" t="s">
        <v>960</v>
      </c>
      <c r="AM18" s="117" t="s">
        <v>960</v>
      </c>
      <c r="AN18" s="118"/>
      <c r="AO18" s="117" t="s">
        <v>536</v>
      </c>
      <c r="AP18" s="117" t="s">
        <v>536</v>
      </c>
      <c r="AQ18" s="117" t="s">
        <v>536</v>
      </c>
      <c r="AR18" s="117" t="s">
        <v>536</v>
      </c>
      <c r="AS18" s="117" t="s">
        <v>536</v>
      </c>
      <c r="AT18" s="117" t="s">
        <v>536</v>
      </c>
      <c r="AU18" s="117" t="s">
        <v>536</v>
      </c>
      <c r="AV18" s="117" t="s">
        <v>536</v>
      </c>
      <c r="AW18" s="117" t="s">
        <v>536</v>
      </c>
      <c r="AX18" s="117" t="s">
        <v>536</v>
      </c>
      <c r="AY18" s="117" t="s">
        <v>536</v>
      </c>
      <c r="AZ18" s="116" t="s">
        <v>961</v>
      </c>
      <c r="BA18" s="116" t="s">
        <v>962</v>
      </c>
    </row>
    <row r="19" spans="1:53" ht="165" x14ac:dyDescent="0.25">
      <c r="A19" s="108" t="s">
        <v>438</v>
      </c>
      <c r="B19" s="109" t="s">
        <v>953</v>
      </c>
      <c r="C19" s="109" t="s">
        <v>975</v>
      </c>
      <c r="D19" s="109" t="s">
        <v>976</v>
      </c>
      <c r="E19" s="110">
        <v>3.5000000000000003E-2</v>
      </c>
      <c r="F19" s="108" t="s">
        <v>956</v>
      </c>
      <c r="G19" s="943"/>
      <c r="H19" s="109" t="s">
        <v>977</v>
      </c>
      <c r="I19" s="109" t="s">
        <v>978</v>
      </c>
      <c r="J19" s="112">
        <v>2590</v>
      </c>
      <c r="K19" s="113" t="s">
        <v>527</v>
      </c>
      <c r="L19" s="114">
        <v>100</v>
      </c>
      <c r="M19" s="113">
        <v>100</v>
      </c>
      <c r="N19" s="120" t="s">
        <v>978</v>
      </c>
      <c r="O19" s="117">
        <v>75</v>
      </c>
      <c r="P19" s="121">
        <v>5180000</v>
      </c>
      <c r="Q19" s="118"/>
      <c r="R19" s="118"/>
      <c r="S19" s="118"/>
      <c r="T19" s="118"/>
      <c r="U19" s="121">
        <v>5180000</v>
      </c>
      <c r="V19" s="118"/>
      <c r="W19" s="118"/>
      <c r="X19" s="118"/>
      <c r="Y19" s="118"/>
      <c r="Z19" s="118"/>
      <c r="AA19" s="118"/>
      <c r="AB19" s="118"/>
      <c r="AC19" s="118"/>
      <c r="AD19" s="118"/>
      <c r="AE19" s="118"/>
      <c r="AF19" s="118"/>
      <c r="AG19" s="117" t="s">
        <v>960</v>
      </c>
      <c r="AH19" s="117" t="s">
        <v>960</v>
      </c>
      <c r="AI19" s="117" t="s">
        <v>960</v>
      </c>
      <c r="AJ19" s="117" t="s">
        <v>960</v>
      </c>
      <c r="AK19" s="117" t="s">
        <v>960</v>
      </c>
      <c r="AL19" s="117" t="s">
        <v>960</v>
      </c>
      <c r="AM19" s="117" t="s">
        <v>960</v>
      </c>
      <c r="AN19" s="118"/>
      <c r="AO19" s="117" t="s">
        <v>536</v>
      </c>
      <c r="AP19" s="117" t="s">
        <v>536</v>
      </c>
      <c r="AQ19" s="117" t="s">
        <v>536</v>
      </c>
      <c r="AR19" s="117" t="s">
        <v>536</v>
      </c>
      <c r="AS19" s="117" t="s">
        <v>536</v>
      </c>
      <c r="AT19" s="117" t="s">
        <v>536</v>
      </c>
      <c r="AU19" s="117" t="s">
        <v>536</v>
      </c>
      <c r="AV19" s="117" t="s">
        <v>536</v>
      </c>
      <c r="AW19" s="117" t="s">
        <v>536</v>
      </c>
      <c r="AX19" s="117" t="s">
        <v>536</v>
      </c>
      <c r="AY19" s="117" t="s">
        <v>536</v>
      </c>
      <c r="AZ19" s="116" t="s">
        <v>961</v>
      </c>
      <c r="BA19" s="116" t="s">
        <v>962</v>
      </c>
    </row>
    <row r="20" spans="1:53" ht="255" x14ac:dyDescent="0.25">
      <c r="A20" s="108" t="s">
        <v>438</v>
      </c>
      <c r="B20" s="109" t="s">
        <v>953</v>
      </c>
      <c r="C20" s="109" t="s">
        <v>979</v>
      </c>
      <c r="D20" s="122" t="s">
        <v>980</v>
      </c>
      <c r="E20" s="110">
        <v>4.6300000000000001E-2</v>
      </c>
      <c r="F20" s="108" t="s">
        <v>956</v>
      </c>
      <c r="G20" s="943"/>
      <c r="H20" s="109" t="s">
        <v>981</v>
      </c>
      <c r="I20" s="109" t="s">
        <v>982</v>
      </c>
      <c r="J20" s="112">
        <v>44321</v>
      </c>
      <c r="K20" s="113" t="s">
        <v>527</v>
      </c>
      <c r="L20" s="114">
        <v>1000</v>
      </c>
      <c r="M20" s="115">
        <v>1000</v>
      </c>
      <c r="N20" s="120" t="s">
        <v>982</v>
      </c>
      <c r="O20" s="117">
        <v>770</v>
      </c>
      <c r="P20" s="121">
        <v>405000</v>
      </c>
      <c r="Q20" s="118"/>
      <c r="R20" s="118"/>
      <c r="S20" s="118"/>
      <c r="T20" s="118"/>
      <c r="U20" s="121">
        <v>405000</v>
      </c>
      <c r="V20" s="118"/>
      <c r="W20" s="118"/>
      <c r="X20" s="118"/>
      <c r="Y20" s="118"/>
      <c r="Z20" s="118"/>
      <c r="AA20" s="118"/>
      <c r="AB20" s="118"/>
      <c r="AC20" s="118"/>
      <c r="AD20" s="118"/>
      <c r="AE20" s="118"/>
      <c r="AF20" s="118"/>
      <c r="AG20" s="117" t="s">
        <v>960</v>
      </c>
      <c r="AH20" s="117" t="s">
        <v>960</v>
      </c>
      <c r="AI20" s="117" t="s">
        <v>960</v>
      </c>
      <c r="AJ20" s="117" t="s">
        <v>960</v>
      </c>
      <c r="AK20" s="117" t="s">
        <v>960</v>
      </c>
      <c r="AL20" s="117" t="s">
        <v>960</v>
      </c>
      <c r="AM20" s="117" t="s">
        <v>960</v>
      </c>
      <c r="AN20" s="118"/>
      <c r="AO20" s="117" t="s">
        <v>536</v>
      </c>
      <c r="AP20" s="117" t="s">
        <v>536</v>
      </c>
      <c r="AQ20" s="117" t="s">
        <v>536</v>
      </c>
      <c r="AR20" s="117" t="s">
        <v>536</v>
      </c>
      <c r="AS20" s="117" t="s">
        <v>536</v>
      </c>
      <c r="AT20" s="117" t="s">
        <v>536</v>
      </c>
      <c r="AU20" s="117" t="s">
        <v>536</v>
      </c>
      <c r="AV20" s="117" t="s">
        <v>536</v>
      </c>
      <c r="AW20" s="117" t="s">
        <v>536</v>
      </c>
      <c r="AX20" s="117" t="s">
        <v>536</v>
      </c>
      <c r="AY20" s="117" t="s">
        <v>536</v>
      </c>
      <c r="AZ20" s="116" t="s">
        <v>961</v>
      </c>
      <c r="BA20" s="116" t="s">
        <v>983</v>
      </c>
    </row>
    <row r="21" spans="1:53" ht="210" x14ac:dyDescent="0.25">
      <c r="A21" s="108" t="s">
        <v>438</v>
      </c>
      <c r="B21" s="109" t="s">
        <v>953</v>
      </c>
      <c r="C21" s="109" t="s">
        <v>984</v>
      </c>
      <c r="D21" s="109" t="s">
        <v>985</v>
      </c>
      <c r="E21" s="123">
        <v>30000</v>
      </c>
      <c r="F21" s="108" t="s">
        <v>956</v>
      </c>
      <c r="G21" s="943"/>
      <c r="H21" s="109" t="s">
        <v>984</v>
      </c>
      <c r="I21" s="109" t="s">
        <v>985</v>
      </c>
      <c r="J21" s="112">
        <v>30000</v>
      </c>
      <c r="K21" s="113" t="s">
        <v>526</v>
      </c>
      <c r="L21" s="114">
        <v>30000</v>
      </c>
      <c r="M21" s="115">
        <v>7500</v>
      </c>
      <c r="N21" s="120" t="s">
        <v>985</v>
      </c>
      <c r="O21" s="117">
        <v>33588</v>
      </c>
      <c r="P21" s="121">
        <v>8960000</v>
      </c>
      <c r="Q21" s="118"/>
      <c r="R21" s="118"/>
      <c r="S21" s="118"/>
      <c r="T21" s="118"/>
      <c r="U21" s="121">
        <v>8960000</v>
      </c>
      <c r="V21" s="118"/>
      <c r="W21" s="118"/>
      <c r="X21" s="118"/>
      <c r="Y21" s="118"/>
      <c r="Z21" s="118"/>
      <c r="AA21" s="118"/>
      <c r="AB21" s="118"/>
      <c r="AC21" s="118"/>
      <c r="AD21" s="118"/>
      <c r="AE21" s="118"/>
      <c r="AF21" s="118"/>
      <c r="AG21" s="117" t="s">
        <v>960</v>
      </c>
      <c r="AH21" s="117" t="s">
        <v>960</v>
      </c>
      <c r="AI21" s="117" t="s">
        <v>960</v>
      </c>
      <c r="AJ21" s="117" t="s">
        <v>960</v>
      </c>
      <c r="AK21" s="117" t="s">
        <v>960</v>
      </c>
      <c r="AL21" s="117" t="s">
        <v>960</v>
      </c>
      <c r="AM21" s="117" t="s">
        <v>960</v>
      </c>
      <c r="AN21" s="118"/>
      <c r="AO21" s="117" t="s">
        <v>536</v>
      </c>
      <c r="AP21" s="117" t="s">
        <v>536</v>
      </c>
      <c r="AQ21" s="117" t="s">
        <v>536</v>
      </c>
      <c r="AR21" s="117" t="s">
        <v>536</v>
      </c>
      <c r="AS21" s="117" t="s">
        <v>536</v>
      </c>
      <c r="AT21" s="117" t="s">
        <v>536</v>
      </c>
      <c r="AU21" s="117" t="s">
        <v>536</v>
      </c>
      <c r="AV21" s="117" t="s">
        <v>536</v>
      </c>
      <c r="AW21" s="117" t="s">
        <v>536</v>
      </c>
      <c r="AX21" s="117" t="s">
        <v>536</v>
      </c>
      <c r="AY21" s="117" t="s">
        <v>536</v>
      </c>
      <c r="AZ21" s="116" t="s">
        <v>961</v>
      </c>
      <c r="BA21" s="118"/>
    </row>
    <row r="22" spans="1:53" ht="409.5" x14ac:dyDescent="0.25">
      <c r="A22" s="108" t="s">
        <v>438</v>
      </c>
      <c r="B22" s="109" t="s">
        <v>953</v>
      </c>
      <c r="C22" s="109" t="s">
        <v>986</v>
      </c>
      <c r="D22" s="109" t="s">
        <v>987</v>
      </c>
      <c r="E22" s="123">
        <v>163535</v>
      </c>
      <c r="F22" s="108" t="s">
        <v>956</v>
      </c>
      <c r="G22" s="943"/>
      <c r="H22" s="109" t="s">
        <v>988</v>
      </c>
      <c r="I22" s="109" t="s">
        <v>989</v>
      </c>
      <c r="J22" s="112">
        <v>163535</v>
      </c>
      <c r="K22" s="113" t="s">
        <v>527</v>
      </c>
      <c r="L22" s="114">
        <v>163535</v>
      </c>
      <c r="M22" s="115">
        <v>163535</v>
      </c>
      <c r="N22" s="120" t="s">
        <v>989</v>
      </c>
      <c r="O22" s="117">
        <v>138845</v>
      </c>
      <c r="P22" s="121">
        <v>32427028</v>
      </c>
      <c r="Q22" s="118"/>
      <c r="R22" s="118"/>
      <c r="S22" s="118"/>
      <c r="T22" s="118"/>
      <c r="U22" s="124">
        <v>7050</v>
      </c>
      <c r="V22" s="119"/>
      <c r="W22" s="119"/>
      <c r="X22" s="119"/>
      <c r="Y22" s="125">
        <v>11000000</v>
      </c>
      <c r="Z22" s="119"/>
      <c r="AA22" s="125">
        <v>21966129</v>
      </c>
      <c r="AB22" s="118"/>
      <c r="AC22" s="118"/>
      <c r="AD22" s="118"/>
      <c r="AE22" s="118"/>
      <c r="AF22" s="118"/>
      <c r="AG22" s="126" t="s">
        <v>990</v>
      </c>
      <c r="AH22" s="117" t="s">
        <v>960</v>
      </c>
      <c r="AI22" s="117" t="s">
        <v>991</v>
      </c>
      <c r="AJ22" s="117" t="s">
        <v>856</v>
      </c>
      <c r="AK22" s="117">
        <v>163535</v>
      </c>
      <c r="AL22" s="127">
        <v>4731445</v>
      </c>
      <c r="AM22" s="126" t="s">
        <v>992</v>
      </c>
      <c r="AN22" s="117" t="s">
        <v>536</v>
      </c>
      <c r="AO22" s="117" t="s">
        <v>536</v>
      </c>
      <c r="AP22" s="117" t="s">
        <v>536</v>
      </c>
      <c r="AQ22" s="117" t="s">
        <v>536</v>
      </c>
      <c r="AR22" s="117" t="s">
        <v>536</v>
      </c>
      <c r="AS22" s="117" t="s">
        <v>536</v>
      </c>
      <c r="AT22" s="117" t="s">
        <v>536</v>
      </c>
      <c r="AU22" s="117" t="s">
        <v>536</v>
      </c>
      <c r="AV22" s="117" t="s">
        <v>536</v>
      </c>
      <c r="AW22" s="117" t="s">
        <v>536</v>
      </c>
      <c r="AX22" s="117" t="s">
        <v>536</v>
      </c>
      <c r="AY22" s="117" t="s">
        <v>536</v>
      </c>
      <c r="AZ22" s="116" t="s">
        <v>993</v>
      </c>
      <c r="BA22" s="128" t="s">
        <v>994</v>
      </c>
    </row>
    <row r="23" spans="1:53" ht="409.5" x14ac:dyDescent="0.25">
      <c r="A23" s="108" t="s">
        <v>438</v>
      </c>
      <c r="B23" s="109" t="s">
        <v>953</v>
      </c>
      <c r="C23" s="109" t="s">
        <v>995</v>
      </c>
      <c r="D23" s="109" t="s">
        <v>996</v>
      </c>
      <c r="E23" s="123">
        <v>0</v>
      </c>
      <c r="F23" s="108" t="s">
        <v>956</v>
      </c>
      <c r="G23" s="943"/>
      <c r="H23" s="109" t="s">
        <v>997</v>
      </c>
      <c r="I23" s="109" t="s">
        <v>998</v>
      </c>
      <c r="J23" s="112">
        <v>0</v>
      </c>
      <c r="K23" s="113" t="s">
        <v>526</v>
      </c>
      <c r="L23" s="114">
        <v>1</v>
      </c>
      <c r="M23" s="113">
        <v>0</v>
      </c>
      <c r="N23" s="120" t="s">
        <v>998</v>
      </c>
      <c r="O23" s="129">
        <v>1</v>
      </c>
      <c r="P23" s="130">
        <v>0</v>
      </c>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12" t="s">
        <v>999</v>
      </c>
      <c r="BA23" s="116" t="s">
        <v>1000</v>
      </c>
    </row>
    <row r="24" spans="1:53" ht="195" x14ac:dyDescent="0.25">
      <c r="A24" s="108" t="s">
        <v>438</v>
      </c>
      <c r="B24" s="109" t="s">
        <v>953</v>
      </c>
      <c r="C24" s="109" t="s">
        <v>1001</v>
      </c>
      <c r="D24" s="109" t="s">
        <v>1002</v>
      </c>
      <c r="E24" s="123">
        <v>3725</v>
      </c>
      <c r="F24" s="108" t="s">
        <v>956</v>
      </c>
      <c r="G24" s="943"/>
      <c r="H24" s="109" t="s">
        <v>1001</v>
      </c>
      <c r="I24" s="109" t="s">
        <v>1002</v>
      </c>
      <c r="J24" s="112">
        <v>1</v>
      </c>
      <c r="K24" s="113" t="s">
        <v>527</v>
      </c>
      <c r="L24" s="132">
        <v>1</v>
      </c>
      <c r="M24" s="133">
        <v>1</v>
      </c>
      <c r="N24" s="120" t="s">
        <v>1002</v>
      </c>
      <c r="O24" s="134">
        <v>0.75</v>
      </c>
      <c r="P24" s="135">
        <v>0</v>
      </c>
      <c r="Q24" s="118"/>
      <c r="R24" s="118"/>
      <c r="S24" s="118"/>
      <c r="T24" s="118"/>
      <c r="U24" s="118"/>
      <c r="V24" s="118"/>
      <c r="W24" s="118"/>
      <c r="X24" s="118"/>
      <c r="Y24" s="118"/>
      <c r="Z24" s="118"/>
      <c r="AA24" s="118"/>
      <c r="AB24" s="118"/>
      <c r="AC24" s="118"/>
      <c r="AD24" s="118"/>
      <c r="AE24" s="118"/>
      <c r="AF24" s="118"/>
      <c r="AG24" s="117" t="s">
        <v>960</v>
      </c>
      <c r="AH24" s="117" t="s">
        <v>960</v>
      </c>
      <c r="AI24" s="117" t="s">
        <v>960</v>
      </c>
      <c r="AJ24" s="117" t="s">
        <v>960</v>
      </c>
      <c r="AK24" s="117" t="s">
        <v>960</v>
      </c>
      <c r="AL24" s="117" t="s">
        <v>960</v>
      </c>
      <c r="AM24" s="117" t="s">
        <v>960</v>
      </c>
      <c r="AN24" s="118"/>
      <c r="AO24" s="117" t="s">
        <v>536</v>
      </c>
      <c r="AP24" s="117" t="s">
        <v>536</v>
      </c>
      <c r="AQ24" s="117" t="s">
        <v>536</v>
      </c>
      <c r="AR24" s="117" t="s">
        <v>536</v>
      </c>
      <c r="AS24" s="117" t="s">
        <v>536</v>
      </c>
      <c r="AT24" s="117" t="s">
        <v>536</v>
      </c>
      <c r="AU24" s="117" t="s">
        <v>536</v>
      </c>
      <c r="AV24" s="117" t="s">
        <v>536</v>
      </c>
      <c r="AW24" s="117" t="s">
        <v>536</v>
      </c>
      <c r="AX24" s="117" t="s">
        <v>536</v>
      </c>
      <c r="AY24" s="117" t="s">
        <v>536</v>
      </c>
      <c r="AZ24" s="116" t="s">
        <v>961</v>
      </c>
      <c r="BA24" s="118"/>
    </row>
    <row r="25" spans="1:53" ht="285" x14ac:dyDescent="0.25">
      <c r="A25" s="108" t="s">
        <v>438</v>
      </c>
      <c r="B25" s="109" t="s">
        <v>953</v>
      </c>
      <c r="C25" s="109" t="s">
        <v>1003</v>
      </c>
      <c r="D25" s="109" t="s">
        <v>1004</v>
      </c>
      <c r="E25" s="123">
        <v>49</v>
      </c>
      <c r="F25" s="108" t="s">
        <v>956</v>
      </c>
      <c r="G25" s="943"/>
      <c r="H25" s="109" t="s">
        <v>1003</v>
      </c>
      <c r="I25" s="109" t="s">
        <v>1004</v>
      </c>
      <c r="J25" s="112">
        <v>1</v>
      </c>
      <c r="K25" s="113" t="s">
        <v>527</v>
      </c>
      <c r="L25" s="132">
        <v>1</v>
      </c>
      <c r="M25" s="133">
        <v>1</v>
      </c>
      <c r="N25" s="120" t="s">
        <v>1004</v>
      </c>
      <c r="O25" s="117">
        <v>0.68</v>
      </c>
      <c r="P25" s="121">
        <v>200000</v>
      </c>
      <c r="Q25" s="118"/>
      <c r="R25" s="118"/>
      <c r="S25" s="118"/>
      <c r="T25" s="118"/>
      <c r="U25" s="118"/>
      <c r="V25" s="118"/>
      <c r="W25" s="118"/>
      <c r="X25" s="118"/>
      <c r="Y25" s="118"/>
      <c r="Z25" s="118"/>
      <c r="AA25" s="118"/>
      <c r="AB25" s="118"/>
      <c r="AC25" s="118"/>
      <c r="AD25" s="118"/>
      <c r="AE25" s="118"/>
      <c r="AF25" s="118"/>
      <c r="AG25" s="117" t="s">
        <v>960</v>
      </c>
      <c r="AH25" s="117" t="s">
        <v>960</v>
      </c>
      <c r="AI25" s="117" t="s">
        <v>960</v>
      </c>
      <c r="AJ25" s="117" t="s">
        <v>960</v>
      </c>
      <c r="AK25" s="117" t="s">
        <v>960</v>
      </c>
      <c r="AL25" s="117" t="s">
        <v>960</v>
      </c>
      <c r="AM25" s="117" t="s">
        <v>960</v>
      </c>
      <c r="AN25" s="118"/>
      <c r="AO25" s="117" t="s">
        <v>536</v>
      </c>
      <c r="AP25" s="117" t="s">
        <v>536</v>
      </c>
      <c r="AQ25" s="117" t="s">
        <v>536</v>
      </c>
      <c r="AR25" s="117" t="s">
        <v>536</v>
      </c>
      <c r="AS25" s="117" t="s">
        <v>536</v>
      </c>
      <c r="AT25" s="117" t="s">
        <v>536</v>
      </c>
      <c r="AU25" s="117" t="s">
        <v>536</v>
      </c>
      <c r="AV25" s="117" t="s">
        <v>536</v>
      </c>
      <c r="AW25" s="117" t="s">
        <v>536</v>
      </c>
      <c r="AX25" s="117" t="s">
        <v>536</v>
      </c>
      <c r="AY25" s="117" t="s">
        <v>536</v>
      </c>
      <c r="AZ25" s="116" t="s">
        <v>961</v>
      </c>
      <c r="BA25" s="118"/>
    </row>
    <row r="26" spans="1:53" ht="180" x14ac:dyDescent="0.25">
      <c r="A26" s="108" t="s">
        <v>438</v>
      </c>
      <c r="B26" s="109" t="s">
        <v>953</v>
      </c>
      <c r="C26" s="942" t="s">
        <v>1005</v>
      </c>
      <c r="D26" s="942" t="s">
        <v>1006</v>
      </c>
      <c r="E26" s="944">
        <v>146</v>
      </c>
      <c r="F26" s="108" t="s">
        <v>956</v>
      </c>
      <c r="G26" s="943"/>
      <c r="H26" s="108" t="s">
        <v>1007</v>
      </c>
      <c r="I26" s="109" t="s">
        <v>1008</v>
      </c>
      <c r="J26" s="112">
        <v>146</v>
      </c>
      <c r="K26" s="113" t="s">
        <v>526</v>
      </c>
      <c r="L26" s="114">
        <v>146</v>
      </c>
      <c r="M26" s="113">
        <v>38</v>
      </c>
      <c r="N26" s="120" t="s">
        <v>1008</v>
      </c>
      <c r="O26" s="117">
        <v>10</v>
      </c>
      <c r="P26" s="121">
        <v>57500</v>
      </c>
      <c r="Q26" s="121">
        <v>57500</v>
      </c>
      <c r="R26" s="118"/>
      <c r="S26" s="118"/>
      <c r="T26" s="118"/>
      <c r="U26" s="118"/>
      <c r="V26" s="118"/>
      <c r="W26" s="118"/>
      <c r="X26" s="118"/>
      <c r="Y26" s="118"/>
      <c r="Z26" s="118"/>
      <c r="AA26" s="118"/>
      <c r="AB26" s="118"/>
      <c r="AC26" s="118"/>
      <c r="AD26" s="117"/>
      <c r="AE26" s="118"/>
      <c r="AF26" s="118"/>
      <c r="AG26" s="930" t="s">
        <v>1009</v>
      </c>
      <c r="AH26" s="952">
        <v>2017003190203</v>
      </c>
      <c r="AI26" s="932" t="s">
        <v>1010</v>
      </c>
      <c r="AJ26" s="932" t="s">
        <v>856</v>
      </c>
      <c r="AK26" s="930" t="s">
        <v>1011</v>
      </c>
      <c r="AL26" s="932">
        <v>1400000</v>
      </c>
      <c r="AM26" s="117" t="s">
        <v>1012</v>
      </c>
      <c r="AN26" s="117" t="s">
        <v>536</v>
      </c>
      <c r="AO26" s="117" t="s">
        <v>536</v>
      </c>
      <c r="AP26" s="117" t="s">
        <v>536</v>
      </c>
      <c r="AQ26" s="117" t="s">
        <v>536</v>
      </c>
      <c r="AR26" s="117" t="s">
        <v>536</v>
      </c>
      <c r="AS26" s="117" t="s">
        <v>536</v>
      </c>
      <c r="AT26" s="117" t="s">
        <v>536</v>
      </c>
      <c r="AU26" s="117" t="s">
        <v>536</v>
      </c>
      <c r="AV26" s="117" t="s">
        <v>536</v>
      </c>
      <c r="AW26" s="117" t="s">
        <v>536</v>
      </c>
      <c r="AX26" s="117" t="s">
        <v>536</v>
      </c>
      <c r="AY26" s="117" t="s">
        <v>536</v>
      </c>
      <c r="AZ26" s="930" t="s">
        <v>1013</v>
      </c>
      <c r="BA26" s="948" t="s">
        <v>1014</v>
      </c>
    </row>
    <row r="27" spans="1:53" ht="165" x14ac:dyDescent="0.25">
      <c r="A27" s="108" t="s">
        <v>438</v>
      </c>
      <c r="B27" s="109" t="s">
        <v>953</v>
      </c>
      <c r="C27" s="943"/>
      <c r="D27" s="943"/>
      <c r="E27" s="943"/>
      <c r="F27" s="108" t="s">
        <v>956</v>
      </c>
      <c r="G27" s="943"/>
      <c r="H27" s="137" t="s">
        <v>1015</v>
      </c>
      <c r="I27" s="108" t="s">
        <v>1016</v>
      </c>
      <c r="J27" s="112">
        <v>0</v>
      </c>
      <c r="K27" s="113" t="s">
        <v>526</v>
      </c>
      <c r="L27" s="114">
        <v>420</v>
      </c>
      <c r="M27" s="113">
        <v>136</v>
      </c>
      <c r="N27" s="138" t="s">
        <v>1016</v>
      </c>
      <c r="O27" s="117">
        <v>19</v>
      </c>
      <c r="P27" s="121">
        <v>348000</v>
      </c>
      <c r="Q27" s="121">
        <v>348000</v>
      </c>
      <c r="R27" s="118"/>
      <c r="S27" s="118"/>
      <c r="T27" s="118"/>
      <c r="U27" s="118"/>
      <c r="V27" s="118"/>
      <c r="W27" s="118"/>
      <c r="X27" s="118"/>
      <c r="Y27" s="118"/>
      <c r="Z27" s="118"/>
      <c r="AA27" s="118"/>
      <c r="AB27" s="118"/>
      <c r="AC27" s="118"/>
      <c r="AD27" s="117"/>
      <c r="AE27" s="118"/>
      <c r="AF27" s="118"/>
      <c r="AG27" s="931"/>
      <c r="AH27" s="953"/>
      <c r="AI27" s="933"/>
      <c r="AJ27" s="933"/>
      <c r="AK27" s="933"/>
      <c r="AL27" s="933"/>
      <c r="AM27" s="117" t="s">
        <v>1017</v>
      </c>
      <c r="AN27" s="117" t="s">
        <v>536</v>
      </c>
      <c r="AO27" s="117" t="s">
        <v>536</v>
      </c>
      <c r="AP27" s="117" t="s">
        <v>536</v>
      </c>
      <c r="AQ27" s="117" t="s">
        <v>536</v>
      </c>
      <c r="AR27" s="117" t="s">
        <v>536</v>
      </c>
      <c r="AS27" s="117" t="s">
        <v>536</v>
      </c>
      <c r="AT27" s="117" t="s">
        <v>536</v>
      </c>
      <c r="AU27" s="117" t="s">
        <v>536</v>
      </c>
      <c r="AV27" s="117" t="s">
        <v>536</v>
      </c>
      <c r="AW27" s="117" t="s">
        <v>536</v>
      </c>
      <c r="AX27" s="117" t="s">
        <v>536</v>
      </c>
      <c r="AY27" s="117" t="s">
        <v>536</v>
      </c>
      <c r="AZ27" s="931"/>
      <c r="BA27" s="949"/>
    </row>
    <row r="28" spans="1:53" ht="409.5" x14ac:dyDescent="0.25">
      <c r="A28" s="108" t="s">
        <v>438</v>
      </c>
      <c r="B28" s="109" t="s">
        <v>953</v>
      </c>
      <c r="C28" s="936" t="s">
        <v>1018</v>
      </c>
      <c r="D28" s="936" t="s">
        <v>1019</v>
      </c>
      <c r="E28" s="936">
        <v>125</v>
      </c>
      <c r="F28" s="108" t="s">
        <v>1020</v>
      </c>
      <c r="G28" s="936" t="s">
        <v>1021</v>
      </c>
      <c r="H28" s="120" t="s">
        <v>1022</v>
      </c>
      <c r="I28" s="120" t="s">
        <v>1023</v>
      </c>
      <c r="J28" s="112">
        <v>410</v>
      </c>
      <c r="K28" s="113" t="s">
        <v>526</v>
      </c>
      <c r="L28" s="114">
        <v>120</v>
      </c>
      <c r="M28" s="113">
        <v>43</v>
      </c>
      <c r="N28" s="120" t="s">
        <v>1023</v>
      </c>
      <c r="O28" s="117">
        <v>68</v>
      </c>
      <c r="P28" s="121">
        <v>7105000</v>
      </c>
      <c r="Q28" s="125">
        <v>525000</v>
      </c>
      <c r="R28" s="125"/>
      <c r="S28" s="125"/>
      <c r="T28" s="125"/>
      <c r="U28" s="125"/>
      <c r="V28" s="125">
        <v>630000</v>
      </c>
      <c r="W28" s="125">
        <v>4200000</v>
      </c>
      <c r="X28" s="125"/>
      <c r="Y28" s="125"/>
      <c r="Z28" s="125"/>
      <c r="AA28" s="125"/>
      <c r="AB28" s="125"/>
      <c r="AC28" s="125"/>
      <c r="AD28" s="125">
        <v>1750000</v>
      </c>
      <c r="AE28" s="125"/>
      <c r="AF28" s="125"/>
      <c r="AG28" s="140" t="s">
        <v>1024</v>
      </c>
      <c r="AH28" s="141" t="s">
        <v>1025</v>
      </c>
      <c r="AI28" s="141" t="s">
        <v>1026</v>
      </c>
      <c r="AJ28" s="142" t="s">
        <v>1027</v>
      </c>
      <c r="AK28" s="143" t="s">
        <v>1028</v>
      </c>
      <c r="AL28" s="121">
        <v>7105000</v>
      </c>
      <c r="AM28" s="141" t="s">
        <v>1029</v>
      </c>
      <c r="AN28" s="144" t="s">
        <v>554</v>
      </c>
      <c r="AO28" s="144" t="s">
        <v>554</v>
      </c>
      <c r="AP28" s="144" t="s">
        <v>554</v>
      </c>
      <c r="AQ28" s="144" t="s">
        <v>554</v>
      </c>
      <c r="AR28" s="144" t="s">
        <v>554</v>
      </c>
      <c r="AS28" s="144" t="s">
        <v>554</v>
      </c>
      <c r="AT28" s="144" t="s">
        <v>554</v>
      </c>
      <c r="AU28" s="144" t="s">
        <v>554</v>
      </c>
      <c r="AV28" s="144" t="s">
        <v>554</v>
      </c>
      <c r="AW28" s="144" t="s">
        <v>554</v>
      </c>
      <c r="AX28" s="144" t="s">
        <v>554</v>
      </c>
      <c r="AY28" s="142" t="s">
        <v>554</v>
      </c>
      <c r="AZ28" s="145" t="s">
        <v>1030</v>
      </c>
      <c r="BA28" s="128" t="s">
        <v>1031</v>
      </c>
    </row>
    <row r="29" spans="1:53" ht="409.5" x14ac:dyDescent="0.25">
      <c r="A29" s="108" t="s">
        <v>438</v>
      </c>
      <c r="B29" s="109" t="s">
        <v>953</v>
      </c>
      <c r="C29" s="947"/>
      <c r="D29" s="947"/>
      <c r="E29" s="947"/>
      <c r="F29" s="108" t="s">
        <v>1020</v>
      </c>
      <c r="G29" s="947"/>
      <c r="H29" s="120" t="s">
        <v>1032</v>
      </c>
      <c r="I29" s="120" t="s">
        <v>1033</v>
      </c>
      <c r="J29" s="112">
        <v>7</v>
      </c>
      <c r="K29" s="113" t="s">
        <v>526</v>
      </c>
      <c r="L29" s="114">
        <v>3</v>
      </c>
      <c r="M29" s="113">
        <v>1</v>
      </c>
      <c r="N29" s="120" t="s">
        <v>1033</v>
      </c>
      <c r="O29" s="117">
        <v>0</v>
      </c>
      <c r="P29" s="121">
        <v>1827900</v>
      </c>
      <c r="Q29" s="125">
        <v>207900</v>
      </c>
      <c r="R29" s="125"/>
      <c r="S29" s="125"/>
      <c r="T29" s="125"/>
      <c r="U29" s="125"/>
      <c r="V29" s="125">
        <v>120000</v>
      </c>
      <c r="W29" s="125">
        <v>1500000</v>
      </c>
      <c r="X29" s="118"/>
      <c r="Y29" s="118"/>
      <c r="Z29" s="118"/>
      <c r="AA29" s="118"/>
      <c r="AB29" s="118"/>
      <c r="AC29" s="118"/>
      <c r="AD29" s="118"/>
      <c r="AE29" s="118"/>
      <c r="AF29" s="118"/>
      <c r="AG29" s="140" t="s">
        <v>1034</v>
      </c>
      <c r="AH29" s="141" t="s">
        <v>1025</v>
      </c>
      <c r="AI29" s="116" t="s">
        <v>1035</v>
      </c>
      <c r="AJ29" s="117" t="s">
        <v>1036</v>
      </c>
      <c r="AK29" s="143" t="s">
        <v>1037</v>
      </c>
      <c r="AL29" s="124">
        <v>3500000</v>
      </c>
      <c r="AM29" s="119" t="s">
        <v>1038</v>
      </c>
      <c r="AN29" s="118"/>
      <c r="AO29" s="144" t="s">
        <v>554</v>
      </c>
      <c r="AP29" s="144" t="s">
        <v>554</v>
      </c>
      <c r="AQ29" s="144" t="s">
        <v>554</v>
      </c>
      <c r="AR29" s="144" t="s">
        <v>554</v>
      </c>
      <c r="AS29" s="144" t="s">
        <v>554</v>
      </c>
      <c r="AT29" s="144" t="s">
        <v>554</v>
      </c>
      <c r="AU29" s="144" t="s">
        <v>554</v>
      </c>
      <c r="AV29" s="144" t="s">
        <v>554</v>
      </c>
      <c r="AW29" s="144" t="s">
        <v>554</v>
      </c>
      <c r="AX29" s="144" t="s">
        <v>554</v>
      </c>
      <c r="AY29" s="142" t="s">
        <v>554</v>
      </c>
      <c r="AZ29" s="145" t="s">
        <v>1030</v>
      </c>
      <c r="BA29" s="128" t="s">
        <v>1039</v>
      </c>
    </row>
    <row r="30" spans="1:53" ht="240" x14ac:dyDescent="0.25">
      <c r="A30" s="108" t="s">
        <v>438</v>
      </c>
      <c r="B30" s="109" t="s">
        <v>953</v>
      </c>
      <c r="C30" s="947"/>
      <c r="D30" s="947"/>
      <c r="E30" s="947"/>
      <c r="F30" s="108" t="s">
        <v>1020</v>
      </c>
      <c r="G30" s="947"/>
      <c r="H30" s="120" t="s">
        <v>1040</v>
      </c>
      <c r="I30" s="147" t="s">
        <v>1041</v>
      </c>
      <c r="J30" s="112">
        <v>0</v>
      </c>
      <c r="K30" s="113" t="s">
        <v>526</v>
      </c>
      <c r="L30" s="114">
        <v>3</v>
      </c>
      <c r="M30" s="113">
        <v>1</v>
      </c>
      <c r="N30" s="120" t="s">
        <v>1041</v>
      </c>
      <c r="O30" s="117">
        <v>0</v>
      </c>
      <c r="P30" s="121">
        <v>210000</v>
      </c>
      <c r="Q30" s="121">
        <v>210000</v>
      </c>
      <c r="R30" s="125"/>
      <c r="S30" s="125"/>
      <c r="T30" s="125"/>
      <c r="U30" s="125"/>
      <c r="V30" s="125"/>
      <c r="W30" s="125"/>
      <c r="X30" s="125"/>
      <c r="Y30" s="118"/>
      <c r="Z30" s="118"/>
      <c r="AA30" s="118"/>
      <c r="AB30" s="118"/>
      <c r="AC30" s="118"/>
      <c r="AD30" s="118"/>
      <c r="AE30" s="118"/>
      <c r="AF30" s="118"/>
      <c r="AG30" s="141" t="s">
        <v>1042</v>
      </c>
      <c r="AH30" s="144" t="s">
        <v>1042</v>
      </c>
      <c r="AI30" s="141" t="s">
        <v>1042</v>
      </c>
      <c r="AJ30" s="144" t="s">
        <v>1042</v>
      </c>
      <c r="AK30" s="143" t="s">
        <v>1042</v>
      </c>
      <c r="AL30" s="144" t="s">
        <v>1042</v>
      </c>
      <c r="AM30" s="141" t="s">
        <v>1042</v>
      </c>
      <c r="AN30" s="141"/>
      <c r="AO30" s="141"/>
      <c r="AP30" s="144" t="s">
        <v>554</v>
      </c>
      <c r="AQ30" s="144" t="s">
        <v>554</v>
      </c>
      <c r="AR30" s="144" t="s">
        <v>554</v>
      </c>
      <c r="AS30" s="144" t="s">
        <v>554</v>
      </c>
      <c r="AT30" s="144" t="s">
        <v>554</v>
      </c>
      <c r="AU30" s="144" t="s">
        <v>554</v>
      </c>
      <c r="AV30" s="144" t="s">
        <v>554</v>
      </c>
      <c r="AW30" s="144" t="s">
        <v>554</v>
      </c>
      <c r="AX30" s="144" t="s">
        <v>554</v>
      </c>
      <c r="AY30" s="142" t="s">
        <v>554</v>
      </c>
      <c r="AZ30" s="145" t="s">
        <v>1030</v>
      </c>
      <c r="BA30" s="148"/>
    </row>
    <row r="31" spans="1:53" ht="285" x14ac:dyDescent="0.25">
      <c r="A31" s="108" t="s">
        <v>438</v>
      </c>
      <c r="B31" s="109" t="s">
        <v>953</v>
      </c>
      <c r="C31" s="947"/>
      <c r="D31" s="947"/>
      <c r="E31" s="947"/>
      <c r="F31" s="108" t="s">
        <v>1020</v>
      </c>
      <c r="G31" s="947"/>
      <c r="H31" s="120" t="s">
        <v>1043</v>
      </c>
      <c r="I31" s="120" t="s">
        <v>1044</v>
      </c>
      <c r="J31" s="112">
        <v>5</v>
      </c>
      <c r="K31" s="113" t="s">
        <v>526</v>
      </c>
      <c r="L31" s="114">
        <v>5</v>
      </c>
      <c r="M31" s="113">
        <v>1</v>
      </c>
      <c r="N31" s="120" t="s">
        <v>1044</v>
      </c>
      <c r="O31" s="117">
        <v>1</v>
      </c>
      <c r="P31" s="121">
        <v>150000</v>
      </c>
      <c r="Q31" s="124">
        <v>90000</v>
      </c>
      <c r="R31" s="124"/>
      <c r="S31" s="124"/>
      <c r="T31" s="124"/>
      <c r="U31" s="124"/>
      <c r="V31" s="124">
        <v>60000</v>
      </c>
      <c r="W31" s="124"/>
      <c r="X31" s="124"/>
      <c r="Y31" s="124"/>
      <c r="Z31" s="124"/>
      <c r="AA31" s="124"/>
      <c r="AB31" s="124"/>
      <c r="AC31" s="124"/>
      <c r="AD31" s="124"/>
      <c r="AE31" s="125"/>
      <c r="AF31" s="125"/>
      <c r="AG31" s="140" t="s">
        <v>1045</v>
      </c>
      <c r="AH31" s="144" t="s">
        <v>1042</v>
      </c>
      <c r="AI31" s="141" t="s">
        <v>1046</v>
      </c>
      <c r="AJ31" s="117" t="s">
        <v>1047</v>
      </c>
      <c r="AK31" s="143" t="s">
        <v>1042</v>
      </c>
      <c r="AL31" s="144" t="s">
        <v>1042</v>
      </c>
      <c r="AM31" s="141" t="s">
        <v>1048</v>
      </c>
      <c r="AN31" s="144" t="s">
        <v>554</v>
      </c>
      <c r="AO31" s="144" t="s">
        <v>554</v>
      </c>
      <c r="AP31" s="144" t="s">
        <v>554</v>
      </c>
      <c r="AQ31" s="144" t="s">
        <v>554</v>
      </c>
      <c r="AR31" s="144" t="s">
        <v>554</v>
      </c>
      <c r="AS31" s="144" t="s">
        <v>554</v>
      </c>
      <c r="AT31" s="144" t="s">
        <v>554</v>
      </c>
      <c r="AU31" s="144" t="s">
        <v>554</v>
      </c>
      <c r="AV31" s="144" t="s">
        <v>554</v>
      </c>
      <c r="AW31" s="144" t="s">
        <v>554</v>
      </c>
      <c r="AX31" s="144" t="s">
        <v>554</v>
      </c>
      <c r="AY31" s="142" t="s">
        <v>554</v>
      </c>
      <c r="AZ31" s="145" t="s">
        <v>1030</v>
      </c>
      <c r="BA31" s="128" t="s">
        <v>1049</v>
      </c>
    </row>
    <row r="32" spans="1:53" ht="409.5" x14ac:dyDescent="0.25">
      <c r="A32" s="108" t="s">
        <v>438</v>
      </c>
      <c r="B32" s="109" t="s">
        <v>953</v>
      </c>
      <c r="C32" s="947"/>
      <c r="D32" s="947"/>
      <c r="E32" s="947"/>
      <c r="F32" s="108" t="s">
        <v>1020</v>
      </c>
      <c r="G32" s="947"/>
      <c r="H32" s="120" t="s">
        <v>1050</v>
      </c>
      <c r="I32" s="120" t="s">
        <v>1051</v>
      </c>
      <c r="J32" s="112">
        <v>60</v>
      </c>
      <c r="K32" s="113" t="s">
        <v>526</v>
      </c>
      <c r="L32" s="114">
        <v>150</v>
      </c>
      <c r="M32" s="113">
        <v>48</v>
      </c>
      <c r="N32" s="120" t="s">
        <v>1051</v>
      </c>
      <c r="O32" s="117">
        <v>10</v>
      </c>
      <c r="P32" s="121">
        <v>3660000</v>
      </c>
      <c r="Q32" s="124">
        <v>120000</v>
      </c>
      <c r="R32" s="124"/>
      <c r="S32" s="124"/>
      <c r="T32" s="124"/>
      <c r="U32" s="124"/>
      <c r="V32" s="124">
        <v>1400000</v>
      </c>
      <c r="W32" s="124">
        <v>2100000</v>
      </c>
      <c r="X32" s="124"/>
      <c r="Y32" s="124"/>
      <c r="Z32" s="124"/>
      <c r="AA32" s="124"/>
      <c r="AB32" s="124"/>
      <c r="AC32" s="124"/>
      <c r="AD32" s="124">
        <v>40000</v>
      </c>
      <c r="AE32" s="125"/>
      <c r="AF32" s="125"/>
      <c r="AG32" s="140" t="s">
        <v>1052</v>
      </c>
      <c r="AH32" s="144" t="s">
        <v>1042</v>
      </c>
      <c r="AI32" s="141" t="s">
        <v>1053</v>
      </c>
      <c r="AJ32" s="126" t="s">
        <v>1054</v>
      </c>
      <c r="AK32" s="143" t="s">
        <v>1042</v>
      </c>
      <c r="AL32" s="144" t="s">
        <v>1042</v>
      </c>
      <c r="AM32" s="141" t="s">
        <v>1055</v>
      </c>
      <c r="AN32" s="144" t="s">
        <v>554</v>
      </c>
      <c r="AO32" s="144" t="s">
        <v>554</v>
      </c>
      <c r="AP32" s="144" t="s">
        <v>554</v>
      </c>
      <c r="AQ32" s="144" t="s">
        <v>554</v>
      </c>
      <c r="AR32" s="144" t="s">
        <v>554</v>
      </c>
      <c r="AS32" s="144" t="s">
        <v>554</v>
      </c>
      <c r="AT32" s="144" t="s">
        <v>554</v>
      </c>
      <c r="AU32" s="144" t="s">
        <v>554</v>
      </c>
      <c r="AV32" s="144" t="s">
        <v>554</v>
      </c>
      <c r="AW32" s="144" t="s">
        <v>554</v>
      </c>
      <c r="AX32" s="144" t="s">
        <v>554</v>
      </c>
      <c r="AY32" s="142" t="s">
        <v>554</v>
      </c>
      <c r="AZ32" s="145" t="s">
        <v>1030</v>
      </c>
      <c r="BA32" s="128" t="s">
        <v>1056</v>
      </c>
    </row>
    <row r="33" spans="1:53" ht="409.5" x14ac:dyDescent="0.25">
      <c r="A33" s="108" t="s">
        <v>438</v>
      </c>
      <c r="B33" s="109" t="s">
        <v>953</v>
      </c>
      <c r="C33" s="947"/>
      <c r="D33" s="947"/>
      <c r="E33" s="947"/>
      <c r="F33" s="108" t="s">
        <v>1020</v>
      </c>
      <c r="G33" s="947"/>
      <c r="H33" s="120" t="s">
        <v>1057</v>
      </c>
      <c r="I33" s="120" t="s">
        <v>1058</v>
      </c>
      <c r="J33" s="112">
        <v>52</v>
      </c>
      <c r="K33" s="113" t="s">
        <v>526</v>
      </c>
      <c r="L33" s="114">
        <v>20</v>
      </c>
      <c r="M33" s="113">
        <v>3</v>
      </c>
      <c r="N33" s="120" t="s">
        <v>1058</v>
      </c>
      <c r="O33" s="117">
        <v>8</v>
      </c>
      <c r="P33" s="121">
        <v>336000</v>
      </c>
      <c r="Q33" s="124">
        <v>144000</v>
      </c>
      <c r="R33" s="124"/>
      <c r="S33" s="124"/>
      <c r="T33" s="124"/>
      <c r="U33" s="124"/>
      <c r="V33" s="124">
        <v>96000</v>
      </c>
      <c r="W33" s="124"/>
      <c r="X33" s="124"/>
      <c r="Y33" s="124"/>
      <c r="Z33" s="124"/>
      <c r="AA33" s="124"/>
      <c r="AB33" s="124"/>
      <c r="AC33" s="124"/>
      <c r="AD33" s="124">
        <v>96000</v>
      </c>
      <c r="AE33" s="124"/>
      <c r="AF33" s="124"/>
      <c r="AG33" s="140" t="s">
        <v>1059</v>
      </c>
      <c r="AH33" s="144" t="s">
        <v>1042</v>
      </c>
      <c r="AI33" s="141" t="s">
        <v>1060</v>
      </c>
      <c r="AJ33" s="149"/>
      <c r="AK33" s="143" t="s">
        <v>1042</v>
      </c>
      <c r="AL33" s="144" t="s">
        <v>1042</v>
      </c>
      <c r="AM33" s="141" t="s">
        <v>1061</v>
      </c>
      <c r="AN33" s="144" t="s">
        <v>554</v>
      </c>
      <c r="AO33" s="144" t="s">
        <v>554</v>
      </c>
      <c r="AP33" s="144" t="s">
        <v>554</v>
      </c>
      <c r="AQ33" s="144" t="s">
        <v>554</v>
      </c>
      <c r="AR33" s="144" t="s">
        <v>554</v>
      </c>
      <c r="AS33" s="144" t="s">
        <v>554</v>
      </c>
      <c r="AT33" s="144" t="s">
        <v>554</v>
      </c>
      <c r="AU33" s="144" t="s">
        <v>554</v>
      </c>
      <c r="AV33" s="144" t="s">
        <v>554</v>
      </c>
      <c r="AW33" s="144" t="s">
        <v>554</v>
      </c>
      <c r="AX33" s="144" t="s">
        <v>554</v>
      </c>
      <c r="AY33" s="142" t="s">
        <v>554</v>
      </c>
      <c r="AZ33" s="145" t="s">
        <v>1030</v>
      </c>
      <c r="BA33" s="128" t="s">
        <v>1062</v>
      </c>
    </row>
    <row r="34" spans="1:53" ht="409.5" x14ac:dyDescent="0.25">
      <c r="A34" s="108" t="s">
        <v>438</v>
      </c>
      <c r="B34" s="109" t="s">
        <v>953</v>
      </c>
      <c r="C34" s="947"/>
      <c r="D34" s="947"/>
      <c r="E34" s="947"/>
      <c r="F34" s="108" t="s">
        <v>1020</v>
      </c>
      <c r="G34" s="947"/>
      <c r="H34" s="120" t="s">
        <v>1063</v>
      </c>
      <c r="I34" s="120" t="s">
        <v>1064</v>
      </c>
      <c r="J34" s="112">
        <v>16</v>
      </c>
      <c r="K34" s="113" t="s">
        <v>526</v>
      </c>
      <c r="L34" s="114">
        <v>10</v>
      </c>
      <c r="M34" s="113">
        <v>1</v>
      </c>
      <c r="N34" s="120" t="s">
        <v>1064</v>
      </c>
      <c r="O34" s="117">
        <v>2</v>
      </c>
      <c r="P34" s="121">
        <v>155000</v>
      </c>
      <c r="Q34" s="124">
        <v>30000</v>
      </c>
      <c r="R34" s="124"/>
      <c r="S34" s="124"/>
      <c r="T34" s="124"/>
      <c r="U34" s="124"/>
      <c r="V34" s="124">
        <v>90000</v>
      </c>
      <c r="W34" s="124"/>
      <c r="X34" s="124"/>
      <c r="Y34" s="124"/>
      <c r="Z34" s="124"/>
      <c r="AA34" s="124"/>
      <c r="AB34" s="124"/>
      <c r="AC34" s="124"/>
      <c r="AD34" s="124">
        <v>35000</v>
      </c>
      <c r="AE34" s="124"/>
      <c r="AF34" s="124"/>
      <c r="AG34" s="140" t="s">
        <v>1065</v>
      </c>
      <c r="AH34" s="144" t="s">
        <v>1042</v>
      </c>
      <c r="AI34" s="141" t="s">
        <v>1066</v>
      </c>
      <c r="AJ34" s="126" t="s">
        <v>1054</v>
      </c>
      <c r="AK34" s="143" t="s">
        <v>1042</v>
      </c>
      <c r="AL34" s="144" t="s">
        <v>1042</v>
      </c>
      <c r="AM34" s="141" t="s">
        <v>1067</v>
      </c>
      <c r="AN34" s="144" t="s">
        <v>554</v>
      </c>
      <c r="AO34" s="144" t="s">
        <v>554</v>
      </c>
      <c r="AP34" s="144" t="s">
        <v>554</v>
      </c>
      <c r="AQ34" s="144" t="s">
        <v>554</v>
      </c>
      <c r="AR34" s="144" t="s">
        <v>554</v>
      </c>
      <c r="AS34" s="144" t="s">
        <v>554</v>
      </c>
      <c r="AT34" s="144" t="s">
        <v>554</v>
      </c>
      <c r="AU34" s="144" t="s">
        <v>554</v>
      </c>
      <c r="AV34" s="144" t="s">
        <v>554</v>
      </c>
      <c r="AW34" s="144" t="s">
        <v>554</v>
      </c>
      <c r="AX34" s="144" t="s">
        <v>554</v>
      </c>
      <c r="AY34" s="142" t="s">
        <v>554</v>
      </c>
      <c r="AZ34" s="145" t="s">
        <v>1030</v>
      </c>
      <c r="BA34" s="140" t="s">
        <v>1068</v>
      </c>
    </row>
    <row r="35" spans="1:53" ht="315" x14ac:dyDescent="0.25">
      <c r="A35" s="108" t="s">
        <v>438</v>
      </c>
      <c r="B35" s="109" t="s">
        <v>953</v>
      </c>
      <c r="C35" s="947"/>
      <c r="D35" s="947"/>
      <c r="E35" s="947"/>
      <c r="F35" s="108" t="s">
        <v>1020</v>
      </c>
      <c r="G35" s="947"/>
      <c r="H35" s="120" t="s">
        <v>1069</v>
      </c>
      <c r="I35" s="120" t="s">
        <v>1070</v>
      </c>
      <c r="J35" s="112">
        <v>7</v>
      </c>
      <c r="K35" s="113" t="s">
        <v>526</v>
      </c>
      <c r="L35" s="114">
        <v>6</v>
      </c>
      <c r="M35" s="113">
        <v>3</v>
      </c>
      <c r="N35" s="120" t="s">
        <v>1070</v>
      </c>
      <c r="O35" s="117">
        <v>3</v>
      </c>
      <c r="P35" s="121">
        <v>630000</v>
      </c>
      <c r="Q35" s="124">
        <v>630000</v>
      </c>
      <c r="R35" s="124"/>
      <c r="S35" s="124"/>
      <c r="T35" s="124"/>
      <c r="U35" s="124"/>
      <c r="V35" s="124"/>
      <c r="W35" s="124"/>
      <c r="X35" s="124"/>
      <c r="Y35" s="124"/>
      <c r="Z35" s="124"/>
      <c r="AA35" s="124"/>
      <c r="AB35" s="124"/>
      <c r="AC35" s="124"/>
      <c r="AD35" s="124"/>
      <c r="AE35" s="124"/>
      <c r="AF35" s="124"/>
      <c r="AG35" s="140" t="s">
        <v>1071</v>
      </c>
      <c r="AH35" s="144" t="s">
        <v>1042</v>
      </c>
      <c r="AI35" s="141" t="s">
        <v>1072</v>
      </c>
      <c r="AJ35" s="126" t="s">
        <v>1054</v>
      </c>
      <c r="AK35" s="143" t="s">
        <v>1042</v>
      </c>
      <c r="AL35" s="144" t="s">
        <v>1042</v>
      </c>
      <c r="AM35" s="141" t="s">
        <v>1073</v>
      </c>
      <c r="AN35" s="144" t="s">
        <v>554</v>
      </c>
      <c r="AO35" s="144" t="s">
        <v>554</v>
      </c>
      <c r="AP35" s="144" t="s">
        <v>554</v>
      </c>
      <c r="AQ35" s="144" t="s">
        <v>554</v>
      </c>
      <c r="AR35" s="144" t="s">
        <v>554</v>
      </c>
      <c r="AS35" s="144" t="s">
        <v>554</v>
      </c>
      <c r="AT35" s="144" t="s">
        <v>554</v>
      </c>
      <c r="AU35" s="144" t="s">
        <v>554</v>
      </c>
      <c r="AV35" s="144" t="s">
        <v>554</v>
      </c>
      <c r="AW35" s="144" t="s">
        <v>554</v>
      </c>
      <c r="AX35" s="144" t="s">
        <v>554</v>
      </c>
      <c r="AY35" s="142" t="s">
        <v>554</v>
      </c>
      <c r="AZ35" s="145" t="s">
        <v>1030</v>
      </c>
      <c r="BA35" s="140" t="s">
        <v>1074</v>
      </c>
    </row>
    <row r="36" spans="1:53" ht="180" x14ac:dyDescent="0.25">
      <c r="A36" s="108" t="s">
        <v>438</v>
      </c>
      <c r="B36" s="109" t="s">
        <v>953</v>
      </c>
      <c r="C36" s="947"/>
      <c r="D36" s="947"/>
      <c r="E36" s="947"/>
      <c r="F36" s="108" t="s">
        <v>1020</v>
      </c>
      <c r="G36" s="947"/>
      <c r="H36" s="109" t="s">
        <v>1075</v>
      </c>
      <c r="I36" s="109" t="s">
        <v>1076</v>
      </c>
      <c r="J36" s="112">
        <v>0</v>
      </c>
      <c r="K36" s="113" t="s">
        <v>527</v>
      </c>
      <c r="L36" s="114">
        <v>25</v>
      </c>
      <c r="M36" s="113">
        <v>19</v>
      </c>
      <c r="N36" s="120" t="s">
        <v>1076</v>
      </c>
      <c r="O36" s="117">
        <v>6</v>
      </c>
      <c r="P36" s="121">
        <v>3370000</v>
      </c>
      <c r="Q36" s="124">
        <v>160000</v>
      </c>
      <c r="R36" s="124"/>
      <c r="S36" s="124"/>
      <c r="T36" s="124"/>
      <c r="U36" s="124"/>
      <c r="V36" s="124"/>
      <c r="W36" s="124">
        <v>3200000</v>
      </c>
      <c r="X36" s="124"/>
      <c r="Y36" s="124"/>
      <c r="Z36" s="124"/>
      <c r="AA36" s="124"/>
      <c r="AB36" s="124"/>
      <c r="AC36" s="124"/>
      <c r="AD36" s="124">
        <v>10000</v>
      </c>
      <c r="AE36" s="124"/>
      <c r="AF36" s="124"/>
      <c r="AG36" s="140" t="s">
        <v>1077</v>
      </c>
      <c r="AH36" s="144" t="s">
        <v>1042</v>
      </c>
      <c r="AI36" s="144" t="s">
        <v>1078</v>
      </c>
      <c r="AJ36" s="142" t="s">
        <v>1042</v>
      </c>
      <c r="AK36" s="144" t="s">
        <v>1042</v>
      </c>
      <c r="AL36" s="150">
        <f>+AD36+S36</f>
        <v>10000</v>
      </c>
      <c r="AM36" s="144" t="s">
        <v>1079</v>
      </c>
      <c r="AN36" s="144"/>
      <c r="AO36" s="144" t="s">
        <v>554</v>
      </c>
      <c r="AP36" s="144" t="s">
        <v>554</v>
      </c>
      <c r="AQ36" s="144" t="s">
        <v>554</v>
      </c>
      <c r="AR36" s="144" t="s">
        <v>554</v>
      </c>
      <c r="AS36" s="144" t="s">
        <v>554</v>
      </c>
      <c r="AT36" s="144" t="s">
        <v>554</v>
      </c>
      <c r="AU36" s="144" t="s">
        <v>554</v>
      </c>
      <c r="AV36" s="144" t="s">
        <v>554</v>
      </c>
      <c r="AW36" s="144" t="s">
        <v>554</v>
      </c>
      <c r="AX36" s="144" t="s">
        <v>554</v>
      </c>
      <c r="AY36" s="142" t="s">
        <v>554</v>
      </c>
      <c r="AZ36" s="151" t="s">
        <v>1030</v>
      </c>
      <c r="BA36" s="119"/>
    </row>
    <row r="37" spans="1:53" ht="180" x14ac:dyDescent="0.25">
      <c r="A37" s="108" t="s">
        <v>438</v>
      </c>
      <c r="B37" s="109" t="s">
        <v>953</v>
      </c>
      <c r="C37" s="947"/>
      <c r="D37" s="947"/>
      <c r="E37" s="947"/>
      <c r="F37" s="108" t="s">
        <v>1020</v>
      </c>
      <c r="G37" s="947"/>
      <c r="H37" s="120" t="s">
        <v>1080</v>
      </c>
      <c r="I37" s="120" t="s">
        <v>1081</v>
      </c>
      <c r="J37" s="112">
        <v>135</v>
      </c>
      <c r="K37" s="113" t="s">
        <v>526</v>
      </c>
      <c r="L37" s="114">
        <v>10</v>
      </c>
      <c r="M37" s="113">
        <v>2</v>
      </c>
      <c r="N37" s="120" t="s">
        <v>1081</v>
      </c>
      <c r="O37" s="117">
        <v>21</v>
      </c>
      <c r="P37" s="121">
        <v>80000</v>
      </c>
      <c r="Q37" s="124">
        <v>60000</v>
      </c>
      <c r="R37" s="124"/>
      <c r="S37" s="124"/>
      <c r="T37" s="124"/>
      <c r="U37" s="124"/>
      <c r="V37" s="124"/>
      <c r="W37" s="124"/>
      <c r="X37" s="124"/>
      <c r="Y37" s="124"/>
      <c r="Z37" s="124"/>
      <c r="AA37" s="124"/>
      <c r="AB37" s="124"/>
      <c r="AC37" s="124"/>
      <c r="AD37" s="124">
        <v>20000</v>
      </c>
      <c r="AE37" s="124"/>
      <c r="AF37" s="124"/>
      <c r="AG37" s="118"/>
      <c r="AH37" s="118"/>
      <c r="AI37" s="118"/>
      <c r="AJ37" s="118"/>
      <c r="AK37" s="118"/>
      <c r="AL37" s="118"/>
      <c r="AM37" s="118"/>
      <c r="AN37" s="118"/>
      <c r="AO37" s="118"/>
      <c r="AP37" s="118"/>
      <c r="AQ37" s="118"/>
      <c r="AR37" s="118"/>
      <c r="AS37" s="118"/>
      <c r="AT37" s="118"/>
      <c r="AU37" s="118"/>
      <c r="AV37" s="118"/>
      <c r="AW37" s="118"/>
      <c r="AX37" s="118"/>
      <c r="AY37" s="118"/>
      <c r="AZ37" s="152" t="s">
        <v>1030</v>
      </c>
      <c r="BA37" s="116" t="s">
        <v>1082</v>
      </c>
    </row>
    <row r="38" spans="1:53" ht="180" x14ac:dyDescent="0.25">
      <c r="A38" s="108" t="s">
        <v>438</v>
      </c>
      <c r="B38" s="109" t="s">
        <v>953</v>
      </c>
      <c r="C38" s="947"/>
      <c r="D38" s="947"/>
      <c r="E38" s="947"/>
      <c r="F38" s="108" t="s">
        <v>1020</v>
      </c>
      <c r="G38" s="947"/>
      <c r="H38" s="120" t="s">
        <v>1083</v>
      </c>
      <c r="I38" s="120" t="s">
        <v>1084</v>
      </c>
      <c r="J38" s="112">
        <v>0</v>
      </c>
      <c r="K38" s="113" t="s">
        <v>526</v>
      </c>
      <c r="L38" s="114">
        <v>50</v>
      </c>
      <c r="M38" s="113">
        <v>10</v>
      </c>
      <c r="N38" s="120" t="s">
        <v>1084</v>
      </c>
      <c r="O38" s="117">
        <v>17</v>
      </c>
      <c r="P38" s="121">
        <v>60000</v>
      </c>
      <c r="Q38" s="124">
        <v>60000</v>
      </c>
      <c r="R38" s="124"/>
      <c r="S38" s="124"/>
      <c r="T38" s="124"/>
      <c r="U38" s="124"/>
      <c r="V38" s="124"/>
      <c r="W38" s="124"/>
      <c r="X38" s="124"/>
      <c r="Y38" s="124"/>
      <c r="Z38" s="124"/>
      <c r="AA38" s="124"/>
      <c r="AB38" s="124"/>
      <c r="AC38" s="124"/>
      <c r="AD38" s="124"/>
      <c r="AE38" s="124"/>
      <c r="AF38" s="124"/>
      <c r="AG38" s="142" t="s">
        <v>1042</v>
      </c>
      <c r="AH38" s="142" t="s">
        <v>1042</v>
      </c>
      <c r="AI38" s="142" t="s">
        <v>1042</v>
      </c>
      <c r="AJ38" s="142" t="s">
        <v>1042</v>
      </c>
      <c r="AK38" s="144" t="s">
        <v>1042</v>
      </c>
      <c r="AL38" s="150">
        <f>+AD38+S38</f>
        <v>0</v>
      </c>
      <c r="AM38" s="144" t="s">
        <v>1085</v>
      </c>
      <c r="AN38" s="144"/>
      <c r="AO38" s="144" t="s">
        <v>554</v>
      </c>
      <c r="AP38" s="144" t="s">
        <v>554</v>
      </c>
      <c r="AQ38" s="144" t="s">
        <v>554</v>
      </c>
      <c r="AR38" s="144" t="s">
        <v>554</v>
      </c>
      <c r="AS38" s="144" t="s">
        <v>554</v>
      </c>
      <c r="AT38" s="144" t="s">
        <v>554</v>
      </c>
      <c r="AU38" s="144" t="s">
        <v>554</v>
      </c>
      <c r="AV38" s="144" t="s">
        <v>554</v>
      </c>
      <c r="AW38" s="144" t="s">
        <v>554</v>
      </c>
      <c r="AX38" s="144" t="s">
        <v>554</v>
      </c>
      <c r="AY38" s="142" t="s">
        <v>554</v>
      </c>
      <c r="AZ38" s="153" t="s">
        <v>1030</v>
      </c>
      <c r="BA38" s="118"/>
    </row>
    <row r="39" spans="1:53" ht="255" x14ac:dyDescent="0.25">
      <c r="A39" s="108" t="s">
        <v>438</v>
      </c>
      <c r="B39" s="109" t="s">
        <v>953</v>
      </c>
      <c r="C39" s="947"/>
      <c r="D39" s="947"/>
      <c r="E39" s="947"/>
      <c r="F39" s="108" t="s">
        <v>1020</v>
      </c>
      <c r="G39" s="947"/>
      <c r="H39" s="120" t="s">
        <v>1086</v>
      </c>
      <c r="I39" s="120" t="s">
        <v>1087</v>
      </c>
      <c r="J39" s="112">
        <v>30</v>
      </c>
      <c r="K39" s="113" t="s">
        <v>526</v>
      </c>
      <c r="L39" s="114">
        <v>5</v>
      </c>
      <c r="M39" s="113">
        <v>1</v>
      </c>
      <c r="N39" s="120" t="s">
        <v>1087</v>
      </c>
      <c r="O39" s="117">
        <v>6</v>
      </c>
      <c r="P39" s="121">
        <v>570000</v>
      </c>
      <c r="Q39" s="124">
        <v>270000</v>
      </c>
      <c r="R39" s="124"/>
      <c r="S39" s="124"/>
      <c r="T39" s="124"/>
      <c r="U39" s="124"/>
      <c r="V39" s="124"/>
      <c r="W39" s="124"/>
      <c r="X39" s="124">
        <v>300000</v>
      </c>
      <c r="Y39" s="124"/>
      <c r="Z39" s="124"/>
      <c r="AA39" s="124"/>
      <c r="AB39" s="124"/>
      <c r="AC39" s="124"/>
      <c r="AD39" s="124"/>
      <c r="AE39" s="124"/>
      <c r="AF39" s="124"/>
      <c r="AG39" s="140" t="s">
        <v>1088</v>
      </c>
      <c r="AH39" s="118"/>
      <c r="AI39" s="117" t="s">
        <v>1089</v>
      </c>
      <c r="AJ39" s="118"/>
      <c r="AK39" s="118"/>
      <c r="AL39" s="118"/>
      <c r="AM39" s="140" t="s">
        <v>1090</v>
      </c>
      <c r="AN39" s="144" t="s">
        <v>554</v>
      </c>
      <c r="AO39" s="144" t="s">
        <v>554</v>
      </c>
      <c r="AP39" s="144" t="s">
        <v>554</v>
      </c>
      <c r="AQ39" s="144" t="s">
        <v>554</v>
      </c>
      <c r="AR39" s="144" t="s">
        <v>554</v>
      </c>
      <c r="AS39" s="144" t="s">
        <v>554</v>
      </c>
      <c r="AT39" s="144" t="s">
        <v>554</v>
      </c>
      <c r="AU39" s="144" t="s">
        <v>554</v>
      </c>
      <c r="AV39" s="144" t="s">
        <v>554</v>
      </c>
      <c r="AW39" s="144" t="s">
        <v>554</v>
      </c>
      <c r="AX39" s="144" t="s">
        <v>554</v>
      </c>
      <c r="AY39" s="142" t="s">
        <v>554</v>
      </c>
      <c r="AZ39" s="145" t="s">
        <v>1030</v>
      </c>
      <c r="BA39" s="140" t="s">
        <v>1091</v>
      </c>
    </row>
    <row r="40" spans="1:53" ht="409.5" x14ac:dyDescent="0.25">
      <c r="A40" s="108" t="s">
        <v>438</v>
      </c>
      <c r="B40" s="109" t="s">
        <v>953</v>
      </c>
      <c r="C40" s="937"/>
      <c r="D40" s="937"/>
      <c r="E40" s="937"/>
      <c r="F40" s="108" t="s">
        <v>1020</v>
      </c>
      <c r="G40" s="937"/>
      <c r="H40" s="120" t="s">
        <v>1092</v>
      </c>
      <c r="I40" s="120" t="s">
        <v>1093</v>
      </c>
      <c r="J40" s="112">
        <v>0</v>
      </c>
      <c r="K40" s="113" t="s">
        <v>526</v>
      </c>
      <c r="L40" s="114">
        <v>35</v>
      </c>
      <c r="M40" s="113">
        <v>6</v>
      </c>
      <c r="N40" s="120" t="s">
        <v>1093</v>
      </c>
      <c r="O40" s="117">
        <v>4</v>
      </c>
      <c r="P40" s="121">
        <v>392000</v>
      </c>
      <c r="Q40" s="124">
        <v>245000</v>
      </c>
      <c r="R40" s="124"/>
      <c r="S40" s="124"/>
      <c r="T40" s="124"/>
      <c r="U40" s="124"/>
      <c r="V40" s="124"/>
      <c r="W40" s="124"/>
      <c r="X40" s="124"/>
      <c r="Y40" s="124"/>
      <c r="Z40" s="124"/>
      <c r="AA40" s="124"/>
      <c r="AB40" s="124"/>
      <c r="AC40" s="124"/>
      <c r="AD40" s="124">
        <v>147000</v>
      </c>
      <c r="AE40" s="124"/>
      <c r="AF40" s="124"/>
      <c r="AG40" s="140" t="s">
        <v>1094</v>
      </c>
      <c r="AH40" s="118"/>
      <c r="AI40" s="126" t="s">
        <v>1095</v>
      </c>
      <c r="AJ40" s="118"/>
      <c r="AK40" s="118"/>
      <c r="AL40" s="118"/>
      <c r="AM40" s="141" t="s">
        <v>1096</v>
      </c>
      <c r="AN40" s="144" t="s">
        <v>554</v>
      </c>
      <c r="AO40" s="144" t="s">
        <v>554</v>
      </c>
      <c r="AP40" s="144" t="s">
        <v>554</v>
      </c>
      <c r="AQ40" s="144" t="s">
        <v>554</v>
      </c>
      <c r="AR40" s="144" t="s">
        <v>554</v>
      </c>
      <c r="AS40" s="144" t="s">
        <v>554</v>
      </c>
      <c r="AT40" s="144" t="s">
        <v>554</v>
      </c>
      <c r="AU40" s="144" t="s">
        <v>554</v>
      </c>
      <c r="AV40" s="144" t="s">
        <v>554</v>
      </c>
      <c r="AW40" s="144" t="s">
        <v>554</v>
      </c>
      <c r="AX40" s="144" t="s">
        <v>554</v>
      </c>
      <c r="AY40" s="142" t="s">
        <v>554</v>
      </c>
      <c r="AZ40" s="145" t="s">
        <v>1030</v>
      </c>
      <c r="BA40" s="140" t="s">
        <v>1097</v>
      </c>
    </row>
    <row r="41" spans="1:53" ht="405" x14ac:dyDescent="0.25">
      <c r="A41" s="108" t="s">
        <v>438</v>
      </c>
      <c r="B41" s="109" t="s">
        <v>953</v>
      </c>
      <c r="C41" s="123" t="s">
        <v>1098</v>
      </c>
      <c r="D41" s="123" t="s">
        <v>1099</v>
      </c>
      <c r="E41" s="123" t="s">
        <v>1100</v>
      </c>
      <c r="F41" s="108" t="s">
        <v>1101</v>
      </c>
      <c r="G41" s="942" t="s">
        <v>1102</v>
      </c>
      <c r="H41" s="120" t="s">
        <v>1103</v>
      </c>
      <c r="I41" s="120" t="s">
        <v>1104</v>
      </c>
      <c r="J41" s="112">
        <v>891</v>
      </c>
      <c r="K41" s="113" t="s">
        <v>526</v>
      </c>
      <c r="L41" s="114">
        <v>4300</v>
      </c>
      <c r="M41" s="113">
        <v>1000</v>
      </c>
      <c r="N41" s="116" t="s">
        <v>1105</v>
      </c>
      <c r="O41" s="117">
        <v>4189</v>
      </c>
      <c r="P41" s="121">
        <v>497000</v>
      </c>
      <c r="Q41" s="117">
        <v>30800</v>
      </c>
      <c r="R41" s="117"/>
      <c r="S41" s="117"/>
      <c r="T41" s="117"/>
      <c r="U41" s="117"/>
      <c r="V41" s="117"/>
      <c r="W41" s="117"/>
      <c r="X41" s="117"/>
      <c r="Y41" s="117"/>
      <c r="Z41" s="117"/>
      <c r="AA41" s="117">
        <v>403200</v>
      </c>
      <c r="AB41" s="117"/>
      <c r="AC41" s="117"/>
      <c r="AD41" s="117">
        <v>63000</v>
      </c>
      <c r="AE41" s="118"/>
      <c r="AF41" s="118"/>
      <c r="AG41" s="117" t="s">
        <v>960</v>
      </c>
      <c r="AH41" s="117" t="s">
        <v>960</v>
      </c>
      <c r="AI41" s="117" t="s">
        <v>960</v>
      </c>
      <c r="AJ41" s="117" t="s">
        <v>960</v>
      </c>
      <c r="AK41" s="117" t="s">
        <v>960</v>
      </c>
      <c r="AL41" s="117" t="s">
        <v>960</v>
      </c>
      <c r="AM41" s="117" t="s">
        <v>960</v>
      </c>
      <c r="AN41" s="117" t="s">
        <v>536</v>
      </c>
      <c r="AO41" s="117" t="s">
        <v>536</v>
      </c>
      <c r="AP41" s="117" t="s">
        <v>536</v>
      </c>
      <c r="AQ41" s="117" t="s">
        <v>536</v>
      </c>
      <c r="AR41" s="117" t="s">
        <v>536</v>
      </c>
      <c r="AS41" s="117" t="s">
        <v>536</v>
      </c>
      <c r="AT41" s="117" t="s">
        <v>536</v>
      </c>
      <c r="AU41" s="117" t="s">
        <v>536</v>
      </c>
      <c r="AV41" s="117" t="s">
        <v>536</v>
      </c>
      <c r="AW41" s="117" t="s">
        <v>536</v>
      </c>
      <c r="AX41" s="117" t="s">
        <v>536</v>
      </c>
      <c r="AY41" s="117" t="s">
        <v>536</v>
      </c>
      <c r="AZ41" s="116" t="s">
        <v>1106</v>
      </c>
      <c r="BA41" s="116" t="s">
        <v>1107</v>
      </c>
    </row>
    <row r="42" spans="1:53" ht="345" x14ac:dyDescent="0.25">
      <c r="A42" s="108" t="s">
        <v>438</v>
      </c>
      <c r="B42" s="109" t="s">
        <v>953</v>
      </c>
      <c r="C42" s="123" t="s">
        <v>1108</v>
      </c>
      <c r="D42" s="123" t="s">
        <v>1109</v>
      </c>
      <c r="E42" s="123" t="s">
        <v>1110</v>
      </c>
      <c r="F42" s="108" t="s">
        <v>1101</v>
      </c>
      <c r="G42" s="943"/>
      <c r="H42" s="120" t="s">
        <v>1111</v>
      </c>
      <c r="I42" s="120" t="s">
        <v>1112</v>
      </c>
      <c r="J42" s="112">
        <v>79522</v>
      </c>
      <c r="K42" s="113" t="s">
        <v>526</v>
      </c>
      <c r="L42" s="114">
        <v>4300</v>
      </c>
      <c r="M42" s="113">
        <v>1000</v>
      </c>
      <c r="N42" s="152"/>
      <c r="O42" s="117">
        <v>9327</v>
      </c>
      <c r="P42" s="121">
        <v>2731420</v>
      </c>
      <c r="Q42" s="118"/>
      <c r="R42" s="118"/>
      <c r="S42" s="118"/>
      <c r="T42" s="118"/>
      <c r="U42" s="118"/>
      <c r="V42" s="118"/>
      <c r="W42" s="118"/>
      <c r="X42" s="118"/>
      <c r="Y42" s="118"/>
      <c r="Z42" s="118"/>
      <c r="AA42" s="118"/>
      <c r="AB42" s="118"/>
      <c r="AC42" s="118"/>
      <c r="AD42" s="118"/>
      <c r="AE42" s="118"/>
      <c r="AF42" s="118"/>
      <c r="AG42" s="118"/>
      <c r="AH42" s="118"/>
      <c r="AI42" s="118"/>
      <c r="AJ42" s="118"/>
      <c r="AK42" s="119"/>
      <c r="AL42" s="118"/>
      <c r="AM42" s="118"/>
      <c r="AN42" s="118"/>
      <c r="AO42" s="118"/>
      <c r="AP42" s="118"/>
      <c r="AQ42" s="118"/>
      <c r="AR42" s="118"/>
      <c r="AS42" s="118"/>
      <c r="AT42" s="118"/>
      <c r="AU42" s="118"/>
      <c r="AV42" s="118"/>
      <c r="AW42" s="118"/>
      <c r="AX42" s="118"/>
      <c r="AY42" s="118"/>
      <c r="AZ42" s="116" t="s">
        <v>1113</v>
      </c>
      <c r="BA42" s="116" t="s">
        <v>1114</v>
      </c>
    </row>
    <row r="43" spans="1:53" ht="210" x14ac:dyDescent="0.25">
      <c r="A43" s="108" t="s">
        <v>438</v>
      </c>
      <c r="B43" s="109" t="s">
        <v>953</v>
      </c>
      <c r="C43" s="936" t="s">
        <v>1115</v>
      </c>
      <c r="D43" s="936" t="s">
        <v>1116</v>
      </c>
      <c r="E43" s="936" t="s">
        <v>1117</v>
      </c>
      <c r="F43" s="108" t="s">
        <v>1101</v>
      </c>
      <c r="G43" s="943"/>
      <c r="H43" s="120" t="s">
        <v>1118</v>
      </c>
      <c r="I43" s="120" t="s">
        <v>1119</v>
      </c>
      <c r="J43" s="112">
        <v>0</v>
      </c>
      <c r="K43" s="113" t="s">
        <v>526</v>
      </c>
      <c r="L43" s="114">
        <v>100</v>
      </c>
      <c r="M43" s="113">
        <v>31</v>
      </c>
      <c r="N43" s="128" t="s">
        <v>1119</v>
      </c>
      <c r="O43" s="117">
        <v>93</v>
      </c>
      <c r="P43" s="121">
        <v>140000</v>
      </c>
      <c r="Q43" s="117">
        <v>15000</v>
      </c>
      <c r="R43" s="117"/>
      <c r="S43" s="117"/>
      <c r="T43" s="117"/>
      <c r="U43" s="117"/>
      <c r="V43" s="117"/>
      <c r="W43" s="117"/>
      <c r="X43" s="117"/>
      <c r="Y43" s="117"/>
      <c r="Z43" s="117"/>
      <c r="AA43" s="117"/>
      <c r="AB43" s="117"/>
      <c r="AC43" s="117"/>
      <c r="AD43" s="117">
        <v>125000</v>
      </c>
      <c r="AE43" s="117"/>
      <c r="AF43" s="117"/>
      <c r="AG43" s="126" t="s">
        <v>1120</v>
      </c>
      <c r="AH43" s="118"/>
      <c r="AI43" s="126" t="s">
        <v>991</v>
      </c>
      <c r="AJ43" s="126" t="s">
        <v>1121</v>
      </c>
      <c r="AK43" s="126">
        <v>5000</v>
      </c>
      <c r="AL43" s="117">
        <v>50000</v>
      </c>
      <c r="AM43" s="119" t="s">
        <v>1122</v>
      </c>
      <c r="AN43" s="118"/>
      <c r="AO43" s="117" t="s">
        <v>536</v>
      </c>
      <c r="AP43" s="117" t="s">
        <v>536</v>
      </c>
      <c r="AQ43" s="117" t="s">
        <v>536</v>
      </c>
      <c r="AR43" s="117" t="s">
        <v>536</v>
      </c>
      <c r="AS43" s="117" t="s">
        <v>536</v>
      </c>
      <c r="AT43" s="118"/>
      <c r="AU43" s="118"/>
      <c r="AV43" s="118"/>
      <c r="AW43" s="118"/>
      <c r="AX43" s="118"/>
      <c r="AY43" s="118"/>
      <c r="AZ43" s="116" t="s">
        <v>1113</v>
      </c>
      <c r="BA43" s="155" t="s">
        <v>1123</v>
      </c>
    </row>
    <row r="44" spans="1:53" ht="390" x14ac:dyDescent="0.25">
      <c r="A44" s="108" t="s">
        <v>438</v>
      </c>
      <c r="B44" s="109" t="s">
        <v>953</v>
      </c>
      <c r="C44" s="947"/>
      <c r="D44" s="947"/>
      <c r="E44" s="947"/>
      <c r="F44" s="138" t="s">
        <v>1101</v>
      </c>
      <c r="G44" s="943"/>
      <c r="H44" s="120" t="s">
        <v>1124</v>
      </c>
      <c r="I44" s="120" t="s">
        <v>1125</v>
      </c>
      <c r="J44" s="112">
        <v>0</v>
      </c>
      <c r="K44" s="113" t="s">
        <v>526</v>
      </c>
      <c r="L44" s="114">
        <v>450</v>
      </c>
      <c r="M44" s="113">
        <v>130</v>
      </c>
      <c r="N44" s="118"/>
      <c r="O44" s="117">
        <v>505</v>
      </c>
      <c r="P44" s="121">
        <v>18000</v>
      </c>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6" t="s">
        <v>1126</v>
      </c>
      <c r="BA44" s="116" t="s">
        <v>1127</v>
      </c>
    </row>
    <row r="45" spans="1:53" ht="409.5" x14ac:dyDescent="0.25">
      <c r="A45" s="108" t="s">
        <v>438</v>
      </c>
      <c r="B45" s="109" t="s">
        <v>953</v>
      </c>
      <c r="C45" s="947"/>
      <c r="D45" s="947"/>
      <c r="E45" s="947"/>
      <c r="F45" s="108" t="s">
        <v>1101</v>
      </c>
      <c r="G45" s="943"/>
      <c r="H45" s="120" t="s">
        <v>1128</v>
      </c>
      <c r="I45" s="120" t="s">
        <v>1129</v>
      </c>
      <c r="J45" s="112">
        <v>38</v>
      </c>
      <c r="K45" s="113" t="s">
        <v>526</v>
      </c>
      <c r="L45" s="114">
        <v>400</v>
      </c>
      <c r="M45" s="113">
        <v>150</v>
      </c>
      <c r="N45" s="116"/>
      <c r="O45" s="117">
        <v>605</v>
      </c>
      <c r="P45" s="121">
        <v>96000</v>
      </c>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6" t="s">
        <v>1113</v>
      </c>
      <c r="BA45" s="116" t="s">
        <v>1130</v>
      </c>
    </row>
    <row r="46" spans="1:53" ht="165" x14ac:dyDescent="0.25">
      <c r="A46" s="156" t="s">
        <v>438</v>
      </c>
      <c r="B46" s="157" t="s">
        <v>953</v>
      </c>
      <c r="C46" s="947"/>
      <c r="D46" s="947"/>
      <c r="E46" s="947"/>
      <c r="F46" s="156" t="s">
        <v>1101</v>
      </c>
      <c r="G46" s="943"/>
      <c r="H46" s="120" t="s">
        <v>1131</v>
      </c>
      <c r="I46" s="120" t="s">
        <v>1132</v>
      </c>
      <c r="J46" s="129">
        <v>0</v>
      </c>
      <c r="K46" s="130" t="s">
        <v>526</v>
      </c>
      <c r="L46" s="158">
        <v>1</v>
      </c>
      <c r="M46" s="130">
        <v>0.25</v>
      </c>
      <c r="N46" s="116" t="s">
        <v>1132</v>
      </c>
      <c r="O46" s="134">
        <v>0.6</v>
      </c>
      <c r="P46" s="121">
        <v>25000</v>
      </c>
      <c r="Q46" s="119">
        <v>25000</v>
      </c>
      <c r="R46" s="119"/>
      <c r="S46" s="119"/>
      <c r="T46" s="119"/>
      <c r="U46" s="119"/>
      <c r="V46" s="119"/>
      <c r="W46" s="119"/>
      <c r="X46" s="119"/>
      <c r="Y46" s="119"/>
      <c r="Z46" s="119"/>
      <c r="AA46" s="119"/>
      <c r="AB46" s="119"/>
      <c r="AC46" s="119"/>
      <c r="AD46" s="119"/>
      <c r="AE46" s="119"/>
      <c r="AF46" s="119"/>
      <c r="AG46" s="117" t="s">
        <v>960</v>
      </c>
      <c r="AH46" s="117" t="s">
        <v>960</v>
      </c>
      <c r="AI46" s="117" t="s">
        <v>960</v>
      </c>
      <c r="AJ46" s="117" t="s">
        <v>960</v>
      </c>
      <c r="AK46" s="117" t="s">
        <v>960</v>
      </c>
      <c r="AL46" s="117" t="s">
        <v>960</v>
      </c>
      <c r="AM46" s="117" t="s">
        <v>960</v>
      </c>
      <c r="AN46" s="159"/>
      <c r="AO46" s="119"/>
      <c r="AP46" s="117" t="s">
        <v>536</v>
      </c>
      <c r="AQ46" s="117" t="s">
        <v>536</v>
      </c>
      <c r="AR46" s="117" t="s">
        <v>536</v>
      </c>
      <c r="AS46" s="117" t="s">
        <v>536</v>
      </c>
      <c r="AT46" s="117" t="s">
        <v>536</v>
      </c>
      <c r="AU46" s="117" t="s">
        <v>536</v>
      </c>
      <c r="AV46" s="117" t="s">
        <v>536</v>
      </c>
      <c r="AW46" s="117" t="s">
        <v>536</v>
      </c>
      <c r="AX46" s="117" t="s">
        <v>536</v>
      </c>
      <c r="AY46" s="117" t="s">
        <v>536</v>
      </c>
      <c r="AZ46" s="116" t="s">
        <v>1133</v>
      </c>
      <c r="BA46" s="119"/>
    </row>
    <row r="47" spans="1:53" ht="360" x14ac:dyDescent="0.25">
      <c r="A47" s="108" t="s">
        <v>438</v>
      </c>
      <c r="B47" s="109" t="s">
        <v>953</v>
      </c>
      <c r="C47" s="947"/>
      <c r="D47" s="947"/>
      <c r="E47" s="947"/>
      <c r="F47" s="108" t="s">
        <v>1101</v>
      </c>
      <c r="G47" s="943"/>
      <c r="H47" s="120" t="s">
        <v>1134</v>
      </c>
      <c r="I47" s="120" t="s">
        <v>1135</v>
      </c>
      <c r="J47" s="112">
        <v>160</v>
      </c>
      <c r="K47" s="113" t="s">
        <v>526</v>
      </c>
      <c r="L47" s="114">
        <v>450</v>
      </c>
      <c r="M47" s="113">
        <v>154</v>
      </c>
      <c r="N47" s="118"/>
      <c r="O47" s="117">
        <v>1127</v>
      </c>
      <c r="P47" s="121">
        <v>205000</v>
      </c>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6" t="s">
        <v>1136</v>
      </c>
      <c r="BA47" s="116" t="s">
        <v>1137</v>
      </c>
    </row>
    <row r="48" spans="1:53" ht="360" x14ac:dyDescent="0.25">
      <c r="A48" s="108" t="s">
        <v>438</v>
      </c>
      <c r="B48" s="109" t="s">
        <v>953</v>
      </c>
      <c r="C48" s="947"/>
      <c r="D48" s="947"/>
      <c r="E48" s="947"/>
      <c r="F48" s="108" t="s">
        <v>1101</v>
      </c>
      <c r="G48" s="943"/>
      <c r="H48" s="120" t="s">
        <v>1138</v>
      </c>
      <c r="I48" s="120" t="s">
        <v>1139</v>
      </c>
      <c r="J48" s="112">
        <v>188</v>
      </c>
      <c r="K48" s="113" t="s">
        <v>526</v>
      </c>
      <c r="L48" s="114">
        <v>650</v>
      </c>
      <c r="M48" s="113">
        <v>120</v>
      </c>
      <c r="N48" s="118"/>
      <c r="O48" s="117">
        <v>944</v>
      </c>
      <c r="P48" s="121">
        <v>50000</v>
      </c>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6" t="s">
        <v>1140</v>
      </c>
      <c r="BA48" s="116" t="s">
        <v>1141</v>
      </c>
    </row>
    <row r="49" spans="1:53" ht="360" x14ac:dyDescent="0.25">
      <c r="A49" s="108" t="s">
        <v>438</v>
      </c>
      <c r="B49" s="109" t="s">
        <v>953</v>
      </c>
      <c r="C49" s="947"/>
      <c r="D49" s="947"/>
      <c r="E49" s="947"/>
      <c r="F49" s="108" t="s">
        <v>1101</v>
      </c>
      <c r="G49" s="943"/>
      <c r="H49" s="109" t="s">
        <v>1142</v>
      </c>
      <c r="I49" s="109" t="s">
        <v>1143</v>
      </c>
      <c r="J49" s="112">
        <v>200</v>
      </c>
      <c r="K49" s="113" t="s">
        <v>526</v>
      </c>
      <c r="L49" s="114">
        <v>554</v>
      </c>
      <c r="M49" s="113">
        <v>150</v>
      </c>
      <c r="N49" s="116"/>
      <c r="O49" s="117">
        <v>500</v>
      </c>
      <c r="P49" s="121">
        <v>120000</v>
      </c>
      <c r="Q49" s="124"/>
      <c r="R49" s="117"/>
      <c r="S49" s="117"/>
      <c r="T49" s="117"/>
      <c r="U49" s="117"/>
      <c r="V49" s="117"/>
      <c r="W49" s="117"/>
      <c r="X49" s="117"/>
      <c r="Y49" s="117"/>
      <c r="Z49" s="117"/>
      <c r="AA49" s="117"/>
      <c r="AB49" s="117"/>
      <c r="AC49" s="117"/>
      <c r="AD49" s="124"/>
      <c r="AE49" s="117"/>
      <c r="AF49" s="117"/>
      <c r="AG49" s="119"/>
      <c r="AH49" s="118"/>
      <c r="AI49" s="118"/>
      <c r="AJ49" s="118"/>
      <c r="AK49" s="118"/>
      <c r="AL49" s="118"/>
      <c r="AM49" s="118"/>
      <c r="AN49" s="118"/>
      <c r="AO49" s="118"/>
      <c r="AP49" s="118"/>
      <c r="AQ49" s="118"/>
      <c r="AR49" s="118"/>
      <c r="AS49" s="118"/>
      <c r="AT49" s="118"/>
      <c r="AU49" s="118"/>
      <c r="AV49" s="118"/>
      <c r="AW49" s="118"/>
      <c r="AX49" s="118"/>
      <c r="AY49" s="118"/>
      <c r="AZ49" s="116" t="s">
        <v>1144</v>
      </c>
      <c r="BA49" s="116" t="s">
        <v>1145</v>
      </c>
    </row>
    <row r="50" spans="1:53" ht="240" x14ac:dyDescent="0.25">
      <c r="A50" s="108" t="s">
        <v>438</v>
      </c>
      <c r="B50" s="109" t="s">
        <v>953</v>
      </c>
      <c r="C50" s="947"/>
      <c r="D50" s="947"/>
      <c r="E50" s="947"/>
      <c r="F50" s="108" t="s">
        <v>1101</v>
      </c>
      <c r="G50" s="943"/>
      <c r="H50" s="120" t="s">
        <v>1146</v>
      </c>
      <c r="I50" s="120" t="s">
        <v>1147</v>
      </c>
      <c r="J50" s="112">
        <v>17</v>
      </c>
      <c r="K50" s="113" t="s">
        <v>526</v>
      </c>
      <c r="L50" s="114">
        <v>120</v>
      </c>
      <c r="M50" s="113">
        <v>40</v>
      </c>
      <c r="N50" s="116" t="s">
        <v>1147</v>
      </c>
      <c r="O50" s="117">
        <v>93</v>
      </c>
      <c r="P50" s="121">
        <v>62500</v>
      </c>
      <c r="Q50" s="121">
        <v>62500</v>
      </c>
      <c r="R50" s="118"/>
      <c r="S50" s="118"/>
      <c r="T50" s="118"/>
      <c r="U50" s="118"/>
      <c r="V50" s="118"/>
      <c r="W50" s="118"/>
      <c r="X50" s="118"/>
      <c r="Y50" s="118"/>
      <c r="Z50" s="118"/>
      <c r="AA50" s="118"/>
      <c r="AB50" s="118"/>
      <c r="AC50" s="118"/>
      <c r="AD50" s="118"/>
      <c r="AE50" s="118"/>
      <c r="AF50" s="118"/>
      <c r="AG50" s="144" t="s">
        <v>1148</v>
      </c>
      <c r="AH50" s="144" t="s">
        <v>960</v>
      </c>
      <c r="AI50" s="144" t="s">
        <v>991</v>
      </c>
      <c r="AJ50" s="144" t="s">
        <v>1121</v>
      </c>
      <c r="AK50" s="160" t="s">
        <v>1149</v>
      </c>
      <c r="AL50" s="144">
        <v>62500</v>
      </c>
      <c r="AM50" s="160" t="s">
        <v>1150</v>
      </c>
      <c r="AN50" s="161"/>
      <c r="AO50" s="117" t="s">
        <v>536</v>
      </c>
      <c r="AP50" s="117" t="s">
        <v>536</v>
      </c>
      <c r="AQ50" s="117" t="s">
        <v>536</v>
      </c>
      <c r="AR50" s="117" t="s">
        <v>536</v>
      </c>
      <c r="AS50" s="117" t="s">
        <v>536</v>
      </c>
      <c r="AT50" s="117" t="s">
        <v>536</v>
      </c>
      <c r="AU50" s="117" t="s">
        <v>536</v>
      </c>
      <c r="AV50" s="162"/>
      <c r="AW50" s="162"/>
      <c r="AX50" s="162"/>
      <c r="AY50" s="162"/>
      <c r="AZ50" s="140" t="s">
        <v>1151</v>
      </c>
      <c r="BA50" s="119" t="s">
        <v>1123</v>
      </c>
    </row>
    <row r="51" spans="1:53" ht="395.25" x14ac:dyDescent="0.25">
      <c r="A51" s="108" t="s">
        <v>438</v>
      </c>
      <c r="B51" s="109" t="s">
        <v>953</v>
      </c>
      <c r="C51" s="947"/>
      <c r="D51" s="947"/>
      <c r="E51" s="947"/>
      <c r="F51" s="108" t="s">
        <v>1101</v>
      </c>
      <c r="G51" s="943"/>
      <c r="H51" s="120" t="s">
        <v>1152</v>
      </c>
      <c r="I51" s="120" t="s">
        <v>1153</v>
      </c>
      <c r="J51" s="112">
        <v>0</v>
      </c>
      <c r="K51" s="113" t="s">
        <v>526</v>
      </c>
      <c r="L51" s="114">
        <v>140</v>
      </c>
      <c r="M51" s="113">
        <v>9</v>
      </c>
      <c r="N51" s="118"/>
      <c r="O51" s="117">
        <v>369</v>
      </c>
      <c r="P51" s="121">
        <v>16000</v>
      </c>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63" t="s">
        <v>1154</v>
      </c>
      <c r="BA51" s="164" t="s">
        <v>1155</v>
      </c>
    </row>
    <row r="52" spans="1:53" ht="255" x14ac:dyDescent="0.25">
      <c r="A52" s="108" t="s">
        <v>438</v>
      </c>
      <c r="B52" s="109" t="s">
        <v>953</v>
      </c>
      <c r="C52" s="947"/>
      <c r="D52" s="947"/>
      <c r="E52" s="947"/>
      <c r="F52" s="108" t="s">
        <v>1101</v>
      </c>
      <c r="G52" s="943"/>
      <c r="H52" s="120" t="s">
        <v>1156</v>
      </c>
      <c r="I52" s="120" t="s">
        <v>1157</v>
      </c>
      <c r="J52" s="112">
        <v>16</v>
      </c>
      <c r="K52" s="113" t="s">
        <v>526</v>
      </c>
      <c r="L52" s="114">
        <v>40</v>
      </c>
      <c r="M52" s="113">
        <v>12</v>
      </c>
      <c r="N52" s="116" t="s">
        <v>1157</v>
      </c>
      <c r="O52" s="117">
        <v>33</v>
      </c>
      <c r="P52" s="121">
        <v>65000</v>
      </c>
      <c r="Q52" s="117">
        <v>65000</v>
      </c>
      <c r="R52" s="118"/>
      <c r="S52" s="118"/>
      <c r="T52" s="118"/>
      <c r="U52" s="118"/>
      <c r="V52" s="118"/>
      <c r="W52" s="118"/>
      <c r="X52" s="118"/>
      <c r="Y52" s="118"/>
      <c r="Z52" s="118"/>
      <c r="AA52" s="118"/>
      <c r="AB52" s="118"/>
      <c r="AC52" s="118"/>
      <c r="AD52" s="118"/>
      <c r="AE52" s="118"/>
      <c r="AF52" s="118"/>
      <c r="AG52" s="116" t="s">
        <v>1158</v>
      </c>
      <c r="AH52" s="165">
        <v>2018003190019</v>
      </c>
      <c r="AI52" s="117" t="s">
        <v>1159</v>
      </c>
      <c r="AJ52" s="119" t="s">
        <v>856</v>
      </c>
      <c r="AK52" s="117" t="s">
        <v>1160</v>
      </c>
      <c r="AL52" s="124">
        <v>65000</v>
      </c>
      <c r="AM52" s="116" t="s">
        <v>1161</v>
      </c>
      <c r="AN52" s="117"/>
      <c r="AO52" s="117"/>
      <c r="AP52" s="117"/>
      <c r="AQ52" s="117"/>
      <c r="AR52" s="117" t="s">
        <v>554</v>
      </c>
      <c r="AS52" s="117" t="s">
        <v>554</v>
      </c>
      <c r="AT52" s="117" t="s">
        <v>554</v>
      </c>
      <c r="AU52" s="117" t="s">
        <v>554</v>
      </c>
      <c r="AV52" s="117" t="s">
        <v>554</v>
      </c>
      <c r="AW52" s="117" t="s">
        <v>554</v>
      </c>
      <c r="AX52" s="117" t="s">
        <v>554</v>
      </c>
      <c r="AY52" s="117"/>
      <c r="AZ52" s="145" t="s">
        <v>1162</v>
      </c>
      <c r="BA52" s="116" t="s">
        <v>1163</v>
      </c>
    </row>
    <row r="53" spans="1:53" ht="330" x14ac:dyDescent="0.25">
      <c r="A53" s="108" t="s">
        <v>438</v>
      </c>
      <c r="B53" s="109" t="s">
        <v>953</v>
      </c>
      <c r="C53" s="947"/>
      <c r="D53" s="947"/>
      <c r="E53" s="947"/>
      <c r="F53" s="108" t="s">
        <v>1101</v>
      </c>
      <c r="G53" s="943"/>
      <c r="H53" s="109" t="s">
        <v>1164</v>
      </c>
      <c r="I53" s="109" t="s">
        <v>1165</v>
      </c>
      <c r="J53" s="112">
        <v>30</v>
      </c>
      <c r="K53" s="113" t="s">
        <v>526</v>
      </c>
      <c r="L53" s="114">
        <v>34</v>
      </c>
      <c r="M53" s="113">
        <v>8</v>
      </c>
      <c r="N53" s="118"/>
      <c r="O53" s="117">
        <v>238</v>
      </c>
      <c r="P53" s="121">
        <v>10000</v>
      </c>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6" t="s">
        <v>1166</v>
      </c>
      <c r="BA53" s="116" t="s">
        <v>1167</v>
      </c>
    </row>
    <row r="54" spans="1:53" ht="360" x14ac:dyDescent="0.25">
      <c r="A54" s="108" t="s">
        <v>438</v>
      </c>
      <c r="B54" s="109" t="s">
        <v>953</v>
      </c>
      <c r="C54" s="947"/>
      <c r="D54" s="947"/>
      <c r="E54" s="947"/>
      <c r="F54" s="108" t="s">
        <v>1101</v>
      </c>
      <c r="G54" s="943"/>
      <c r="H54" s="109" t="s">
        <v>1168</v>
      </c>
      <c r="I54" s="109" t="s">
        <v>1169</v>
      </c>
      <c r="J54" s="112">
        <v>5</v>
      </c>
      <c r="K54" s="113" t="s">
        <v>526</v>
      </c>
      <c r="L54" s="114">
        <v>20</v>
      </c>
      <c r="M54" s="113">
        <v>4</v>
      </c>
      <c r="N54" s="118"/>
      <c r="O54" s="117">
        <v>29</v>
      </c>
      <c r="P54" s="121">
        <v>32000</v>
      </c>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6" t="s">
        <v>1170</v>
      </c>
      <c r="BA54" s="116" t="s">
        <v>1171</v>
      </c>
    </row>
    <row r="55" spans="1:53" ht="195" x14ac:dyDescent="0.25">
      <c r="A55" s="108" t="s">
        <v>438</v>
      </c>
      <c r="B55" s="109" t="s">
        <v>953</v>
      </c>
      <c r="C55" s="947"/>
      <c r="D55" s="947"/>
      <c r="E55" s="947"/>
      <c r="F55" s="108" t="s">
        <v>1101</v>
      </c>
      <c r="G55" s="943"/>
      <c r="H55" s="109" t="s">
        <v>1172</v>
      </c>
      <c r="I55" s="109" t="s">
        <v>1173</v>
      </c>
      <c r="J55" s="112">
        <v>90</v>
      </c>
      <c r="K55" s="113" t="s">
        <v>526</v>
      </c>
      <c r="L55" s="114">
        <v>120</v>
      </c>
      <c r="M55" s="113">
        <v>17</v>
      </c>
      <c r="N55" s="116" t="s">
        <v>1173</v>
      </c>
      <c r="O55" s="117">
        <v>104</v>
      </c>
      <c r="P55" s="121">
        <v>52000</v>
      </c>
      <c r="Q55" s="117">
        <v>52000</v>
      </c>
      <c r="R55" s="118"/>
      <c r="S55" s="118"/>
      <c r="T55" s="118"/>
      <c r="U55" s="118"/>
      <c r="V55" s="118"/>
      <c r="W55" s="118"/>
      <c r="X55" s="118"/>
      <c r="Y55" s="118"/>
      <c r="Z55" s="118"/>
      <c r="AA55" s="118"/>
      <c r="AB55" s="118"/>
      <c r="AC55" s="118"/>
      <c r="AD55" s="118"/>
      <c r="AE55" s="118"/>
      <c r="AF55" s="118"/>
      <c r="AG55" s="141" t="s">
        <v>1174</v>
      </c>
      <c r="AH55" s="141"/>
      <c r="AI55" s="144" t="s">
        <v>991</v>
      </c>
      <c r="AJ55" s="141" t="s">
        <v>856</v>
      </c>
      <c r="AK55" s="144" t="s">
        <v>1175</v>
      </c>
      <c r="AL55" s="166">
        <v>52000</v>
      </c>
      <c r="AM55" s="167" t="s">
        <v>1176</v>
      </c>
      <c r="AN55" s="117"/>
      <c r="AO55" s="117" t="s">
        <v>536</v>
      </c>
      <c r="AP55" s="117" t="s">
        <v>536</v>
      </c>
      <c r="AQ55" s="117" t="s">
        <v>536</v>
      </c>
      <c r="AR55" s="117" t="s">
        <v>536</v>
      </c>
      <c r="AS55" s="117" t="s">
        <v>536</v>
      </c>
      <c r="AT55" s="117" t="s">
        <v>536</v>
      </c>
      <c r="AU55" s="117" t="s">
        <v>536</v>
      </c>
      <c r="AV55" s="117" t="s">
        <v>536</v>
      </c>
      <c r="AW55" s="117" t="s">
        <v>536</v>
      </c>
      <c r="AX55" s="117" t="s">
        <v>536</v>
      </c>
      <c r="AY55" s="117"/>
      <c r="AZ55" s="116" t="s">
        <v>1177</v>
      </c>
      <c r="BA55" s="119" t="s">
        <v>1123</v>
      </c>
    </row>
    <row r="56" spans="1:53" ht="315" x14ac:dyDescent="0.25">
      <c r="A56" s="108" t="s">
        <v>438</v>
      </c>
      <c r="B56" s="109" t="s">
        <v>953</v>
      </c>
      <c r="C56" s="937"/>
      <c r="D56" s="937"/>
      <c r="E56" s="937"/>
      <c r="F56" s="108" t="s">
        <v>1101</v>
      </c>
      <c r="G56" s="943"/>
      <c r="H56" s="109" t="s">
        <v>1178</v>
      </c>
      <c r="I56" s="109" t="s">
        <v>1179</v>
      </c>
      <c r="J56" s="112">
        <v>301</v>
      </c>
      <c r="K56" s="113" t="s">
        <v>526</v>
      </c>
      <c r="L56" s="114">
        <v>160</v>
      </c>
      <c r="M56" s="113">
        <v>40</v>
      </c>
      <c r="N56" s="168" t="s">
        <v>1179</v>
      </c>
      <c r="O56" s="117">
        <v>300</v>
      </c>
      <c r="P56" s="121">
        <v>176000</v>
      </c>
      <c r="Q56" s="117"/>
      <c r="R56" s="117"/>
      <c r="S56" s="117"/>
      <c r="T56" s="117"/>
      <c r="U56" s="117"/>
      <c r="V56" s="117"/>
      <c r="W56" s="117"/>
      <c r="X56" s="117"/>
      <c r="Y56" s="117"/>
      <c r="Z56" s="117"/>
      <c r="AA56" s="117"/>
      <c r="AB56" s="117"/>
      <c r="AC56" s="117"/>
      <c r="AD56" s="117">
        <v>156000</v>
      </c>
      <c r="AE56" s="117"/>
      <c r="AF56" s="117"/>
      <c r="AG56" s="117"/>
      <c r="AH56" s="117"/>
      <c r="AI56" s="117"/>
      <c r="AJ56" s="117"/>
      <c r="AK56" s="117"/>
      <c r="AL56" s="117"/>
      <c r="AM56" s="117"/>
      <c r="AN56" s="117"/>
      <c r="AO56" s="117"/>
      <c r="AP56" s="117"/>
      <c r="AQ56" s="117"/>
      <c r="AR56" s="117"/>
      <c r="AS56" s="117"/>
      <c r="AT56" s="117"/>
      <c r="AU56" s="117"/>
      <c r="AV56" s="117"/>
      <c r="AW56" s="117"/>
      <c r="AX56" s="117"/>
      <c r="AY56" s="117"/>
      <c r="AZ56" s="116" t="s">
        <v>1180</v>
      </c>
      <c r="BA56" s="116" t="s">
        <v>1181</v>
      </c>
    </row>
    <row r="57" spans="1:53" ht="330" x14ac:dyDescent="0.25">
      <c r="A57" s="108" t="s">
        <v>438</v>
      </c>
      <c r="B57" s="109" t="s">
        <v>953</v>
      </c>
      <c r="C57" s="944" t="s">
        <v>1182</v>
      </c>
      <c r="D57" s="944" t="s">
        <v>1183</v>
      </c>
      <c r="E57" s="942" t="s">
        <v>1184</v>
      </c>
      <c r="F57" s="108" t="s">
        <v>1185</v>
      </c>
      <c r="G57" s="942" t="s">
        <v>1186</v>
      </c>
      <c r="H57" s="120" t="s">
        <v>1187</v>
      </c>
      <c r="I57" s="120" t="s">
        <v>1188</v>
      </c>
      <c r="J57" s="112">
        <v>4200</v>
      </c>
      <c r="K57" s="113" t="s">
        <v>526</v>
      </c>
      <c r="L57" s="114">
        <v>1800</v>
      </c>
      <c r="M57" s="113">
        <v>400</v>
      </c>
      <c r="N57" s="116"/>
      <c r="O57" s="117">
        <v>1800</v>
      </c>
      <c r="P57" s="121">
        <v>1072000</v>
      </c>
      <c r="Q57" s="124">
        <v>12000</v>
      </c>
      <c r="R57" s="117"/>
      <c r="S57" s="117"/>
      <c r="T57" s="117"/>
      <c r="U57" s="117"/>
      <c r="V57" s="117"/>
      <c r="W57" s="117"/>
      <c r="X57" s="117"/>
      <c r="Y57" s="117"/>
      <c r="Z57" s="117"/>
      <c r="AA57" s="117"/>
      <c r="AB57" s="117"/>
      <c r="AC57" s="169">
        <v>1060000</v>
      </c>
      <c r="AD57" s="117"/>
      <c r="AE57" s="117"/>
      <c r="AF57" s="117"/>
      <c r="AG57" s="170"/>
      <c r="AH57" s="171"/>
      <c r="AI57" s="144"/>
      <c r="AJ57" s="144"/>
      <c r="AK57" s="144"/>
      <c r="AL57" s="172"/>
      <c r="AM57" s="173"/>
      <c r="AN57" s="144"/>
      <c r="AO57" s="144"/>
      <c r="AP57" s="144"/>
      <c r="AQ57" s="144"/>
      <c r="AR57" s="144"/>
      <c r="AS57" s="144"/>
      <c r="AT57" s="144"/>
      <c r="AU57" s="144"/>
      <c r="AV57" s="144"/>
      <c r="AW57" s="144"/>
      <c r="AX57" s="144"/>
      <c r="AY57" s="144"/>
      <c r="AZ57" s="141" t="s">
        <v>1189</v>
      </c>
      <c r="BA57" s="116" t="s">
        <v>1190</v>
      </c>
    </row>
    <row r="58" spans="1:53" ht="330" x14ac:dyDescent="0.25">
      <c r="A58" s="108" t="s">
        <v>438</v>
      </c>
      <c r="B58" s="109" t="s">
        <v>953</v>
      </c>
      <c r="C58" s="945"/>
      <c r="D58" s="945"/>
      <c r="E58" s="943"/>
      <c r="F58" s="108" t="s">
        <v>1185</v>
      </c>
      <c r="G58" s="943"/>
      <c r="H58" s="109" t="s">
        <v>1191</v>
      </c>
      <c r="I58" s="109" t="s">
        <v>1192</v>
      </c>
      <c r="J58" s="112">
        <v>0</v>
      </c>
      <c r="K58" s="113" t="s">
        <v>526</v>
      </c>
      <c r="L58" s="114">
        <v>800</v>
      </c>
      <c r="M58" s="113">
        <v>250</v>
      </c>
      <c r="N58" s="118"/>
      <c r="O58" s="165">
        <v>800</v>
      </c>
      <c r="P58" s="121">
        <v>5155000</v>
      </c>
      <c r="Q58" s="124">
        <v>30000</v>
      </c>
      <c r="R58" s="118"/>
      <c r="S58" s="118"/>
      <c r="T58" s="118"/>
      <c r="U58" s="118"/>
      <c r="V58" s="118"/>
      <c r="W58" s="118"/>
      <c r="X58" s="169">
        <v>5000000</v>
      </c>
      <c r="Y58" s="118"/>
      <c r="Z58" s="118"/>
      <c r="AA58" s="118"/>
      <c r="AB58" s="118"/>
      <c r="AC58" s="118"/>
      <c r="AD58" s="169">
        <v>125000</v>
      </c>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6" t="s">
        <v>1193</v>
      </c>
      <c r="BA58" s="116" t="s">
        <v>1194</v>
      </c>
    </row>
    <row r="59" spans="1:53" ht="409.5" x14ac:dyDescent="0.25">
      <c r="A59" s="108" t="s">
        <v>438</v>
      </c>
      <c r="B59" s="109" t="s">
        <v>953</v>
      </c>
      <c r="C59" s="944" t="s">
        <v>1195</v>
      </c>
      <c r="D59" s="944" t="s">
        <v>1196</v>
      </c>
      <c r="E59" s="942" t="s">
        <v>1197</v>
      </c>
      <c r="F59" s="108" t="s">
        <v>1198</v>
      </c>
      <c r="G59" s="942" t="s">
        <v>1199</v>
      </c>
      <c r="H59" s="108" t="s">
        <v>1200</v>
      </c>
      <c r="I59" s="109" t="s">
        <v>1201</v>
      </c>
      <c r="J59" s="112">
        <v>0</v>
      </c>
      <c r="K59" s="113" t="s">
        <v>526</v>
      </c>
      <c r="L59" s="132">
        <v>0.5</v>
      </c>
      <c r="M59" s="133">
        <v>7.0000000000000007E-2</v>
      </c>
      <c r="N59" s="118"/>
      <c r="O59" s="134">
        <v>0.5</v>
      </c>
      <c r="P59" s="121">
        <v>78000</v>
      </c>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6" t="s">
        <v>1144</v>
      </c>
      <c r="BA59" s="116" t="s">
        <v>1202</v>
      </c>
    </row>
    <row r="60" spans="1:53" ht="330" x14ac:dyDescent="0.25">
      <c r="A60" s="108" t="s">
        <v>438</v>
      </c>
      <c r="B60" s="109" t="s">
        <v>953</v>
      </c>
      <c r="C60" s="945"/>
      <c r="D60" s="945"/>
      <c r="E60" s="943"/>
      <c r="F60" s="108" t="s">
        <v>1198</v>
      </c>
      <c r="G60" s="946"/>
      <c r="H60" s="108" t="s">
        <v>1203</v>
      </c>
      <c r="I60" s="109" t="s">
        <v>1204</v>
      </c>
      <c r="J60" s="129">
        <v>1656</v>
      </c>
      <c r="K60" s="113" t="s">
        <v>526</v>
      </c>
      <c r="L60" s="158">
        <v>248</v>
      </c>
      <c r="M60" s="130">
        <v>62</v>
      </c>
      <c r="N60" s="118"/>
      <c r="O60" s="117">
        <v>248</v>
      </c>
      <c r="P60" s="121">
        <v>1500000</v>
      </c>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6" t="s">
        <v>1144</v>
      </c>
      <c r="BA60" s="116" t="s">
        <v>1205</v>
      </c>
    </row>
    <row r="61" spans="1:53" ht="180" x14ac:dyDescent="0.25">
      <c r="A61" s="108" t="s">
        <v>438</v>
      </c>
      <c r="B61" s="109" t="s">
        <v>953</v>
      </c>
      <c r="C61" s="945"/>
      <c r="D61" s="945"/>
      <c r="E61" s="943"/>
      <c r="F61" s="108" t="s">
        <v>1198</v>
      </c>
      <c r="G61" s="946"/>
      <c r="H61" s="109" t="s">
        <v>1206</v>
      </c>
      <c r="I61" s="109" t="s">
        <v>1207</v>
      </c>
      <c r="J61" s="112">
        <v>0</v>
      </c>
      <c r="K61" s="113" t="s">
        <v>526</v>
      </c>
      <c r="L61" s="114">
        <v>1</v>
      </c>
      <c r="M61" s="113">
        <v>0.2</v>
      </c>
      <c r="N61" s="116" t="s">
        <v>1207</v>
      </c>
      <c r="O61" s="117">
        <v>0.4</v>
      </c>
      <c r="P61" s="121">
        <v>6000000</v>
      </c>
      <c r="Q61" s="118"/>
      <c r="R61" s="118"/>
      <c r="S61" s="118"/>
      <c r="T61" s="118"/>
      <c r="U61" s="118"/>
      <c r="V61" s="118"/>
      <c r="W61" s="118"/>
      <c r="X61" s="121">
        <v>6000000</v>
      </c>
      <c r="Y61" s="118"/>
      <c r="Z61" s="118"/>
      <c r="AA61" s="118"/>
      <c r="AB61" s="118"/>
      <c r="AC61" s="118"/>
      <c r="AD61" s="118"/>
      <c r="AE61" s="118"/>
      <c r="AF61" s="118"/>
      <c r="AG61" s="126" t="s">
        <v>1208</v>
      </c>
      <c r="AH61" s="117"/>
      <c r="AI61" s="117" t="s">
        <v>991</v>
      </c>
      <c r="AJ61" s="117" t="s">
        <v>1121</v>
      </c>
      <c r="AK61" s="117" t="s">
        <v>1209</v>
      </c>
      <c r="AL61" s="124">
        <v>48000</v>
      </c>
      <c r="AM61" s="126" t="s">
        <v>1210</v>
      </c>
      <c r="AN61" s="118"/>
      <c r="AO61" s="118"/>
      <c r="AP61" s="117" t="s">
        <v>536</v>
      </c>
      <c r="AQ61" s="117" t="s">
        <v>536</v>
      </c>
      <c r="AR61" s="117" t="s">
        <v>536</v>
      </c>
      <c r="AS61" s="117" t="s">
        <v>536</v>
      </c>
      <c r="AT61" s="117" t="s">
        <v>536</v>
      </c>
      <c r="AU61" s="117" t="s">
        <v>536</v>
      </c>
      <c r="AV61" s="117" t="s">
        <v>536</v>
      </c>
      <c r="AW61" s="118"/>
      <c r="AX61" s="118"/>
      <c r="AY61" s="118"/>
      <c r="AZ61" s="116" t="s">
        <v>1170</v>
      </c>
      <c r="BA61" s="116" t="s">
        <v>1211</v>
      </c>
    </row>
    <row r="62" spans="1:53" ht="210" x14ac:dyDescent="0.25">
      <c r="A62" s="108" t="s">
        <v>438</v>
      </c>
      <c r="B62" s="109" t="s">
        <v>953</v>
      </c>
      <c r="C62" s="945"/>
      <c r="D62" s="945"/>
      <c r="E62" s="943"/>
      <c r="F62" s="108" t="s">
        <v>1198</v>
      </c>
      <c r="G62" s="946"/>
      <c r="H62" s="120" t="s">
        <v>1212</v>
      </c>
      <c r="I62" s="120" t="s">
        <v>1213</v>
      </c>
      <c r="J62" s="112">
        <v>0</v>
      </c>
      <c r="K62" s="113" t="s">
        <v>526</v>
      </c>
      <c r="L62" s="114">
        <v>1</v>
      </c>
      <c r="M62" s="113">
        <v>0.1</v>
      </c>
      <c r="N62" s="116" t="s">
        <v>1213</v>
      </c>
      <c r="O62" s="117" t="s">
        <v>1214</v>
      </c>
      <c r="P62" s="121">
        <v>60000</v>
      </c>
      <c r="Q62" s="119">
        <v>40000</v>
      </c>
      <c r="R62" s="119"/>
      <c r="S62" s="119"/>
      <c r="T62" s="119"/>
      <c r="U62" s="119">
        <v>20000</v>
      </c>
      <c r="V62" s="119"/>
      <c r="W62" s="118"/>
      <c r="X62" s="118"/>
      <c r="Y62" s="118"/>
      <c r="Z62" s="118"/>
      <c r="AA62" s="118"/>
      <c r="AB62" s="118"/>
      <c r="AC62" s="118"/>
      <c r="AD62" s="118"/>
      <c r="AE62" s="118"/>
      <c r="AF62" s="118"/>
      <c r="AG62" s="116" t="s">
        <v>1215</v>
      </c>
      <c r="AH62" s="118"/>
      <c r="AI62" s="117" t="s">
        <v>991</v>
      </c>
      <c r="AJ62" s="117" t="s">
        <v>1121</v>
      </c>
      <c r="AK62" s="117" t="s">
        <v>1209</v>
      </c>
      <c r="AL62" s="124">
        <v>380740</v>
      </c>
      <c r="AM62" s="116" t="s">
        <v>1216</v>
      </c>
      <c r="AN62" s="117" t="s">
        <v>536</v>
      </c>
      <c r="AO62" s="117" t="s">
        <v>536</v>
      </c>
      <c r="AP62" s="117" t="s">
        <v>536</v>
      </c>
      <c r="AQ62" s="117" t="s">
        <v>536</v>
      </c>
      <c r="AR62" s="117" t="s">
        <v>536</v>
      </c>
      <c r="AS62" s="117" t="s">
        <v>536</v>
      </c>
      <c r="AT62" s="117" t="s">
        <v>536</v>
      </c>
      <c r="AU62" s="117" t="s">
        <v>536</v>
      </c>
      <c r="AV62" s="118"/>
      <c r="AW62" s="118"/>
      <c r="AX62" s="118"/>
      <c r="AY62" s="118"/>
      <c r="AZ62" s="116" t="s">
        <v>1217</v>
      </c>
      <c r="BA62" s="116" t="s">
        <v>1218</v>
      </c>
    </row>
    <row r="63" spans="1:53" ht="409.5" x14ac:dyDescent="0.25">
      <c r="A63" s="108" t="s">
        <v>438</v>
      </c>
      <c r="B63" s="109" t="s">
        <v>953</v>
      </c>
      <c r="C63" s="945"/>
      <c r="D63" s="945"/>
      <c r="E63" s="943"/>
      <c r="F63" s="108" t="s">
        <v>1198</v>
      </c>
      <c r="G63" s="946"/>
      <c r="H63" s="120" t="s">
        <v>1219</v>
      </c>
      <c r="I63" s="120" t="s">
        <v>1220</v>
      </c>
      <c r="J63" s="112">
        <v>0</v>
      </c>
      <c r="K63" s="113" t="s">
        <v>526</v>
      </c>
      <c r="L63" s="114">
        <v>1200</v>
      </c>
      <c r="M63" s="113">
        <v>68</v>
      </c>
      <c r="N63" s="118"/>
      <c r="O63" s="117">
        <v>36548</v>
      </c>
      <c r="P63" s="121">
        <v>90000</v>
      </c>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6" t="s">
        <v>1217</v>
      </c>
      <c r="BA63" s="116" t="s">
        <v>1221</v>
      </c>
    </row>
    <row r="64" spans="1:53" ht="409.5" x14ac:dyDescent="0.25">
      <c r="A64" s="108" t="s">
        <v>438</v>
      </c>
      <c r="B64" s="109" t="s">
        <v>953</v>
      </c>
      <c r="C64" s="945"/>
      <c r="D64" s="945"/>
      <c r="E64" s="943"/>
      <c r="F64" s="108" t="s">
        <v>1198</v>
      </c>
      <c r="G64" s="946"/>
      <c r="H64" s="109" t="s">
        <v>1222</v>
      </c>
      <c r="I64" s="109" t="s">
        <v>1223</v>
      </c>
      <c r="J64" s="112">
        <f>12+76</f>
        <v>88</v>
      </c>
      <c r="K64" s="113" t="s">
        <v>526</v>
      </c>
      <c r="L64" s="114">
        <v>200</v>
      </c>
      <c r="M64" s="113">
        <v>40</v>
      </c>
      <c r="N64" s="116" t="s">
        <v>1223</v>
      </c>
      <c r="O64" s="117">
        <v>182</v>
      </c>
      <c r="P64" s="121">
        <v>24000</v>
      </c>
      <c r="Q64" s="117">
        <v>24000</v>
      </c>
      <c r="R64" s="118"/>
      <c r="S64" s="118"/>
      <c r="T64" s="118"/>
      <c r="U64" s="118"/>
      <c r="V64" s="118"/>
      <c r="W64" s="118"/>
      <c r="X64" s="118"/>
      <c r="Y64" s="118"/>
      <c r="Z64" s="118"/>
      <c r="AA64" s="118"/>
      <c r="AB64" s="118"/>
      <c r="AC64" s="118"/>
      <c r="AD64" s="118"/>
      <c r="AE64" s="118"/>
      <c r="AF64" s="118"/>
      <c r="AG64" s="175" t="s">
        <v>1224</v>
      </c>
      <c r="AH64" s="171">
        <v>2013300030059</v>
      </c>
      <c r="AI64" s="144" t="s">
        <v>1225</v>
      </c>
      <c r="AJ64" s="144" t="s">
        <v>1226</v>
      </c>
      <c r="AK64" s="141" t="s">
        <v>1227</v>
      </c>
      <c r="AL64" s="176">
        <v>2439111991</v>
      </c>
      <c r="AM64" s="141" t="s">
        <v>1228</v>
      </c>
      <c r="AN64" s="177" t="s">
        <v>554</v>
      </c>
      <c r="AO64" s="177" t="s">
        <v>554</v>
      </c>
      <c r="AP64" s="177" t="s">
        <v>554</v>
      </c>
      <c r="AQ64" s="177" t="s">
        <v>554</v>
      </c>
      <c r="AR64" s="177" t="s">
        <v>554</v>
      </c>
      <c r="AS64" s="177" t="s">
        <v>554</v>
      </c>
      <c r="AT64" s="177" t="s">
        <v>554</v>
      </c>
      <c r="AU64" s="177" t="s">
        <v>554</v>
      </c>
      <c r="AV64" s="177" t="s">
        <v>554</v>
      </c>
      <c r="AW64" s="177" t="s">
        <v>554</v>
      </c>
      <c r="AX64" s="177" t="s">
        <v>554</v>
      </c>
      <c r="AY64" s="177" t="s">
        <v>554</v>
      </c>
      <c r="AZ64" s="141" t="s">
        <v>1229</v>
      </c>
      <c r="BA64" s="116" t="s">
        <v>1230</v>
      </c>
    </row>
    <row r="65" spans="1:53" ht="285" x14ac:dyDescent="0.25">
      <c r="A65" s="108" t="s">
        <v>438</v>
      </c>
      <c r="B65" s="109" t="s">
        <v>953</v>
      </c>
      <c r="C65" s="945"/>
      <c r="D65" s="945"/>
      <c r="E65" s="943"/>
      <c r="F65" s="108" t="s">
        <v>1198</v>
      </c>
      <c r="G65" s="946"/>
      <c r="H65" s="109" t="s">
        <v>1231</v>
      </c>
      <c r="I65" s="109" t="s">
        <v>1232</v>
      </c>
      <c r="J65" s="112">
        <v>1295</v>
      </c>
      <c r="K65" s="113" t="s">
        <v>526</v>
      </c>
      <c r="L65" s="114">
        <v>5634</v>
      </c>
      <c r="M65" s="113">
        <v>52</v>
      </c>
      <c r="N65" s="118"/>
      <c r="O65" s="118"/>
      <c r="P65" s="121">
        <v>15000</v>
      </c>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6" t="s">
        <v>1233</v>
      </c>
    </row>
    <row r="66" spans="1:53" ht="270" x14ac:dyDescent="0.25">
      <c r="A66" s="108" t="s">
        <v>438</v>
      </c>
      <c r="B66" s="109" t="s">
        <v>953</v>
      </c>
      <c r="C66" s="945"/>
      <c r="D66" s="945"/>
      <c r="E66" s="943"/>
      <c r="F66" s="108" t="s">
        <v>1198</v>
      </c>
      <c r="G66" s="946"/>
      <c r="H66" s="109" t="s">
        <v>1234</v>
      </c>
      <c r="I66" s="109" t="s">
        <v>1235</v>
      </c>
      <c r="J66" s="112">
        <v>0</v>
      </c>
      <c r="K66" s="113" t="s">
        <v>526</v>
      </c>
      <c r="L66" s="114">
        <v>1</v>
      </c>
      <c r="M66" s="113">
        <v>0</v>
      </c>
      <c r="N66" s="118"/>
      <c r="O66" s="118"/>
      <c r="P66" s="135">
        <v>0</v>
      </c>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41" t="s">
        <v>1236</v>
      </c>
      <c r="BA66" s="148" t="s">
        <v>1237</v>
      </c>
    </row>
    <row r="67" spans="1:53" ht="409.5" x14ac:dyDescent="0.25">
      <c r="A67" s="108" t="s">
        <v>438</v>
      </c>
      <c r="B67" s="109" t="s">
        <v>953</v>
      </c>
      <c r="C67" s="945"/>
      <c r="D67" s="945"/>
      <c r="E67" s="943"/>
      <c r="F67" s="108" t="s">
        <v>1198</v>
      </c>
      <c r="G67" s="946"/>
      <c r="H67" s="109" t="s">
        <v>1238</v>
      </c>
      <c r="I67" s="120" t="s">
        <v>1239</v>
      </c>
      <c r="J67" s="112">
        <v>0</v>
      </c>
      <c r="K67" s="113" t="s">
        <v>526</v>
      </c>
      <c r="L67" s="114">
        <v>21000</v>
      </c>
      <c r="M67" s="113">
        <v>4200</v>
      </c>
      <c r="N67" s="116" t="s">
        <v>1239</v>
      </c>
      <c r="O67" s="117">
        <v>17105</v>
      </c>
      <c r="P67" s="121">
        <v>160000</v>
      </c>
      <c r="Q67" s="121">
        <v>100000</v>
      </c>
      <c r="R67" s="118"/>
      <c r="S67" s="118"/>
      <c r="T67" s="118"/>
      <c r="U67" s="118"/>
      <c r="V67" s="118"/>
      <c r="W67" s="118"/>
      <c r="X67" s="118"/>
      <c r="Y67" s="118"/>
      <c r="Z67" s="118"/>
      <c r="AA67" s="118"/>
      <c r="AB67" s="118"/>
      <c r="AC67" s="118"/>
      <c r="AD67" s="121">
        <v>60000</v>
      </c>
      <c r="AE67" s="118"/>
      <c r="AF67" s="118"/>
      <c r="AG67" s="144" t="s">
        <v>1240</v>
      </c>
      <c r="AH67" s="144" t="s">
        <v>960</v>
      </c>
      <c r="AI67" s="144" t="s">
        <v>1241</v>
      </c>
      <c r="AJ67" s="144" t="s">
        <v>1042</v>
      </c>
      <c r="AK67" s="144" t="s">
        <v>1042</v>
      </c>
      <c r="AL67" s="172">
        <v>195000</v>
      </c>
      <c r="AM67" s="173" t="s">
        <v>1242</v>
      </c>
      <c r="AN67" s="144"/>
      <c r="AO67" s="144"/>
      <c r="AP67" s="144" t="s">
        <v>554</v>
      </c>
      <c r="AQ67" s="144" t="s">
        <v>554</v>
      </c>
      <c r="AR67" s="144" t="s">
        <v>554</v>
      </c>
      <c r="AS67" s="144" t="s">
        <v>554</v>
      </c>
      <c r="AT67" s="144" t="s">
        <v>554</v>
      </c>
      <c r="AU67" s="144" t="s">
        <v>554</v>
      </c>
      <c r="AV67" s="144" t="s">
        <v>554</v>
      </c>
      <c r="AW67" s="144" t="s">
        <v>554</v>
      </c>
      <c r="AX67" s="144" t="s">
        <v>554</v>
      </c>
      <c r="AY67" s="144"/>
      <c r="AZ67" s="141" t="s">
        <v>1243</v>
      </c>
      <c r="BA67" s="116" t="s">
        <v>1244</v>
      </c>
    </row>
    <row r="68" spans="1:53" ht="105" x14ac:dyDescent="0.25">
      <c r="A68" s="178" t="s">
        <v>1245</v>
      </c>
      <c r="B68" s="109" t="s">
        <v>1246</v>
      </c>
      <c r="C68" s="942" t="s">
        <v>1247</v>
      </c>
      <c r="D68" s="942" t="s">
        <v>1248</v>
      </c>
      <c r="E68" s="944">
        <v>988</v>
      </c>
      <c r="F68" s="108" t="s">
        <v>1249</v>
      </c>
      <c r="G68" s="942" t="s">
        <v>1250</v>
      </c>
      <c r="H68" s="120" t="s">
        <v>1251</v>
      </c>
      <c r="I68" s="120" t="s">
        <v>1252</v>
      </c>
      <c r="J68" s="112">
        <v>4500</v>
      </c>
      <c r="K68" s="113" t="s">
        <v>526</v>
      </c>
      <c r="L68" s="114">
        <v>300</v>
      </c>
      <c r="M68" s="113">
        <v>0</v>
      </c>
      <c r="N68" s="118"/>
      <c r="O68" s="118"/>
      <c r="P68" s="135">
        <v>0</v>
      </c>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9" t="s">
        <v>1253</v>
      </c>
      <c r="BA68" s="119" t="s">
        <v>1254</v>
      </c>
    </row>
    <row r="69" spans="1:53" ht="375" x14ac:dyDescent="0.25">
      <c r="A69" s="178" t="s">
        <v>1245</v>
      </c>
      <c r="B69" s="109" t="s">
        <v>1246</v>
      </c>
      <c r="C69" s="943"/>
      <c r="D69" s="943"/>
      <c r="E69" s="943"/>
      <c r="F69" s="108" t="s">
        <v>1249</v>
      </c>
      <c r="G69" s="943"/>
      <c r="H69" s="109" t="s">
        <v>1255</v>
      </c>
      <c r="I69" s="109" t="s">
        <v>1256</v>
      </c>
      <c r="J69" s="112">
        <v>988</v>
      </c>
      <c r="K69" s="113" t="s">
        <v>526</v>
      </c>
      <c r="L69" s="114">
        <v>219</v>
      </c>
      <c r="M69" s="113">
        <v>0</v>
      </c>
      <c r="N69" s="118"/>
      <c r="O69" s="118"/>
      <c r="P69" s="135">
        <v>0</v>
      </c>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9" t="s">
        <v>1253</v>
      </c>
      <c r="BA69" s="116" t="s">
        <v>1257</v>
      </c>
    </row>
    <row r="70" spans="1:53" ht="255" x14ac:dyDescent="0.25">
      <c r="A70" s="178" t="s">
        <v>1245</v>
      </c>
      <c r="B70" s="109" t="s">
        <v>1246</v>
      </c>
      <c r="C70" s="943"/>
      <c r="D70" s="943"/>
      <c r="E70" s="943"/>
      <c r="F70" s="108" t="s">
        <v>1249</v>
      </c>
      <c r="G70" s="943"/>
      <c r="H70" s="120" t="s">
        <v>1258</v>
      </c>
      <c r="I70" s="120" t="s">
        <v>1259</v>
      </c>
      <c r="J70" s="112">
        <v>4</v>
      </c>
      <c r="K70" s="113" t="s">
        <v>526</v>
      </c>
      <c r="L70" s="114"/>
      <c r="M70" s="113">
        <v>0</v>
      </c>
      <c r="N70" s="118"/>
      <c r="O70" s="118"/>
      <c r="P70" s="135">
        <v>0</v>
      </c>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9" t="s">
        <v>1253</v>
      </c>
      <c r="BA70" s="116" t="s">
        <v>1260</v>
      </c>
    </row>
    <row r="71" spans="1:53" ht="255" x14ac:dyDescent="0.25">
      <c r="A71" s="178" t="s">
        <v>1245</v>
      </c>
      <c r="B71" s="109" t="s">
        <v>1246</v>
      </c>
      <c r="C71" s="109" t="s">
        <v>1261</v>
      </c>
      <c r="D71" s="109" t="s">
        <v>1262</v>
      </c>
      <c r="E71" s="123">
        <v>0</v>
      </c>
      <c r="F71" s="108" t="s">
        <v>1263</v>
      </c>
      <c r="G71" s="944" t="s">
        <v>1264</v>
      </c>
      <c r="H71" s="109" t="s">
        <v>1265</v>
      </c>
      <c r="I71" s="109" t="s">
        <v>1266</v>
      </c>
      <c r="J71" s="112">
        <v>0</v>
      </c>
      <c r="K71" s="113" t="s">
        <v>1267</v>
      </c>
      <c r="L71" s="114">
        <v>6</v>
      </c>
      <c r="M71" s="113">
        <v>1</v>
      </c>
      <c r="N71" s="116" t="s">
        <v>1268</v>
      </c>
      <c r="O71" s="117">
        <v>5</v>
      </c>
      <c r="P71" s="121">
        <v>9600</v>
      </c>
      <c r="Q71" s="118"/>
      <c r="R71" s="118"/>
      <c r="S71" s="118"/>
      <c r="T71" s="118"/>
      <c r="U71" s="121">
        <v>9600</v>
      </c>
      <c r="V71" s="118"/>
      <c r="W71" s="118"/>
      <c r="X71" s="118"/>
      <c r="Y71" s="118"/>
      <c r="Z71" s="118"/>
      <c r="AA71" s="118"/>
      <c r="AB71" s="118"/>
      <c r="AC71" s="118"/>
      <c r="AD71" s="118"/>
      <c r="AE71" s="118"/>
      <c r="AF71" s="118"/>
      <c r="AG71" s="117" t="s">
        <v>960</v>
      </c>
      <c r="AH71" s="117" t="s">
        <v>960</v>
      </c>
      <c r="AI71" s="117" t="s">
        <v>960</v>
      </c>
      <c r="AJ71" s="117" t="s">
        <v>960</v>
      </c>
      <c r="AK71" s="117" t="s">
        <v>960</v>
      </c>
      <c r="AL71" s="117" t="s">
        <v>960</v>
      </c>
      <c r="AM71" s="117" t="s">
        <v>960</v>
      </c>
      <c r="AN71" s="118"/>
      <c r="AO71" s="117" t="s">
        <v>536</v>
      </c>
      <c r="AP71" s="117" t="s">
        <v>536</v>
      </c>
      <c r="AQ71" s="117" t="s">
        <v>536</v>
      </c>
      <c r="AR71" s="117" t="s">
        <v>536</v>
      </c>
      <c r="AS71" s="117" t="s">
        <v>536</v>
      </c>
      <c r="AT71" s="117" t="s">
        <v>536</v>
      </c>
      <c r="AU71" s="117" t="s">
        <v>536</v>
      </c>
      <c r="AV71" s="117" t="s">
        <v>536</v>
      </c>
      <c r="AW71" s="117" t="s">
        <v>536</v>
      </c>
      <c r="AX71" s="117" t="s">
        <v>536</v>
      </c>
      <c r="AY71" s="117" t="s">
        <v>536</v>
      </c>
      <c r="AZ71" s="116" t="s">
        <v>1269</v>
      </c>
      <c r="BA71" s="118"/>
    </row>
    <row r="72" spans="1:53" ht="150" x14ac:dyDescent="0.25">
      <c r="A72" s="178" t="s">
        <v>1245</v>
      </c>
      <c r="B72" s="109" t="s">
        <v>1246</v>
      </c>
      <c r="C72" s="109" t="s">
        <v>1270</v>
      </c>
      <c r="D72" s="109" t="s">
        <v>1271</v>
      </c>
      <c r="E72" s="123">
        <v>6</v>
      </c>
      <c r="F72" s="108" t="s">
        <v>1263</v>
      </c>
      <c r="G72" s="944"/>
      <c r="H72" s="109" t="s">
        <v>1270</v>
      </c>
      <c r="I72" s="109" t="s">
        <v>1271</v>
      </c>
      <c r="J72" s="112">
        <v>6</v>
      </c>
      <c r="K72" s="113" t="s">
        <v>1267</v>
      </c>
      <c r="L72" s="114">
        <v>3</v>
      </c>
      <c r="M72" s="113">
        <v>0.8</v>
      </c>
      <c r="N72" s="116" t="s">
        <v>1271</v>
      </c>
      <c r="O72" s="117">
        <v>2</v>
      </c>
      <c r="P72" s="121">
        <v>76986</v>
      </c>
      <c r="Q72" s="118"/>
      <c r="R72" s="118"/>
      <c r="S72" s="118"/>
      <c r="T72" s="118"/>
      <c r="U72" s="121">
        <v>76986</v>
      </c>
      <c r="V72" s="118"/>
      <c r="W72" s="118"/>
      <c r="X72" s="118"/>
      <c r="Y72" s="118"/>
      <c r="Z72" s="118"/>
      <c r="AA72" s="118"/>
      <c r="AB72" s="118"/>
      <c r="AC72" s="118"/>
      <c r="AD72" s="118"/>
      <c r="AE72" s="118"/>
      <c r="AF72" s="118"/>
      <c r="AG72" s="117" t="s">
        <v>960</v>
      </c>
      <c r="AH72" s="117" t="s">
        <v>960</v>
      </c>
      <c r="AI72" s="117" t="s">
        <v>960</v>
      </c>
      <c r="AJ72" s="117" t="s">
        <v>960</v>
      </c>
      <c r="AK72" s="117" t="s">
        <v>960</v>
      </c>
      <c r="AL72" s="117" t="s">
        <v>960</v>
      </c>
      <c r="AM72" s="117" t="s">
        <v>960</v>
      </c>
      <c r="AN72" s="118"/>
      <c r="AO72" s="117" t="s">
        <v>536</v>
      </c>
      <c r="AP72" s="117" t="s">
        <v>536</v>
      </c>
      <c r="AQ72" s="117" t="s">
        <v>536</v>
      </c>
      <c r="AR72" s="117" t="s">
        <v>536</v>
      </c>
      <c r="AS72" s="117" t="s">
        <v>536</v>
      </c>
      <c r="AT72" s="117" t="s">
        <v>536</v>
      </c>
      <c r="AU72" s="117" t="s">
        <v>536</v>
      </c>
      <c r="AV72" s="117" t="s">
        <v>536</v>
      </c>
      <c r="AW72" s="117" t="s">
        <v>536</v>
      </c>
      <c r="AX72" s="117" t="s">
        <v>536</v>
      </c>
      <c r="AY72" s="117" t="s">
        <v>536</v>
      </c>
      <c r="AZ72" s="116" t="s">
        <v>1269</v>
      </c>
      <c r="BA72" s="118"/>
    </row>
    <row r="73" spans="1:53" ht="409.5" x14ac:dyDescent="0.25">
      <c r="A73" s="178" t="s">
        <v>1245</v>
      </c>
      <c r="B73" s="109" t="s">
        <v>1246</v>
      </c>
      <c r="C73" s="109" t="s">
        <v>1272</v>
      </c>
      <c r="D73" s="109" t="s">
        <v>1273</v>
      </c>
      <c r="E73" s="110">
        <v>0</v>
      </c>
      <c r="F73" s="108" t="s">
        <v>1263</v>
      </c>
      <c r="G73" s="944"/>
      <c r="H73" s="120" t="s">
        <v>1272</v>
      </c>
      <c r="I73" s="120" t="s">
        <v>1273</v>
      </c>
      <c r="J73" s="112">
        <v>0</v>
      </c>
      <c r="K73" s="113" t="s">
        <v>1267</v>
      </c>
      <c r="L73" s="132">
        <v>0.5</v>
      </c>
      <c r="M73" s="133">
        <v>0.1</v>
      </c>
      <c r="N73" s="120" t="s">
        <v>1273</v>
      </c>
      <c r="O73" s="117">
        <v>1</v>
      </c>
      <c r="P73" s="121">
        <v>12000</v>
      </c>
      <c r="Q73" s="118"/>
      <c r="R73" s="118"/>
      <c r="S73" s="118"/>
      <c r="T73" s="118"/>
      <c r="U73" s="121">
        <v>12000</v>
      </c>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6" t="s">
        <v>1274</v>
      </c>
      <c r="BA73" s="116" t="s">
        <v>1275</v>
      </c>
    </row>
    <row r="74" spans="1:53" ht="255" x14ac:dyDescent="0.25">
      <c r="A74" s="109" t="s">
        <v>1276</v>
      </c>
      <c r="B74" s="108" t="s">
        <v>1277</v>
      </c>
      <c r="C74" s="109" t="s">
        <v>1278</v>
      </c>
      <c r="D74" s="109" t="s">
        <v>1279</v>
      </c>
      <c r="E74" s="123">
        <v>4</v>
      </c>
      <c r="F74" s="109" t="s">
        <v>1280</v>
      </c>
      <c r="G74" s="942" t="s">
        <v>1281</v>
      </c>
      <c r="H74" s="120" t="s">
        <v>1278</v>
      </c>
      <c r="I74" s="120" t="s">
        <v>1279</v>
      </c>
      <c r="J74" s="112">
        <v>4</v>
      </c>
      <c r="K74" s="113" t="s">
        <v>527</v>
      </c>
      <c r="L74" s="114">
        <v>4</v>
      </c>
      <c r="M74" s="114">
        <v>4</v>
      </c>
      <c r="N74" s="120" t="s">
        <v>1279</v>
      </c>
      <c r="O74" s="117">
        <v>4</v>
      </c>
      <c r="P74" s="121">
        <v>12500</v>
      </c>
      <c r="Q74" s="118"/>
      <c r="R74" s="118"/>
      <c r="S74" s="118"/>
      <c r="T74" s="118"/>
      <c r="U74" s="121">
        <v>12500</v>
      </c>
      <c r="V74" s="118"/>
      <c r="W74" s="118"/>
      <c r="X74" s="118"/>
      <c r="Y74" s="118"/>
      <c r="Z74" s="118"/>
      <c r="AA74" s="118"/>
      <c r="AB74" s="118"/>
      <c r="AC74" s="118"/>
      <c r="AD74" s="118"/>
      <c r="AE74" s="118"/>
      <c r="AF74" s="118"/>
      <c r="AG74" s="144" t="s">
        <v>960</v>
      </c>
      <c r="AH74" s="144" t="s">
        <v>960</v>
      </c>
      <c r="AI74" s="144" t="s">
        <v>960</v>
      </c>
      <c r="AJ74" s="144" t="s">
        <v>960</v>
      </c>
      <c r="AK74" s="144" t="s">
        <v>960</v>
      </c>
      <c r="AL74" s="144" t="s">
        <v>960</v>
      </c>
      <c r="AM74" s="144" t="s">
        <v>960</v>
      </c>
      <c r="AN74" s="117"/>
      <c r="AO74" s="117"/>
      <c r="AP74" s="117"/>
      <c r="AQ74" s="117"/>
      <c r="AR74" s="117"/>
      <c r="AS74" s="117" t="s">
        <v>536</v>
      </c>
      <c r="AT74" s="117" t="s">
        <v>536</v>
      </c>
      <c r="AU74" s="117" t="s">
        <v>536</v>
      </c>
      <c r="AV74" s="117" t="s">
        <v>536</v>
      </c>
      <c r="AW74" s="117" t="s">
        <v>536</v>
      </c>
      <c r="AX74" s="117" t="s">
        <v>536</v>
      </c>
      <c r="AY74" s="117" t="s">
        <v>536</v>
      </c>
      <c r="AZ74" s="116" t="s">
        <v>1282</v>
      </c>
      <c r="BA74" s="116" t="s">
        <v>1283</v>
      </c>
    </row>
    <row r="75" spans="1:53" ht="330" x14ac:dyDescent="0.25">
      <c r="A75" s="109" t="s">
        <v>1276</v>
      </c>
      <c r="B75" s="108" t="s">
        <v>1277</v>
      </c>
      <c r="C75" s="942" t="s">
        <v>1284</v>
      </c>
      <c r="D75" s="942" t="s">
        <v>1285</v>
      </c>
      <c r="E75" s="944">
        <v>0.8</v>
      </c>
      <c r="F75" s="109" t="s">
        <v>1280</v>
      </c>
      <c r="G75" s="943"/>
      <c r="H75" s="938" t="s">
        <v>1286</v>
      </c>
      <c r="I75" s="938" t="s">
        <v>1287</v>
      </c>
      <c r="J75" s="938">
        <v>3497</v>
      </c>
      <c r="K75" s="928" t="s">
        <v>1267</v>
      </c>
      <c r="L75" s="940">
        <v>3500</v>
      </c>
      <c r="M75" s="928">
        <v>797</v>
      </c>
      <c r="N75" s="938" t="s">
        <v>1287</v>
      </c>
      <c r="O75" s="932">
        <v>1960</v>
      </c>
      <c r="P75" s="934">
        <v>338760</v>
      </c>
      <c r="Q75" s="118"/>
      <c r="R75" s="118"/>
      <c r="S75" s="118"/>
      <c r="T75" s="118"/>
      <c r="U75" s="934">
        <v>338760</v>
      </c>
      <c r="V75" s="118"/>
      <c r="W75" s="118"/>
      <c r="X75" s="118"/>
      <c r="Y75" s="118"/>
      <c r="Z75" s="118"/>
      <c r="AA75" s="118"/>
      <c r="AB75" s="118"/>
      <c r="AC75" s="118"/>
      <c r="AD75" s="118"/>
      <c r="AE75" s="118"/>
      <c r="AF75" s="118"/>
      <c r="AG75" s="116" t="s">
        <v>1288</v>
      </c>
      <c r="AH75" s="119"/>
      <c r="AI75" s="117" t="s">
        <v>1010</v>
      </c>
      <c r="AJ75" s="119" t="s">
        <v>1121</v>
      </c>
      <c r="AK75" s="148" t="s">
        <v>1289</v>
      </c>
      <c r="AL75" s="117">
        <v>200000</v>
      </c>
      <c r="AM75" s="116" t="s">
        <v>1290</v>
      </c>
      <c r="AN75" s="117"/>
      <c r="AO75" s="117"/>
      <c r="AP75" s="117"/>
      <c r="AQ75" s="117"/>
      <c r="AR75" s="117"/>
      <c r="AS75" s="117"/>
      <c r="AT75" s="117"/>
      <c r="AU75" s="117"/>
      <c r="AV75" s="117" t="s">
        <v>536</v>
      </c>
      <c r="AW75" s="117" t="s">
        <v>536</v>
      </c>
      <c r="AX75" s="117" t="s">
        <v>536</v>
      </c>
      <c r="AY75" s="117"/>
      <c r="AZ75" s="116" t="s">
        <v>1291</v>
      </c>
      <c r="BA75" s="116" t="s">
        <v>1292</v>
      </c>
    </row>
    <row r="76" spans="1:53" ht="409.5" x14ac:dyDescent="0.25">
      <c r="A76" s="109"/>
      <c r="B76" s="108"/>
      <c r="C76" s="942"/>
      <c r="D76" s="942"/>
      <c r="E76" s="944"/>
      <c r="F76" s="109"/>
      <c r="G76" s="943"/>
      <c r="H76" s="939"/>
      <c r="I76" s="939"/>
      <c r="J76" s="939"/>
      <c r="K76" s="929"/>
      <c r="L76" s="941"/>
      <c r="M76" s="929"/>
      <c r="N76" s="939"/>
      <c r="O76" s="933"/>
      <c r="P76" s="935"/>
      <c r="Q76" s="118"/>
      <c r="R76" s="118"/>
      <c r="S76" s="118"/>
      <c r="T76" s="118"/>
      <c r="U76" s="935"/>
      <c r="V76" s="118"/>
      <c r="W76" s="118"/>
      <c r="X76" s="118"/>
      <c r="Y76" s="118"/>
      <c r="Z76" s="118"/>
      <c r="AA76" s="118"/>
      <c r="AB76" s="118"/>
      <c r="AC76" s="118"/>
      <c r="AD76" s="118"/>
      <c r="AE76" s="118"/>
      <c r="AF76" s="118"/>
      <c r="AG76" s="116" t="s">
        <v>1293</v>
      </c>
      <c r="AH76" s="119"/>
      <c r="AI76" s="117" t="s">
        <v>1010</v>
      </c>
      <c r="AJ76" s="119" t="s">
        <v>1121</v>
      </c>
      <c r="AK76" s="126" t="s">
        <v>1294</v>
      </c>
      <c r="AL76" s="117">
        <v>344820</v>
      </c>
      <c r="AM76" s="116" t="s">
        <v>1295</v>
      </c>
      <c r="AN76" s="117"/>
      <c r="AO76" s="117"/>
      <c r="AP76" s="117"/>
      <c r="AQ76" s="117"/>
      <c r="AR76" s="117" t="s">
        <v>536</v>
      </c>
      <c r="AS76" s="117" t="s">
        <v>536</v>
      </c>
      <c r="AT76" s="117" t="s">
        <v>536</v>
      </c>
      <c r="AU76" s="117" t="s">
        <v>536</v>
      </c>
      <c r="AV76" s="117" t="s">
        <v>536</v>
      </c>
      <c r="AW76" s="117" t="s">
        <v>536</v>
      </c>
      <c r="AX76" s="117" t="s">
        <v>536</v>
      </c>
      <c r="AY76" s="117"/>
      <c r="AZ76" s="179" t="s">
        <v>1296</v>
      </c>
      <c r="BA76" s="116" t="s">
        <v>1297</v>
      </c>
    </row>
    <row r="77" spans="1:53" ht="409.5" x14ac:dyDescent="0.25">
      <c r="A77" s="109" t="s">
        <v>1276</v>
      </c>
      <c r="B77" s="108" t="s">
        <v>1277</v>
      </c>
      <c r="C77" s="943"/>
      <c r="D77" s="943"/>
      <c r="E77" s="943"/>
      <c r="F77" s="109" t="s">
        <v>1280</v>
      </c>
      <c r="G77" s="943"/>
      <c r="H77" s="936" t="s">
        <v>1298</v>
      </c>
      <c r="I77" s="936" t="s">
        <v>1299</v>
      </c>
      <c r="J77" s="938">
        <v>233</v>
      </c>
      <c r="K77" s="928" t="s">
        <v>526</v>
      </c>
      <c r="L77" s="940">
        <v>456</v>
      </c>
      <c r="M77" s="928">
        <v>133</v>
      </c>
      <c r="N77" s="930" t="s">
        <v>1299</v>
      </c>
      <c r="O77" s="932">
        <v>364</v>
      </c>
      <c r="P77" s="934">
        <v>393150</v>
      </c>
      <c r="Q77" s="118"/>
      <c r="R77" s="118"/>
      <c r="S77" s="118"/>
      <c r="T77" s="118"/>
      <c r="U77" s="121">
        <v>293150</v>
      </c>
      <c r="V77" s="118"/>
      <c r="W77" s="118"/>
      <c r="X77" s="118"/>
      <c r="Y77" s="118"/>
      <c r="Z77" s="118"/>
      <c r="AA77" s="118"/>
      <c r="AB77" s="118"/>
      <c r="AC77" s="118"/>
      <c r="AD77" s="118"/>
      <c r="AE77" s="118"/>
      <c r="AF77" s="118"/>
      <c r="AG77" s="116" t="s">
        <v>1300</v>
      </c>
      <c r="AH77" s="119"/>
      <c r="AI77" s="117" t="s">
        <v>1010</v>
      </c>
      <c r="AJ77" s="119" t="s">
        <v>1121</v>
      </c>
      <c r="AK77" s="117">
        <v>133</v>
      </c>
      <c r="AL77" s="117">
        <v>393150</v>
      </c>
      <c r="AM77" s="116" t="s">
        <v>1301</v>
      </c>
      <c r="AN77" s="117"/>
      <c r="AO77" s="117"/>
      <c r="AP77" s="117"/>
      <c r="AQ77" s="117"/>
      <c r="AR77" s="117"/>
      <c r="AS77" s="117"/>
      <c r="AT77" s="117" t="s">
        <v>536</v>
      </c>
      <c r="AU77" s="117" t="s">
        <v>536</v>
      </c>
      <c r="AV77" s="117" t="s">
        <v>536</v>
      </c>
      <c r="AW77" s="117" t="s">
        <v>536</v>
      </c>
      <c r="AX77" s="117"/>
      <c r="AY77" s="117"/>
      <c r="AZ77" s="930" t="s">
        <v>1302</v>
      </c>
      <c r="BA77" s="180" t="s">
        <v>1303</v>
      </c>
    </row>
    <row r="78" spans="1:53" ht="409.5" x14ac:dyDescent="0.25">
      <c r="A78" s="109"/>
      <c r="B78" s="108"/>
      <c r="C78" s="943"/>
      <c r="D78" s="943"/>
      <c r="E78" s="943"/>
      <c r="F78" s="109"/>
      <c r="G78" s="943"/>
      <c r="H78" s="937"/>
      <c r="I78" s="937"/>
      <c r="J78" s="939"/>
      <c r="K78" s="929"/>
      <c r="L78" s="941"/>
      <c r="M78" s="929"/>
      <c r="N78" s="931"/>
      <c r="O78" s="933"/>
      <c r="P78" s="935"/>
      <c r="Q78" s="118"/>
      <c r="R78" s="118"/>
      <c r="S78" s="118"/>
      <c r="T78" s="118"/>
      <c r="U78" s="121">
        <v>100000</v>
      </c>
      <c r="V78" s="118"/>
      <c r="W78" s="118"/>
      <c r="X78" s="118"/>
      <c r="Y78" s="118"/>
      <c r="Z78" s="118"/>
      <c r="AA78" s="118"/>
      <c r="AB78" s="118"/>
      <c r="AC78" s="118"/>
      <c r="AD78" s="118"/>
      <c r="AE78" s="118"/>
      <c r="AF78" s="118"/>
      <c r="AG78" s="116" t="s">
        <v>1293</v>
      </c>
      <c r="AH78" s="119"/>
      <c r="AI78" s="117" t="s">
        <v>1010</v>
      </c>
      <c r="AJ78" s="119" t="s">
        <v>1121</v>
      </c>
      <c r="AK78" s="126" t="s">
        <v>1294</v>
      </c>
      <c r="AL78" s="117">
        <v>102270</v>
      </c>
      <c r="AM78" s="116" t="s">
        <v>1295</v>
      </c>
      <c r="AN78" s="117"/>
      <c r="AO78" s="117"/>
      <c r="AP78" s="117"/>
      <c r="AQ78" s="117"/>
      <c r="AR78" s="117"/>
      <c r="AS78" s="117"/>
      <c r="AT78" s="117"/>
      <c r="AU78" s="117"/>
      <c r="AV78" s="117" t="s">
        <v>536</v>
      </c>
      <c r="AW78" s="117" t="s">
        <v>536</v>
      </c>
      <c r="AX78" s="117"/>
      <c r="AY78" s="117"/>
      <c r="AZ78" s="931"/>
      <c r="BA78" s="181" t="s">
        <v>1304</v>
      </c>
    </row>
    <row r="79" spans="1:53" ht="300" x14ac:dyDescent="0.25">
      <c r="A79" s="109" t="s">
        <v>1276</v>
      </c>
      <c r="B79" s="108" t="s">
        <v>1277</v>
      </c>
      <c r="C79" s="943"/>
      <c r="D79" s="943"/>
      <c r="E79" s="943"/>
      <c r="F79" s="109" t="s">
        <v>1280</v>
      </c>
      <c r="G79" s="943"/>
      <c r="H79" s="109" t="s">
        <v>1305</v>
      </c>
      <c r="I79" s="109" t="s">
        <v>1306</v>
      </c>
      <c r="J79" s="112">
        <v>0.7</v>
      </c>
      <c r="K79" s="113" t="s">
        <v>526</v>
      </c>
      <c r="L79" s="132">
        <v>0.7</v>
      </c>
      <c r="M79" s="182">
        <v>0.184</v>
      </c>
      <c r="N79" s="116" t="s">
        <v>1306</v>
      </c>
      <c r="O79" s="134">
        <v>1</v>
      </c>
      <c r="P79" s="121">
        <v>30257</v>
      </c>
      <c r="Q79" s="118"/>
      <c r="R79" s="118"/>
      <c r="S79" s="118"/>
      <c r="T79" s="118"/>
      <c r="U79" s="121">
        <v>30257</v>
      </c>
      <c r="V79" s="118"/>
      <c r="W79" s="118"/>
      <c r="X79" s="118"/>
      <c r="Y79" s="118"/>
      <c r="Z79" s="118"/>
      <c r="AA79" s="118"/>
      <c r="AB79" s="118"/>
      <c r="AC79" s="118"/>
      <c r="AD79" s="118"/>
      <c r="AE79" s="118"/>
      <c r="AF79" s="118"/>
      <c r="AG79" s="117" t="s">
        <v>960</v>
      </c>
      <c r="AH79" s="117" t="s">
        <v>960</v>
      </c>
      <c r="AI79" s="117" t="s">
        <v>960</v>
      </c>
      <c r="AJ79" s="117" t="s">
        <v>960</v>
      </c>
      <c r="AK79" s="117" t="s">
        <v>960</v>
      </c>
      <c r="AL79" s="117" t="s">
        <v>960</v>
      </c>
      <c r="AM79" s="117" t="s">
        <v>960</v>
      </c>
      <c r="AN79" s="118"/>
      <c r="AO79" s="118"/>
      <c r="AP79" s="117"/>
      <c r="AQ79" s="117"/>
      <c r="AR79" s="117"/>
      <c r="AS79" s="117"/>
      <c r="AT79" s="117"/>
      <c r="AU79" s="117"/>
      <c r="AV79" s="117"/>
      <c r="AW79" s="117"/>
      <c r="AX79" s="117"/>
      <c r="AY79" s="118"/>
      <c r="AZ79" s="152" t="s">
        <v>1307</v>
      </c>
      <c r="BA79" s="116" t="s">
        <v>1308</v>
      </c>
    </row>
    <row r="80" spans="1:53" ht="300" x14ac:dyDescent="0.25">
      <c r="A80" s="109" t="s">
        <v>1276</v>
      </c>
      <c r="B80" s="108" t="s">
        <v>1277</v>
      </c>
      <c r="C80" s="109" t="s">
        <v>1309</v>
      </c>
      <c r="D80" s="109" t="s">
        <v>1310</v>
      </c>
      <c r="E80" s="123">
        <v>236</v>
      </c>
      <c r="F80" s="109" t="s">
        <v>1280</v>
      </c>
      <c r="G80" s="943"/>
      <c r="H80" s="109" t="s">
        <v>1311</v>
      </c>
      <c r="I80" s="109" t="s">
        <v>1312</v>
      </c>
      <c r="J80" s="112">
        <v>236</v>
      </c>
      <c r="K80" s="113" t="s">
        <v>526</v>
      </c>
      <c r="L80" s="114">
        <v>306</v>
      </c>
      <c r="M80" s="113">
        <v>77</v>
      </c>
      <c r="N80" s="116"/>
      <c r="O80" s="117">
        <v>390</v>
      </c>
      <c r="P80" s="121">
        <v>1408750</v>
      </c>
      <c r="Q80" s="119"/>
      <c r="R80" s="119"/>
      <c r="S80" s="119"/>
      <c r="T80" s="119"/>
      <c r="U80" s="119"/>
      <c r="V80" s="119"/>
      <c r="W80" s="119"/>
      <c r="X80" s="119"/>
      <c r="Y80" s="119"/>
      <c r="Z80" s="119"/>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6" t="s">
        <v>1313</v>
      </c>
      <c r="BA80" s="116" t="s">
        <v>1314</v>
      </c>
    </row>
    <row r="81" spans="1:53" ht="409.5" x14ac:dyDescent="0.25">
      <c r="A81" s="109" t="s">
        <v>1276</v>
      </c>
      <c r="B81" s="108" t="s">
        <v>1277</v>
      </c>
      <c r="C81" s="109" t="s">
        <v>1315</v>
      </c>
      <c r="D81" s="109" t="s">
        <v>1316</v>
      </c>
      <c r="E81" s="123">
        <v>530</v>
      </c>
      <c r="F81" s="109" t="s">
        <v>1280</v>
      </c>
      <c r="G81" s="943"/>
      <c r="H81" s="120" t="s">
        <v>1317</v>
      </c>
      <c r="I81" s="120" t="s">
        <v>1318</v>
      </c>
      <c r="J81" s="112">
        <v>530</v>
      </c>
      <c r="K81" s="113" t="s">
        <v>527</v>
      </c>
      <c r="L81" s="114">
        <v>530</v>
      </c>
      <c r="M81" s="113">
        <v>530</v>
      </c>
      <c r="N81" s="116" t="s">
        <v>1316</v>
      </c>
      <c r="O81" s="117">
        <v>405</v>
      </c>
      <c r="P81" s="121">
        <v>20552010</v>
      </c>
      <c r="Q81" s="118"/>
      <c r="R81" s="118"/>
      <c r="S81" s="118"/>
      <c r="T81" s="118"/>
      <c r="U81" s="121">
        <v>20552010</v>
      </c>
      <c r="V81" s="118"/>
      <c r="W81" s="118"/>
      <c r="X81" s="118"/>
      <c r="Y81" s="118"/>
      <c r="Z81" s="118"/>
      <c r="AA81" s="118"/>
      <c r="AB81" s="118"/>
      <c r="AC81" s="118"/>
      <c r="AD81" s="118"/>
      <c r="AE81" s="118"/>
      <c r="AF81" s="118"/>
      <c r="AG81" s="117" t="s">
        <v>960</v>
      </c>
      <c r="AH81" s="117" t="s">
        <v>960</v>
      </c>
      <c r="AI81" s="117" t="s">
        <v>960</v>
      </c>
      <c r="AJ81" s="117" t="s">
        <v>960</v>
      </c>
      <c r="AK81" s="117" t="s">
        <v>960</v>
      </c>
      <c r="AL81" s="117" t="s">
        <v>960</v>
      </c>
      <c r="AM81" s="117" t="s">
        <v>960</v>
      </c>
      <c r="AN81" s="118"/>
      <c r="AO81" s="117" t="s">
        <v>536</v>
      </c>
      <c r="AP81" s="117" t="s">
        <v>536</v>
      </c>
      <c r="AQ81" s="117" t="s">
        <v>536</v>
      </c>
      <c r="AR81" s="117" t="s">
        <v>536</v>
      </c>
      <c r="AS81" s="117" t="s">
        <v>536</v>
      </c>
      <c r="AT81" s="117" t="s">
        <v>536</v>
      </c>
      <c r="AU81" s="117" t="s">
        <v>536</v>
      </c>
      <c r="AV81" s="117" t="s">
        <v>536</v>
      </c>
      <c r="AW81" s="117" t="s">
        <v>536</v>
      </c>
      <c r="AX81" s="117" t="s">
        <v>536</v>
      </c>
      <c r="AY81" s="117" t="s">
        <v>536</v>
      </c>
      <c r="AZ81" s="116" t="s">
        <v>1313</v>
      </c>
      <c r="BA81" s="116" t="s">
        <v>1319</v>
      </c>
    </row>
    <row r="82" spans="1:53" ht="270" x14ac:dyDescent="0.25">
      <c r="A82" s="109" t="s">
        <v>1276</v>
      </c>
      <c r="B82" s="108" t="s">
        <v>1277</v>
      </c>
      <c r="C82" s="109" t="s">
        <v>1320</v>
      </c>
      <c r="D82" s="109" t="s">
        <v>1321</v>
      </c>
      <c r="E82" s="110">
        <v>0</v>
      </c>
      <c r="F82" s="109" t="s">
        <v>1280</v>
      </c>
      <c r="G82" s="943"/>
      <c r="H82" s="109" t="s">
        <v>1322</v>
      </c>
      <c r="I82" s="109" t="s">
        <v>1323</v>
      </c>
      <c r="J82" s="112">
        <v>0</v>
      </c>
      <c r="K82" s="113" t="s">
        <v>526</v>
      </c>
      <c r="L82" s="114">
        <v>2</v>
      </c>
      <c r="M82" s="113">
        <v>1</v>
      </c>
      <c r="N82" s="118"/>
      <c r="O82" s="118"/>
      <c r="P82" s="121">
        <v>88400</v>
      </c>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48" t="s">
        <v>1324</v>
      </c>
    </row>
    <row r="83" spans="1:53" ht="210" x14ac:dyDescent="0.25">
      <c r="A83" s="108" t="s">
        <v>438</v>
      </c>
      <c r="B83" s="108" t="s">
        <v>1325</v>
      </c>
      <c r="C83" s="921" t="s">
        <v>1326</v>
      </c>
      <c r="D83" s="921" t="s">
        <v>1327</v>
      </c>
      <c r="E83" s="921">
        <v>0</v>
      </c>
      <c r="F83" s="183" t="s">
        <v>1328</v>
      </c>
      <c r="G83" s="921" t="s">
        <v>1329</v>
      </c>
      <c r="H83" s="184" t="s">
        <v>1330</v>
      </c>
      <c r="I83" s="184" t="s">
        <v>1331</v>
      </c>
      <c r="J83" s="185">
        <v>0</v>
      </c>
      <c r="K83" s="113" t="s">
        <v>526</v>
      </c>
      <c r="L83" s="186">
        <v>0.4</v>
      </c>
      <c r="M83" s="182">
        <v>7.4999999999999997E-2</v>
      </c>
      <c r="N83" s="187" t="s">
        <v>1331</v>
      </c>
      <c r="O83" s="117">
        <v>0</v>
      </c>
      <c r="P83" s="188">
        <v>128750</v>
      </c>
      <c r="Q83" s="117">
        <v>37500</v>
      </c>
      <c r="R83" s="118"/>
      <c r="S83" s="118"/>
      <c r="T83" s="118"/>
      <c r="U83" s="118"/>
      <c r="V83" s="117">
        <v>91250</v>
      </c>
      <c r="W83" s="118"/>
      <c r="X83" s="118"/>
      <c r="Y83" s="118"/>
      <c r="Z83" s="118"/>
      <c r="AA83" s="118"/>
      <c r="AB83" s="118"/>
      <c r="AC83" s="118"/>
      <c r="AD83" s="118"/>
      <c r="AE83" s="118"/>
      <c r="AF83" s="118"/>
      <c r="AG83" s="116" t="s">
        <v>1332</v>
      </c>
      <c r="AH83" s="118"/>
      <c r="AI83" s="117" t="s">
        <v>991</v>
      </c>
      <c r="AJ83" s="117" t="s">
        <v>1121</v>
      </c>
      <c r="AK83" s="117">
        <v>1415927</v>
      </c>
      <c r="AL83" s="188">
        <v>128750</v>
      </c>
      <c r="AM83" s="148" t="s">
        <v>1333</v>
      </c>
      <c r="AN83" s="117" t="s">
        <v>536</v>
      </c>
      <c r="AO83" s="117" t="s">
        <v>536</v>
      </c>
      <c r="AP83" s="117" t="s">
        <v>536</v>
      </c>
      <c r="AQ83" s="117" t="s">
        <v>536</v>
      </c>
      <c r="AR83" s="117" t="s">
        <v>536</v>
      </c>
      <c r="AS83" s="117" t="s">
        <v>536</v>
      </c>
      <c r="AT83" s="117" t="s">
        <v>536</v>
      </c>
      <c r="AU83" s="117" t="s">
        <v>536</v>
      </c>
      <c r="AV83" s="117" t="s">
        <v>536</v>
      </c>
      <c r="AW83" s="117" t="s">
        <v>536</v>
      </c>
      <c r="AX83" s="117" t="s">
        <v>536</v>
      </c>
      <c r="AY83" s="117" t="s">
        <v>536</v>
      </c>
      <c r="AZ83" s="116" t="s">
        <v>1334</v>
      </c>
      <c r="BA83" s="118"/>
    </row>
    <row r="84" spans="1:53" ht="315" x14ac:dyDescent="0.25">
      <c r="A84" s="108" t="s">
        <v>438</v>
      </c>
      <c r="B84" s="108" t="s">
        <v>1325</v>
      </c>
      <c r="C84" s="922"/>
      <c r="D84" s="922"/>
      <c r="E84" s="922"/>
      <c r="F84" s="183" t="s">
        <v>1328</v>
      </c>
      <c r="G84" s="922"/>
      <c r="H84" s="184" t="s">
        <v>1335</v>
      </c>
      <c r="I84" s="184" t="s">
        <v>1336</v>
      </c>
      <c r="J84" s="185">
        <v>0</v>
      </c>
      <c r="K84" s="113" t="s">
        <v>526</v>
      </c>
      <c r="L84" s="186">
        <v>0.2</v>
      </c>
      <c r="M84" s="182">
        <v>3.5000000000000003E-2</v>
      </c>
      <c r="N84" s="187" t="s">
        <v>1336</v>
      </c>
      <c r="O84" s="117">
        <v>0</v>
      </c>
      <c r="P84" s="188">
        <v>128750</v>
      </c>
      <c r="Q84" s="117">
        <v>37500</v>
      </c>
      <c r="R84" s="118"/>
      <c r="S84" s="118"/>
      <c r="T84" s="118"/>
      <c r="U84" s="118"/>
      <c r="V84" s="117">
        <v>91250</v>
      </c>
      <c r="W84" s="118"/>
      <c r="X84" s="118"/>
      <c r="Y84" s="118"/>
      <c r="Z84" s="118"/>
      <c r="AA84" s="118"/>
      <c r="AB84" s="118"/>
      <c r="AC84" s="118"/>
      <c r="AD84" s="118"/>
      <c r="AE84" s="118"/>
      <c r="AF84" s="118"/>
      <c r="AG84" s="116" t="s">
        <v>1332</v>
      </c>
      <c r="AH84" s="118"/>
      <c r="AI84" s="117" t="s">
        <v>991</v>
      </c>
      <c r="AJ84" s="117" t="s">
        <v>1121</v>
      </c>
      <c r="AK84" s="117">
        <v>1415927</v>
      </c>
      <c r="AL84" s="188">
        <v>128750</v>
      </c>
      <c r="AM84" s="148" t="s">
        <v>1337</v>
      </c>
      <c r="AN84" s="117" t="s">
        <v>536</v>
      </c>
      <c r="AO84" s="117" t="s">
        <v>536</v>
      </c>
      <c r="AP84" s="117" t="s">
        <v>536</v>
      </c>
      <c r="AQ84" s="117" t="s">
        <v>536</v>
      </c>
      <c r="AR84" s="117" t="s">
        <v>536</v>
      </c>
      <c r="AS84" s="117" t="s">
        <v>536</v>
      </c>
      <c r="AT84" s="117" t="s">
        <v>536</v>
      </c>
      <c r="AU84" s="117" t="s">
        <v>536</v>
      </c>
      <c r="AV84" s="117" t="s">
        <v>536</v>
      </c>
      <c r="AW84" s="117" t="s">
        <v>536</v>
      </c>
      <c r="AX84" s="117" t="s">
        <v>536</v>
      </c>
      <c r="AY84" s="117" t="s">
        <v>536</v>
      </c>
      <c r="AZ84" s="116" t="s">
        <v>1334</v>
      </c>
      <c r="BA84" s="118"/>
    </row>
    <row r="85" spans="1:53" ht="165" x14ac:dyDescent="0.25">
      <c r="A85" s="108" t="s">
        <v>438</v>
      </c>
      <c r="B85" s="108" t="s">
        <v>1325</v>
      </c>
      <c r="C85" s="923"/>
      <c r="D85" s="923"/>
      <c r="E85" s="923"/>
      <c r="F85" s="183" t="s">
        <v>1328</v>
      </c>
      <c r="G85" s="923"/>
      <c r="H85" s="184" t="s">
        <v>1338</v>
      </c>
      <c r="I85" s="184" t="s">
        <v>1339</v>
      </c>
      <c r="J85" s="185">
        <v>0</v>
      </c>
      <c r="K85" s="113" t="s">
        <v>526</v>
      </c>
      <c r="L85" s="186">
        <v>0.5</v>
      </c>
      <c r="M85" s="133">
        <v>0.12</v>
      </c>
      <c r="N85" s="187" t="s">
        <v>1339</v>
      </c>
      <c r="O85" s="117">
        <v>0.2</v>
      </c>
      <c r="P85" s="188">
        <v>128750</v>
      </c>
      <c r="Q85" s="117">
        <v>37500</v>
      </c>
      <c r="R85" s="118"/>
      <c r="S85" s="118"/>
      <c r="T85" s="118"/>
      <c r="U85" s="118"/>
      <c r="V85" s="117">
        <v>91250</v>
      </c>
      <c r="W85" s="118"/>
      <c r="X85" s="118"/>
      <c r="Y85" s="118"/>
      <c r="Z85" s="118"/>
      <c r="AA85" s="118"/>
      <c r="AB85" s="118"/>
      <c r="AC85" s="118"/>
      <c r="AD85" s="118"/>
      <c r="AE85" s="118"/>
      <c r="AF85" s="118"/>
      <c r="AG85" s="116" t="s">
        <v>1340</v>
      </c>
      <c r="AH85" s="118"/>
      <c r="AI85" s="117" t="s">
        <v>991</v>
      </c>
      <c r="AJ85" s="117" t="s">
        <v>1121</v>
      </c>
      <c r="AK85" s="117">
        <v>1415927</v>
      </c>
      <c r="AL85" s="188">
        <v>128750</v>
      </c>
      <c r="AM85" s="148" t="s">
        <v>1341</v>
      </c>
      <c r="AN85" s="117" t="s">
        <v>536</v>
      </c>
      <c r="AO85" s="117" t="s">
        <v>536</v>
      </c>
      <c r="AP85" s="117" t="s">
        <v>536</v>
      </c>
      <c r="AQ85" s="117" t="s">
        <v>536</v>
      </c>
      <c r="AR85" s="117" t="s">
        <v>536</v>
      </c>
      <c r="AS85" s="117" t="s">
        <v>536</v>
      </c>
      <c r="AT85" s="117" t="s">
        <v>536</v>
      </c>
      <c r="AU85" s="117" t="s">
        <v>536</v>
      </c>
      <c r="AV85" s="117" t="s">
        <v>536</v>
      </c>
      <c r="AW85" s="117" t="s">
        <v>536</v>
      </c>
      <c r="AX85" s="117" t="s">
        <v>536</v>
      </c>
      <c r="AY85" s="117" t="s">
        <v>536</v>
      </c>
      <c r="AZ85" s="116" t="s">
        <v>1334</v>
      </c>
      <c r="BA85" s="119" t="s">
        <v>1342</v>
      </c>
    </row>
    <row r="86" spans="1:53" ht="300" x14ac:dyDescent="0.25">
      <c r="A86" s="108" t="s">
        <v>438</v>
      </c>
      <c r="B86" s="108" t="s">
        <v>1325</v>
      </c>
      <c r="C86" s="925" t="s">
        <v>1343</v>
      </c>
      <c r="D86" s="925" t="s">
        <v>1344</v>
      </c>
      <c r="E86" s="921">
        <v>0</v>
      </c>
      <c r="F86" s="183" t="s">
        <v>1345</v>
      </c>
      <c r="G86" s="924" t="s">
        <v>1346</v>
      </c>
      <c r="H86" s="184" t="s">
        <v>1347</v>
      </c>
      <c r="I86" s="184" t="s">
        <v>1348</v>
      </c>
      <c r="J86" s="185">
        <v>0</v>
      </c>
      <c r="K86" s="113" t="s">
        <v>526</v>
      </c>
      <c r="L86" s="190">
        <v>35</v>
      </c>
      <c r="M86" s="191">
        <v>7.5</v>
      </c>
      <c r="N86" s="187" t="s">
        <v>1348</v>
      </c>
      <c r="O86" s="117">
        <v>18</v>
      </c>
      <c r="P86" s="188">
        <v>205750</v>
      </c>
      <c r="Q86" s="117">
        <v>114500</v>
      </c>
      <c r="R86" s="118"/>
      <c r="S86" s="118"/>
      <c r="T86" s="118"/>
      <c r="U86" s="118"/>
      <c r="V86" s="117">
        <v>91250</v>
      </c>
      <c r="W86" s="118"/>
      <c r="X86" s="118"/>
      <c r="Y86" s="118"/>
      <c r="Z86" s="118"/>
      <c r="AA86" s="118"/>
      <c r="AB86" s="118"/>
      <c r="AC86" s="118"/>
      <c r="AD86" s="118"/>
      <c r="AE86" s="118"/>
      <c r="AF86" s="118"/>
      <c r="AG86" s="126" t="s">
        <v>1349</v>
      </c>
      <c r="AH86" s="119"/>
      <c r="AI86" s="117" t="s">
        <v>991</v>
      </c>
      <c r="AJ86" s="117" t="s">
        <v>856</v>
      </c>
      <c r="AK86" s="117">
        <v>1404205</v>
      </c>
      <c r="AL86" s="188">
        <v>205750</v>
      </c>
      <c r="AM86" s="148" t="s">
        <v>1350</v>
      </c>
      <c r="AN86" s="117" t="s">
        <v>536</v>
      </c>
      <c r="AO86" s="117" t="s">
        <v>536</v>
      </c>
      <c r="AP86" s="117" t="s">
        <v>536</v>
      </c>
      <c r="AQ86" s="117" t="s">
        <v>536</v>
      </c>
      <c r="AR86" s="117" t="s">
        <v>536</v>
      </c>
      <c r="AS86" s="117" t="s">
        <v>536</v>
      </c>
      <c r="AT86" s="117" t="s">
        <v>536</v>
      </c>
      <c r="AU86" s="117" t="s">
        <v>536</v>
      </c>
      <c r="AV86" s="117" t="s">
        <v>536</v>
      </c>
      <c r="AW86" s="117" t="s">
        <v>536</v>
      </c>
      <c r="AX86" s="117" t="s">
        <v>536</v>
      </c>
      <c r="AY86" s="117" t="s">
        <v>536</v>
      </c>
      <c r="AZ86" s="116" t="s">
        <v>1334</v>
      </c>
      <c r="BA86" s="126" t="s">
        <v>1351</v>
      </c>
    </row>
    <row r="87" spans="1:53" ht="300" x14ac:dyDescent="0.25">
      <c r="A87" s="108" t="s">
        <v>438</v>
      </c>
      <c r="B87" s="108" t="s">
        <v>1325</v>
      </c>
      <c r="C87" s="926"/>
      <c r="D87" s="926"/>
      <c r="E87" s="922"/>
      <c r="F87" s="183" t="s">
        <v>1345</v>
      </c>
      <c r="G87" s="924"/>
      <c r="H87" s="184" t="s">
        <v>1352</v>
      </c>
      <c r="I87" s="184" t="s">
        <v>1353</v>
      </c>
      <c r="J87" s="185">
        <v>0</v>
      </c>
      <c r="K87" s="113" t="s">
        <v>526</v>
      </c>
      <c r="L87" s="190">
        <v>3</v>
      </c>
      <c r="M87" s="113">
        <v>0.5</v>
      </c>
      <c r="N87" s="187" t="s">
        <v>1353</v>
      </c>
      <c r="O87" s="117">
        <v>3.5</v>
      </c>
      <c r="P87" s="188">
        <v>178750</v>
      </c>
      <c r="Q87" s="124">
        <v>87500</v>
      </c>
      <c r="R87" s="124"/>
      <c r="S87" s="124">
        <v>0</v>
      </c>
      <c r="T87" s="124">
        <v>0</v>
      </c>
      <c r="U87" s="124">
        <v>0</v>
      </c>
      <c r="V87" s="124">
        <v>91250</v>
      </c>
      <c r="W87" s="118"/>
      <c r="X87" s="118"/>
      <c r="Y87" s="118"/>
      <c r="Z87" s="118"/>
      <c r="AA87" s="118"/>
      <c r="AB87" s="118"/>
      <c r="AC87" s="118"/>
      <c r="AD87" s="118"/>
      <c r="AE87" s="118"/>
      <c r="AF87" s="118"/>
      <c r="AG87" s="126" t="s">
        <v>1354</v>
      </c>
      <c r="AH87" s="119"/>
      <c r="AI87" s="117" t="s">
        <v>1355</v>
      </c>
      <c r="AJ87" s="117" t="s">
        <v>1121</v>
      </c>
      <c r="AK87" s="117">
        <v>5000</v>
      </c>
      <c r="AL87" s="188">
        <v>125125</v>
      </c>
      <c r="AM87" s="126" t="s">
        <v>1356</v>
      </c>
      <c r="AN87" s="117"/>
      <c r="AO87" s="117"/>
      <c r="AP87" s="117"/>
      <c r="AQ87" s="117"/>
      <c r="AR87" s="117"/>
      <c r="AS87" s="117"/>
      <c r="AT87" s="117"/>
      <c r="AU87" s="117"/>
      <c r="AV87" s="117"/>
      <c r="AW87" s="117"/>
      <c r="AX87" s="117"/>
      <c r="AY87" s="117"/>
      <c r="AZ87" s="116" t="s">
        <v>1334</v>
      </c>
      <c r="BA87" s="116" t="s">
        <v>1357</v>
      </c>
    </row>
    <row r="88" spans="1:53" ht="300" x14ac:dyDescent="0.25">
      <c r="A88" s="108" t="s">
        <v>438</v>
      </c>
      <c r="B88" s="108" t="s">
        <v>1325</v>
      </c>
      <c r="C88" s="926"/>
      <c r="D88" s="926"/>
      <c r="E88" s="922"/>
      <c r="F88" s="183" t="s">
        <v>1345</v>
      </c>
      <c r="G88" s="924"/>
      <c r="H88" s="184" t="s">
        <v>1358</v>
      </c>
      <c r="I88" s="184" t="s">
        <v>1359</v>
      </c>
      <c r="J88" s="185">
        <v>0</v>
      </c>
      <c r="K88" s="113" t="s">
        <v>526</v>
      </c>
      <c r="L88" s="190">
        <v>4</v>
      </c>
      <c r="M88" s="113">
        <v>1</v>
      </c>
      <c r="N88" s="187" t="s">
        <v>1359</v>
      </c>
      <c r="O88" s="117">
        <v>2</v>
      </c>
      <c r="P88" s="188">
        <v>178750</v>
      </c>
      <c r="Q88" s="124">
        <v>87500</v>
      </c>
      <c r="R88" s="124"/>
      <c r="S88" s="124">
        <v>0</v>
      </c>
      <c r="T88" s="124">
        <v>0</v>
      </c>
      <c r="U88" s="124">
        <v>0</v>
      </c>
      <c r="V88" s="124">
        <v>91250</v>
      </c>
      <c r="W88" s="118"/>
      <c r="X88" s="118"/>
      <c r="Y88" s="118"/>
      <c r="Z88" s="118"/>
      <c r="AA88" s="118"/>
      <c r="AB88" s="118"/>
      <c r="AC88" s="118"/>
      <c r="AD88" s="118"/>
      <c r="AE88" s="118"/>
      <c r="AF88" s="118"/>
      <c r="AG88" s="126" t="s">
        <v>1360</v>
      </c>
      <c r="AH88" s="119"/>
      <c r="AI88" s="117" t="s">
        <v>1355</v>
      </c>
      <c r="AJ88" s="117" t="s">
        <v>1121</v>
      </c>
      <c r="AK88" s="117">
        <v>250</v>
      </c>
      <c r="AL88" s="188">
        <v>250250</v>
      </c>
      <c r="AM88" s="126" t="s">
        <v>1361</v>
      </c>
      <c r="AN88" s="117" t="s">
        <v>536</v>
      </c>
      <c r="AO88" s="117" t="s">
        <v>536</v>
      </c>
      <c r="AP88" s="117" t="s">
        <v>536</v>
      </c>
      <c r="AQ88" s="117" t="s">
        <v>536</v>
      </c>
      <c r="AR88" s="117" t="s">
        <v>536</v>
      </c>
      <c r="AS88" s="117" t="s">
        <v>536</v>
      </c>
      <c r="AT88" s="117" t="s">
        <v>536</v>
      </c>
      <c r="AU88" s="117" t="s">
        <v>536</v>
      </c>
      <c r="AV88" s="117" t="s">
        <v>536</v>
      </c>
      <c r="AW88" s="117" t="s">
        <v>536</v>
      </c>
      <c r="AX88" s="117" t="s">
        <v>536</v>
      </c>
      <c r="AY88" s="117" t="s">
        <v>536</v>
      </c>
      <c r="AZ88" s="116" t="s">
        <v>1334</v>
      </c>
      <c r="BA88" s="118"/>
    </row>
    <row r="89" spans="1:53" ht="270" x14ac:dyDescent="0.25">
      <c r="A89" s="108" t="s">
        <v>438</v>
      </c>
      <c r="B89" s="108" t="s">
        <v>1325</v>
      </c>
      <c r="C89" s="927"/>
      <c r="D89" s="927"/>
      <c r="E89" s="923"/>
      <c r="F89" s="183" t="s">
        <v>1345</v>
      </c>
      <c r="G89" s="924"/>
      <c r="H89" s="184" t="s">
        <v>1362</v>
      </c>
      <c r="I89" s="184" t="s">
        <v>1363</v>
      </c>
      <c r="J89" s="185">
        <v>0</v>
      </c>
      <c r="K89" s="113" t="s">
        <v>526</v>
      </c>
      <c r="L89" s="190">
        <v>4</v>
      </c>
      <c r="M89" s="113">
        <v>1</v>
      </c>
      <c r="N89" s="187" t="s">
        <v>1363</v>
      </c>
      <c r="O89" s="117">
        <v>3</v>
      </c>
      <c r="P89" s="188">
        <v>178750</v>
      </c>
      <c r="Q89" s="124">
        <v>87500</v>
      </c>
      <c r="R89" s="124"/>
      <c r="S89" s="124">
        <v>0</v>
      </c>
      <c r="T89" s="124">
        <v>0</v>
      </c>
      <c r="U89" s="124">
        <v>0</v>
      </c>
      <c r="V89" s="124">
        <v>91250</v>
      </c>
      <c r="W89" s="118"/>
      <c r="X89" s="118"/>
      <c r="Y89" s="118"/>
      <c r="Z89" s="118"/>
      <c r="AA89" s="118"/>
      <c r="AB89" s="118"/>
      <c r="AC89" s="118"/>
      <c r="AD89" s="118"/>
      <c r="AE89" s="118"/>
      <c r="AF89" s="118"/>
      <c r="AG89" s="126" t="s">
        <v>1364</v>
      </c>
      <c r="AH89" s="119"/>
      <c r="AI89" s="117" t="s">
        <v>1355</v>
      </c>
      <c r="AJ89" s="117" t="s">
        <v>1121</v>
      </c>
      <c r="AK89" s="117">
        <v>350</v>
      </c>
      <c r="AL89" s="188">
        <v>250250</v>
      </c>
      <c r="AM89" s="126" t="s">
        <v>1365</v>
      </c>
      <c r="AN89" s="117"/>
      <c r="AO89" s="117"/>
      <c r="AP89" s="117"/>
      <c r="AQ89" s="117"/>
      <c r="AR89" s="117"/>
      <c r="AS89" s="117" t="s">
        <v>536</v>
      </c>
      <c r="AT89" s="117" t="s">
        <v>536</v>
      </c>
      <c r="AU89" s="117" t="s">
        <v>536</v>
      </c>
      <c r="AV89" s="117" t="s">
        <v>536</v>
      </c>
      <c r="AW89" s="117" t="s">
        <v>536</v>
      </c>
      <c r="AX89" s="117" t="s">
        <v>536</v>
      </c>
      <c r="AY89" s="117" t="s">
        <v>536</v>
      </c>
      <c r="AZ89" s="116" t="s">
        <v>1334</v>
      </c>
      <c r="BA89" s="118"/>
    </row>
    <row r="90" spans="1:53" ht="135" x14ac:dyDescent="0.25">
      <c r="A90" s="108" t="s">
        <v>438</v>
      </c>
      <c r="B90" s="108" t="s">
        <v>1325</v>
      </c>
      <c r="C90" s="192" t="s">
        <v>1366</v>
      </c>
      <c r="D90" s="192" t="s">
        <v>1367</v>
      </c>
      <c r="E90" s="192">
        <v>0</v>
      </c>
      <c r="F90" s="184" t="s">
        <v>1368</v>
      </c>
      <c r="G90" s="192" t="s">
        <v>1369</v>
      </c>
      <c r="H90" s="187" t="s">
        <v>1370</v>
      </c>
      <c r="I90" s="187" t="s">
        <v>1371</v>
      </c>
      <c r="J90" s="185">
        <v>0</v>
      </c>
      <c r="K90" s="113" t="s">
        <v>526</v>
      </c>
      <c r="L90" s="186">
        <v>0.4</v>
      </c>
      <c r="M90" s="182">
        <v>7.4999999999999997E-2</v>
      </c>
      <c r="N90" s="187" t="s">
        <v>1371</v>
      </c>
      <c r="O90" s="117">
        <v>0</v>
      </c>
      <c r="P90" s="188">
        <v>271250</v>
      </c>
      <c r="Q90" s="124">
        <v>180000</v>
      </c>
      <c r="R90" s="124"/>
      <c r="S90" s="124">
        <v>0</v>
      </c>
      <c r="T90" s="124">
        <v>0</v>
      </c>
      <c r="U90" s="124">
        <v>0</v>
      </c>
      <c r="V90" s="124">
        <v>91250</v>
      </c>
      <c r="W90" s="118"/>
      <c r="X90" s="118"/>
      <c r="Y90" s="118"/>
      <c r="Z90" s="118"/>
      <c r="AA90" s="118"/>
      <c r="AB90" s="118"/>
      <c r="AC90" s="118"/>
      <c r="AD90" s="118"/>
      <c r="AE90" s="118"/>
      <c r="AF90" s="118"/>
      <c r="AG90" s="126" t="s">
        <v>1372</v>
      </c>
      <c r="AH90" s="119"/>
      <c r="AI90" s="117">
        <v>41</v>
      </c>
      <c r="AJ90" s="117" t="s">
        <v>1121</v>
      </c>
      <c r="AK90" s="117">
        <v>1404205</v>
      </c>
      <c r="AL90" s="188">
        <v>271250</v>
      </c>
      <c r="AM90" s="126" t="s">
        <v>1373</v>
      </c>
      <c r="AN90" s="117"/>
      <c r="AO90" s="117"/>
      <c r="AP90" s="117"/>
      <c r="AQ90" s="117"/>
      <c r="AR90" s="117"/>
      <c r="AS90" s="117" t="s">
        <v>536</v>
      </c>
      <c r="AT90" s="117" t="s">
        <v>536</v>
      </c>
      <c r="AU90" s="117" t="s">
        <v>536</v>
      </c>
      <c r="AV90" s="117" t="s">
        <v>536</v>
      </c>
      <c r="AW90" s="117" t="s">
        <v>536</v>
      </c>
      <c r="AX90" s="117" t="s">
        <v>536</v>
      </c>
      <c r="AY90" s="117" t="s">
        <v>536</v>
      </c>
      <c r="AZ90" s="116" t="s">
        <v>1334</v>
      </c>
      <c r="BA90" s="118"/>
    </row>
    <row r="91" spans="1:53" ht="165" x14ac:dyDescent="0.25">
      <c r="A91" s="108" t="s">
        <v>438</v>
      </c>
      <c r="B91" s="108" t="s">
        <v>1325</v>
      </c>
      <c r="C91" s="924" t="s">
        <v>1374</v>
      </c>
      <c r="D91" s="924" t="s">
        <v>1375</v>
      </c>
      <c r="E91" s="924">
        <v>0</v>
      </c>
      <c r="F91" s="183" t="s">
        <v>1376</v>
      </c>
      <c r="G91" s="924" t="s">
        <v>1377</v>
      </c>
      <c r="H91" s="187" t="s">
        <v>1378</v>
      </c>
      <c r="I91" s="187" t="s">
        <v>1379</v>
      </c>
      <c r="J91" s="193">
        <v>0</v>
      </c>
      <c r="K91" s="113" t="s">
        <v>526</v>
      </c>
      <c r="L91" s="194">
        <v>22</v>
      </c>
      <c r="M91" s="130">
        <v>7</v>
      </c>
      <c r="N91" s="187" t="s">
        <v>1379</v>
      </c>
      <c r="O91" s="117">
        <v>3</v>
      </c>
      <c r="P91" s="188">
        <v>645284</v>
      </c>
      <c r="Q91" s="124">
        <v>0</v>
      </c>
      <c r="R91" s="124"/>
      <c r="S91" s="124">
        <v>554034.29987500003</v>
      </c>
      <c r="T91" s="124">
        <v>0</v>
      </c>
      <c r="U91" s="124">
        <v>0</v>
      </c>
      <c r="V91" s="124">
        <v>91250</v>
      </c>
      <c r="W91" s="118"/>
      <c r="X91" s="118"/>
      <c r="Y91" s="118"/>
      <c r="Z91" s="118"/>
      <c r="AA91" s="118"/>
      <c r="AB91" s="118"/>
      <c r="AC91" s="118"/>
      <c r="AD91" s="118"/>
      <c r="AE91" s="118"/>
      <c r="AF91" s="118"/>
      <c r="AG91" s="126" t="s">
        <v>1380</v>
      </c>
      <c r="AH91" s="119"/>
      <c r="AI91" s="117" t="s">
        <v>1355</v>
      </c>
      <c r="AJ91" s="117" t="s">
        <v>1121</v>
      </c>
      <c r="AK91" s="117">
        <v>210000</v>
      </c>
      <c r="AL91" s="188">
        <v>645284</v>
      </c>
      <c r="AM91" s="126" t="s">
        <v>1381</v>
      </c>
      <c r="AN91" s="117"/>
      <c r="AO91" s="117"/>
      <c r="AP91" s="117" t="s">
        <v>536</v>
      </c>
      <c r="AQ91" s="117" t="s">
        <v>536</v>
      </c>
      <c r="AR91" s="117" t="s">
        <v>536</v>
      </c>
      <c r="AS91" s="117" t="s">
        <v>536</v>
      </c>
      <c r="AT91" s="117" t="s">
        <v>536</v>
      </c>
      <c r="AU91" s="117" t="s">
        <v>536</v>
      </c>
      <c r="AV91" s="117" t="s">
        <v>536</v>
      </c>
      <c r="AW91" s="117" t="s">
        <v>536</v>
      </c>
      <c r="AX91" s="117" t="s">
        <v>536</v>
      </c>
      <c r="AY91" s="117" t="s">
        <v>536</v>
      </c>
      <c r="AZ91" s="116" t="s">
        <v>1334</v>
      </c>
      <c r="BA91" s="118"/>
    </row>
    <row r="92" spans="1:53" ht="150" x14ac:dyDescent="0.25">
      <c r="A92" s="108" t="s">
        <v>438</v>
      </c>
      <c r="B92" s="108" t="s">
        <v>1325</v>
      </c>
      <c r="C92" s="924"/>
      <c r="D92" s="924"/>
      <c r="E92" s="924"/>
      <c r="F92" s="183" t="s">
        <v>1376</v>
      </c>
      <c r="G92" s="924"/>
      <c r="H92" s="187" t="s">
        <v>1382</v>
      </c>
      <c r="I92" s="187" t="s">
        <v>1383</v>
      </c>
      <c r="J92" s="193">
        <v>0</v>
      </c>
      <c r="K92" s="113" t="s">
        <v>526</v>
      </c>
      <c r="L92" s="194">
        <v>16</v>
      </c>
      <c r="M92" s="130">
        <v>4</v>
      </c>
      <c r="N92" s="187" t="s">
        <v>1383</v>
      </c>
      <c r="O92" s="117">
        <v>6</v>
      </c>
      <c r="P92" s="188">
        <v>645284</v>
      </c>
      <c r="Q92" s="124">
        <v>0</v>
      </c>
      <c r="R92" s="124"/>
      <c r="S92" s="124">
        <v>554034.29987500003</v>
      </c>
      <c r="T92" s="124">
        <v>0</v>
      </c>
      <c r="U92" s="124">
        <v>0</v>
      </c>
      <c r="V92" s="124">
        <v>91250</v>
      </c>
      <c r="W92" s="118"/>
      <c r="X92" s="118"/>
      <c r="Y92" s="118"/>
      <c r="Z92" s="118"/>
      <c r="AA92" s="118"/>
      <c r="AB92" s="118"/>
      <c r="AC92" s="118"/>
      <c r="AD92" s="118"/>
      <c r="AE92" s="118"/>
      <c r="AF92" s="118"/>
      <c r="AG92" s="126" t="s">
        <v>1384</v>
      </c>
      <c r="AH92" s="119"/>
      <c r="AI92" s="117" t="s">
        <v>1355</v>
      </c>
      <c r="AJ92" s="117" t="s">
        <v>1121</v>
      </c>
      <c r="AK92" s="117">
        <v>120000</v>
      </c>
      <c r="AL92" s="188">
        <v>645284</v>
      </c>
      <c r="AM92" s="126" t="s">
        <v>1385</v>
      </c>
      <c r="AN92" s="117"/>
      <c r="AO92" s="117"/>
      <c r="AP92" s="117"/>
      <c r="AQ92" s="117"/>
      <c r="AR92" s="117"/>
      <c r="AS92" s="117" t="s">
        <v>536</v>
      </c>
      <c r="AT92" s="117" t="s">
        <v>536</v>
      </c>
      <c r="AU92" s="117" t="s">
        <v>536</v>
      </c>
      <c r="AV92" s="117" t="s">
        <v>536</v>
      </c>
      <c r="AW92" s="117" t="s">
        <v>536</v>
      </c>
      <c r="AX92" s="117" t="s">
        <v>536</v>
      </c>
      <c r="AY92" s="117" t="s">
        <v>536</v>
      </c>
      <c r="AZ92" s="116" t="s">
        <v>1334</v>
      </c>
      <c r="BA92" s="118"/>
    </row>
    <row r="93" spans="1:53" ht="345" x14ac:dyDescent="0.25">
      <c r="A93" s="108" t="s">
        <v>438</v>
      </c>
      <c r="B93" s="108" t="s">
        <v>1325</v>
      </c>
      <c r="C93" s="921" t="s">
        <v>1386</v>
      </c>
      <c r="D93" s="921" t="s">
        <v>1387</v>
      </c>
      <c r="E93" s="921">
        <v>0</v>
      </c>
      <c r="F93" s="183" t="s">
        <v>1388</v>
      </c>
      <c r="G93" s="924" t="s">
        <v>1389</v>
      </c>
      <c r="H93" s="187" t="s">
        <v>1390</v>
      </c>
      <c r="I93" s="187" t="s">
        <v>1391</v>
      </c>
      <c r="J93" s="193">
        <v>0</v>
      </c>
      <c r="K93" s="113" t="s">
        <v>526</v>
      </c>
      <c r="L93" s="194">
        <v>22</v>
      </c>
      <c r="M93" s="130">
        <v>7</v>
      </c>
      <c r="N93" s="187" t="s">
        <v>1391</v>
      </c>
      <c r="O93" s="117">
        <v>23</v>
      </c>
      <c r="P93" s="188">
        <v>378750</v>
      </c>
      <c r="Q93" s="124"/>
      <c r="R93" s="124"/>
      <c r="S93" s="124"/>
      <c r="T93" s="124"/>
      <c r="U93" s="124"/>
      <c r="V93" s="124"/>
      <c r="W93" s="118"/>
      <c r="X93" s="118"/>
      <c r="Y93" s="118"/>
      <c r="Z93" s="118"/>
      <c r="AA93" s="118"/>
      <c r="AB93" s="118"/>
      <c r="AC93" s="118"/>
      <c r="AD93" s="118"/>
      <c r="AE93" s="118"/>
      <c r="AF93" s="118"/>
      <c r="AG93" s="126"/>
      <c r="AH93" s="119"/>
      <c r="AI93" s="117"/>
      <c r="AJ93" s="117"/>
      <c r="AK93" s="117"/>
      <c r="AL93" s="188"/>
      <c r="AM93" s="126"/>
      <c r="AN93" s="117"/>
      <c r="AO93" s="117"/>
      <c r="AP93" s="117"/>
      <c r="AQ93" s="117"/>
      <c r="AR93" s="117"/>
      <c r="AS93" s="117"/>
      <c r="AT93" s="117"/>
      <c r="AU93" s="117"/>
      <c r="AV93" s="117"/>
      <c r="AW93" s="117"/>
      <c r="AX93" s="117"/>
      <c r="AY93" s="117"/>
      <c r="AZ93" s="116" t="s">
        <v>1334</v>
      </c>
      <c r="BA93" s="116" t="s">
        <v>1392</v>
      </c>
    </row>
    <row r="94" spans="1:53" ht="150" x14ac:dyDescent="0.25">
      <c r="A94" s="108" t="s">
        <v>438</v>
      </c>
      <c r="B94" s="108" t="s">
        <v>1325</v>
      </c>
      <c r="C94" s="922"/>
      <c r="D94" s="922"/>
      <c r="E94" s="922"/>
      <c r="F94" s="183" t="s">
        <v>1388</v>
      </c>
      <c r="G94" s="924"/>
      <c r="H94" s="187" t="s">
        <v>1393</v>
      </c>
      <c r="I94" s="187" t="s">
        <v>1394</v>
      </c>
      <c r="J94" s="193">
        <v>0</v>
      </c>
      <c r="K94" s="113" t="s">
        <v>526</v>
      </c>
      <c r="L94" s="194">
        <v>4</v>
      </c>
      <c r="M94" s="130">
        <v>1</v>
      </c>
      <c r="N94" s="187" t="s">
        <v>1394</v>
      </c>
      <c r="O94" s="117">
        <v>1</v>
      </c>
      <c r="P94" s="188">
        <v>128750</v>
      </c>
      <c r="Q94" s="124">
        <v>37500</v>
      </c>
      <c r="R94" s="124"/>
      <c r="S94" s="124">
        <v>0</v>
      </c>
      <c r="T94" s="124">
        <v>0</v>
      </c>
      <c r="U94" s="124">
        <v>0</v>
      </c>
      <c r="V94" s="124">
        <v>91250</v>
      </c>
      <c r="W94" s="118"/>
      <c r="X94" s="118"/>
      <c r="Y94" s="118"/>
      <c r="Z94" s="118"/>
      <c r="AA94" s="118"/>
      <c r="AB94" s="118"/>
      <c r="AC94" s="118"/>
      <c r="AD94" s="118"/>
      <c r="AE94" s="118"/>
      <c r="AF94" s="118"/>
      <c r="AG94" s="126" t="s">
        <v>1395</v>
      </c>
      <c r="AH94" s="119"/>
      <c r="AI94" s="117" t="s">
        <v>1355</v>
      </c>
      <c r="AJ94" s="126" t="s">
        <v>856</v>
      </c>
      <c r="AK94" s="117">
        <v>1402000</v>
      </c>
      <c r="AL94" s="188">
        <v>128750</v>
      </c>
      <c r="AM94" s="126" t="s">
        <v>1396</v>
      </c>
      <c r="AN94" s="117"/>
      <c r="AO94" s="117"/>
      <c r="AP94" s="117"/>
      <c r="AQ94" s="117"/>
      <c r="AR94" s="117"/>
      <c r="AS94" s="117"/>
      <c r="AT94" s="117"/>
      <c r="AU94" s="117"/>
      <c r="AV94" s="117"/>
      <c r="AW94" s="117" t="s">
        <v>536</v>
      </c>
      <c r="AX94" s="117" t="s">
        <v>536</v>
      </c>
      <c r="AY94" s="117"/>
      <c r="AZ94" s="116" t="s">
        <v>1334</v>
      </c>
      <c r="BA94" s="118"/>
    </row>
    <row r="95" spans="1:53" ht="405" x14ac:dyDescent="0.25">
      <c r="A95" s="108" t="s">
        <v>438</v>
      </c>
      <c r="B95" s="108" t="s">
        <v>1325</v>
      </c>
      <c r="C95" s="922"/>
      <c r="D95" s="922"/>
      <c r="E95" s="922"/>
      <c r="F95" s="183" t="s">
        <v>1388</v>
      </c>
      <c r="G95" s="924"/>
      <c r="H95" s="187" t="s">
        <v>1397</v>
      </c>
      <c r="I95" s="187" t="s">
        <v>1398</v>
      </c>
      <c r="J95" s="193" t="s">
        <v>1399</v>
      </c>
      <c r="K95" s="113" t="s">
        <v>526</v>
      </c>
      <c r="L95" s="194">
        <v>4</v>
      </c>
      <c r="M95" s="130">
        <v>1</v>
      </c>
      <c r="N95" s="187" t="s">
        <v>1398</v>
      </c>
      <c r="O95" s="117">
        <v>5</v>
      </c>
      <c r="P95" s="188">
        <v>128750</v>
      </c>
      <c r="Q95" s="124">
        <v>37500</v>
      </c>
      <c r="R95" s="124"/>
      <c r="S95" s="124">
        <v>0</v>
      </c>
      <c r="T95" s="124">
        <v>0</v>
      </c>
      <c r="U95" s="124">
        <v>0</v>
      </c>
      <c r="V95" s="124">
        <v>91250</v>
      </c>
      <c r="W95" s="118"/>
      <c r="X95" s="118"/>
      <c r="Y95" s="118"/>
      <c r="Z95" s="118"/>
      <c r="AA95" s="118"/>
      <c r="AB95" s="118"/>
      <c r="AC95" s="118"/>
      <c r="AD95" s="118"/>
      <c r="AE95" s="118"/>
      <c r="AF95" s="118"/>
      <c r="AG95" s="126" t="s">
        <v>1400</v>
      </c>
      <c r="AH95" s="119"/>
      <c r="AI95" s="117" t="s">
        <v>1355</v>
      </c>
      <c r="AJ95" s="117" t="s">
        <v>856</v>
      </c>
      <c r="AK95" s="117">
        <v>40000</v>
      </c>
      <c r="AL95" s="188">
        <v>128750</v>
      </c>
      <c r="AM95" s="126" t="s">
        <v>1401</v>
      </c>
      <c r="AN95" s="117"/>
      <c r="AO95" s="117"/>
      <c r="AP95" s="117"/>
      <c r="AQ95" s="117"/>
      <c r="AR95" s="117"/>
      <c r="AS95" s="117"/>
      <c r="AT95" s="117"/>
      <c r="AU95" s="117"/>
      <c r="AV95" s="117"/>
      <c r="AW95" s="117"/>
      <c r="AX95" s="117"/>
      <c r="AY95" s="117"/>
      <c r="AZ95" s="116" t="s">
        <v>1334</v>
      </c>
      <c r="BA95" s="116" t="s">
        <v>1402</v>
      </c>
    </row>
    <row r="96" spans="1:53" ht="345" x14ac:dyDescent="0.25">
      <c r="A96" s="108" t="s">
        <v>438</v>
      </c>
      <c r="B96" s="108" t="s">
        <v>1325</v>
      </c>
      <c r="C96" s="923"/>
      <c r="D96" s="923"/>
      <c r="E96" s="923"/>
      <c r="F96" s="183" t="s">
        <v>1388</v>
      </c>
      <c r="G96" s="924"/>
      <c r="H96" s="187" t="s">
        <v>1403</v>
      </c>
      <c r="I96" s="187" t="s">
        <v>1404</v>
      </c>
      <c r="J96" s="193">
        <v>0</v>
      </c>
      <c r="K96" s="113" t="s">
        <v>526</v>
      </c>
      <c r="L96" s="194">
        <v>4</v>
      </c>
      <c r="M96" s="130">
        <v>1</v>
      </c>
      <c r="N96" s="187" t="s">
        <v>1404</v>
      </c>
      <c r="O96" s="117">
        <v>22</v>
      </c>
      <c r="P96" s="188">
        <v>128750</v>
      </c>
      <c r="Q96" s="124"/>
      <c r="R96" s="124"/>
      <c r="S96" s="124"/>
      <c r="T96" s="124"/>
      <c r="U96" s="124"/>
      <c r="V96" s="124"/>
      <c r="W96" s="118"/>
      <c r="X96" s="118"/>
      <c r="Y96" s="118"/>
      <c r="Z96" s="118"/>
      <c r="AA96" s="118"/>
      <c r="AB96" s="118"/>
      <c r="AC96" s="118"/>
      <c r="AD96" s="118"/>
      <c r="AE96" s="118"/>
      <c r="AF96" s="118"/>
      <c r="AG96" s="126"/>
      <c r="AH96" s="119"/>
      <c r="AI96" s="117"/>
      <c r="AJ96" s="117"/>
      <c r="AK96" s="117"/>
      <c r="AL96" s="188"/>
      <c r="AM96" s="117"/>
      <c r="AN96" s="117"/>
      <c r="AO96" s="117"/>
      <c r="AP96" s="117"/>
      <c r="AQ96" s="117"/>
      <c r="AR96" s="117"/>
      <c r="AS96" s="117"/>
      <c r="AT96" s="117"/>
      <c r="AU96" s="117"/>
      <c r="AV96" s="117"/>
      <c r="AW96" s="117"/>
      <c r="AX96" s="117"/>
      <c r="AY96" s="117"/>
      <c r="AZ96" s="116" t="s">
        <v>1334</v>
      </c>
      <c r="BA96" s="116" t="s">
        <v>1405</v>
      </c>
    </row>
    <row r="97" spans="1:53" ht="255" x14ac:dyDescent="0.25">
      <c r="A97" s="108" t="s">
        <v>438</v>
      </c>
      <c r="B97" s="108" t="s">
        <v>1325</v>
      </c>
      <c r="C97" s="921" t="s">
        <v>1406</v>
      </c>
      <c r="D97" s="921" t="s">
        <v>1407</v>
      </c>
      <c r="E97" s="921">
        <v>0</v>
      </c>
      <c r="F97" s="183" t="s">
        <v>1408</v>
      </c>
      <c r="G97" s="924" t="s">
        <v>1409</v>
      </c>
      <c r="H97" s="187" t="s">
        <v>1410</v>
      </c>
      <c r="I97" s="187" t="s">
        <v>1411</v>
      </c>
      <c r="J97" s="185">
        <v>0</v>
      </c>
      <c r="K97" s="113" t="s">
        <v>526</v>
      </c>
      <c r="L97" s="190">
        <v>4</v>
      </c>
      <c r="M97" s="113">
        <v>1</v>
      </c>
      <c r="N97" s="187" t="s">
        <v>1411</v>
      </c>
      <c r="O97" s="117">
        <v>0</v>
      </c>
      <c r="P97" s="188">
        <v>128750</v>
      </c>
      <c r="Q97" s="124">
        <v>37500</v>
      </c>
      <c r="R97" s="124"/>
      <c r="S97" s="124">
        <v>0</v>
      </c>
      <c r="T97" s="124">
        <v>0</v>
      </c>
      <c r="U97" s="124">
        <v>0</v>
      </c>
      <c r="V97" s="124">
        <v>91250</v>
      </c>
      <c r="W97" s="118"/>
      <c r="X97" s="118"/>
      <c r="Y97" s="118"/>
      <c r="Z97" s="118"/>
      <c r="AA97" s="118"/>
      <c r="AB97" s="118"/>
      <c r="AC97" s="118"/>
      <c r="AD97" s="118"/>
      <c r="AE97" s="118"/>
      <c r="AF97" s="118"/>
      <c r="AG97" s="126" t="s">
        <v>1395</v>
      </c>
      <c r="AH97" s="119"/>
      <c r="AI97" s="117" t="s">
        <v>1355</v>
      </c>
      <c r="AJ97" s="117" t="s">
        <v>856</v>
      </c>
      <c r="AK97" s="117">
        <v>7000</v>
      </c>
      <c r="AL97" s="188">
        <v>128750</v>
      </c>
      <c r="AM97" s="126" t="s">
        <v>1412</v>
      </c>
      <c r="AN97" s="117"/>
      <c r="AO97" s="117"/>
      <c r="AP97" s="117"/>
      <c r="AQ97" s="117" t="s">
        <v>536</v>
      </c>
      <c r="AR97" s="117" t="s">
        <v>536</v>
      </c>
      <c r="AS97" s="117" t="s">
        <v>536</v>
      </c>
      <c r="AT97" s="117" t="s">
        <v>536</v>
      </c>
      <c r="AU97" s="117" t="s">
        <v>536</v>
      </c>
      <c r="AV97" s="117" t="s">
        <v>536</v>
      </c>
      <c r="AW97" s="117" t="s">
        <v>536</v>
      </c>
      <c r="AX97" s="117" t="s">
        <v>536</v>
      </c>
      <c r="AY97" s="117" t="s">
        <v>536</v>
      </c>
      <c r="AZ97" s="116" t="s">
        <v>1334</v>
      </c>
      <c r="BA97" s="118"/>
    </row>
    <row r="98" spans="1:53" ht="135" x14ac:dyDescent="0.25">
      <c r="A98" s="108" t="s">
        <v>438</v>
      </c>
      <c r="B98" s="108" t="s">
        <v>1325</v>
      </c>
      <c r="C98" s="922"/>
      <c r="D98" s="922"/>
      <c r="E98" s="922"/>
      <c r="F98" s="183" t="s">
        <v>1408</v>
      </c>
      <c r="G98" s="924"/>
      <c r="H98" s="187" t="s">
        <v>1413</v>
      </c>
      <c r="I98" s="187" t="s">
        <v>1414</v>
      </c>
      <c r="J98" s="185">
        <v>0</v>
      </c>
      <c r="K98" s="113" t="s">
        <v>526</v>
      </c>
      <c r="L98" s="190">
        <v>2</v>
      </c>
      <c r="M98" s="113">
        <v>0.5</v>
      </c>
      <c r="N98" s="187" t="s">
        <v>1414</v>
      </c>
      <c r="O98" s="117">
        <v>0</v>
      </c>
      <c r="P98" s="188">
        <v>128750</v>
      </c>
      <c r="Q98" s="124">
        <v>37500</v>
      </c>
      <c r="R98" s="124"/>
      <c r="S98" s="124">
        <v>0</v>
      </c>
      <c r="T98" s="124">
        <v>0</v>
      </c>
      <c r="U98" s="124">
        <v>0</v>
      </c>
      <c r="V98" s="124">
        <v>91250</v>
      </c>
      <c r="W98" s="118"/>
      <c r="X98" s="118"/>
      <c r="Y98" s="118"/>
      <c r="Z98" s="118"/>
      <c r="AA98" s="118"/>
      <c r="AB98" s="118"/>
      <c r="AC98" s="118"/>
      <c r="AD98" s="118"/>
      <c r="AE98" s="118"/>
      <c r="AF98" s="118"/>
      <c r="AG98" s="126" t="s">
        <v>1395</v>
      </c>
      <c r="AH98" s="119"/>
      <c r="AI98" s="117" t="s">
        <v>1355</v>
      </c>
      <c r="AJ98" s="117" t="s">
        <v>856</v>
      </c>
      <c r="AK98" s="117">
        <v>240000</v>
      </c>
      <c r="AL98" s="188">
        <v>128750</v>
      </c>
      <c r="AM98" s="126" t="s">
        <v>1415</v>
      </c>
      <c r="AN98" s="117"/>
      <c r="AO98" s="117"/>
      <c r="AP98" s="117"/>
      <c r="AQ98" s="117" t="s">
        <v>536</v>
      </c>
      <c r="AR98" s="117" t="s">
        <v>536</v>
      </c>
      <c r="AS98" s="117" t="s">
        <v>536</v>
      </c>
      <c r="AT98" s="117" t="s">
        <v>536</v>
      </c>
      <c r="AU98" s="117" t="s">
        <v>536</v>
      </c>
      <c r="AV98" s="117" t="s">
        <v>536</v>
      </c>
      <c r="AW98" s="117" t="s">
        <v>536</v>
      </c>
      <c r="AX98" s="117" t="s">
        <v>536</v>
      </c>
      <c r="AY98" s="117" t="s">
        <v>536</v>
      </c>
      <c r="AZ98" s="116" t="s">
        <v>1334</v>
      </c>
      <c r="BA98" s="118"/>
    </row>
    <row r="99" spans="1:53" ht="195" x14ac:dyDescent="0.25">
      <c r="A99" s="108" t="s">
        <v>438</v>
      </c>
      <c r="B99" s="108" t="s">
        <v>1325</v>
      </c>
      <c r="C99" s="922"/>
      <c r="D99" s="922"/>
      <c r="E99" s="922"/>
      <c r="F99" s="183" t="s">
        <v>1408</v>
      </c>
      <c r="G99" s="924"/>
      <c r="H99" s="187" t="s">
        <v>1416</v>
      </c>
      <c r="I99" s="187" t="s">
        <v>1417</v>
      </c>
      <c r="J99" s="185">
        <v>0</v>
      </c>
      <c r="K99" s="113" t="s">
        <v>526</v>
      </c>
      <c r="L99" s="190">
        <v>4</v>
      </c>
      <c r="M99" s="113">
        <v>1</v>
      </c>
      <c r="N99" s="187" t="s">
        <v>1417</v>
      </c>
      <c r="O99" s="117">
        <v>0</v>
      </c>
      <c r="P99" s="188">
        <v>128750</v>
      </c>
      <c r="Q99" s="124">
        <v>37500</v>
      </c>
      <c r="R99" s="124"/>
      <c r="S99" s="124">
        <v>0</v>
      </c>
      <c r="T99" s="124">
        <v>0</v>
      </c>
      <c r="U99" s="124">
        <v>0</v>
      </c>
      <c r="V99" s="124">
        <v>91250</v>
      </c>
      <c r="W99" s="118"/>
      <c r="X99" s="118"/>
      <c r="Y99" s="118"/>
      <c r="Z99" s="118"/>
      <c r="AA99" s="118"/>
      <c r="AB99" s="118"/>
      <c r="AC99" s="118"/>
      <c r="AD99" s="118"/>
      <c r="AE99" s="118"/>
      <c r="AF99" s="118"/>
      <c r="AG99" s="126" t="s">
        <v>1395</v>
      </c>
      <c r="AH99" s="119"/>
      <c r="AI99" s="117" t="s">
        <v>1355</v>
      </c>
      <c r="AJ99" s="117" t="s">
        <v>856</v>
      </c>
      <c r="AK99" s="117">
        <v>36000</v>
      </c>
      <c r="AL99" s="188">
        <v>128750</v>
      </c>
      <c r="AM99" s="126" t="s">
        <v>1418</v>
      </c>
      <c r="AN99" s="117"/>
      <c r="AO99" s="117"/>
      <c r="AP99" s="117" t="s">
        <v>536</v>
      </c>
      <c r="AQ99" s="117"/>
      <c r="AR99" s="117"/>
      <c r="AS99" s="117"/>
      <c r="AT99" s="117"/>
      <c r="AU99" s="117"/>
      <c r="AV99" s="117"/>
      <c r="AW99" s="117"/>
      <c r="AX99" s="117"/>
      <c r="AY99" s="117"/>
      <c r="AZ99" s="116" t="s">
        <v>1334</v>
      </c>
      <c r="BA99" s="118"/>
    </row>
    <row r="100" spans="1:53" ht="180" x14ac:dyDescent="0.25">
      <c r="A100" s="108" t="s">
        <v>438</v>
      </c>
      <c r="B100" s="108" t="s">
        <v>1325</v>
      </c>
      <c r="C100" s="923"/>
      <c r="D100" s="923"/>
      <c r="E100" s="923"/>
      <c r="F100" s="183" t="s">
        <v>1408</v>
      </c>
      <c r="G100" s="924"/>
      <c r="H100" s="187" t="s">
        <v>1419</v>
      </c>
      <c r="I100" s="187" t="s">
        <v>1420</v>
      </c>
      <c r="J100" s="185">
        <v>0</v>
      </c>
      <c r="K100" s="113" t="s">
        <v>526</v>
      </c>
      <c r="L100" s="190">
        <v>2</v>
      </c>
      <c r="M100" s="113">
        <v>0.5</v>
      </c>
      <c r="N100" s="187" t="s">
        <v>1420</v>
      </c>
      <c r="O100" s="117">
        <v>0</v>
      </c>
      <c r="P100" s="188">
        <v>128750</v>
      </c>
      <c r="Q100" s="124">
        <v>37500</v>
      </c>
      <c r="R100" s="124"/>
      <c r="S100" s="124">
        <v>0</v>
      </c>
      <c r="T100" s="124">
        <v>0</v>
      </c>
      <c r="U100" s="124">
        <v>0</v>
      </c>
      <c r="V100" s="124">
        <v>91250</v>
      </c>
      <c r="W100" s="118"/>
      <c r="X100" s="118"/>
      <c r="Y100" s="118"/>
      <c r="Z100" s="118"/>
      <c r="AA100" s="118"/>
      <c r="AB100" s="118"/>
      <c r="AC100" s="118"/>
      <c r="AD100" s="118"/>
      <c r="AE100" s="118"/>
      <c r="AF100" s="118"/>
      <c r="AG100" s="126" t="s">
        <v>1395</v>
      </c>
      <c r="AH100" s="119"/>
      <c r="AI100" s="117" t="s">
        <v>1355</v>
      </c>
      <c r="AJ100" s="117" t="s">
        <v>856</v>
      </c>
      <c r="AK100" s="117">
        <v>36000</v>
      </c>
      <c r="AL100" s="188">
        <v>128750</v>
      </c>
      <c r="AM100" s="126" t="s">
        <v>1421</v>
      </c>
      <c r="AN100" s="117"/>
      <c r="AO100" s="117"/>
      <c r="AP100" s="117"/>
      <c r="AQ100" s="117"/>
      <c r="AR100" s="117"/>
      <c r="AS100" s="117"/>
      <c r="AT100" s="117" t="s">
        <v>536</v>
      </c>
      <c r="AU100" s="117"/>
      <c r="AV100" s="117"/>
      <c r="AW100" s="117"/>
      <c r="AX100" s="117" t="s">
        <v>536</v>
      </c>
      <c r="AY100" s="117"/>
      <c r="AZ100" s="116" t="s">
        <v>1334</v>
      </c>
      <c r="BA100" s="118"/>
    </row>
  </sheetData>
  <sheetProtection password="DFEF" sheet="1" objects="1" scenarios="1"/>
  <mergeCells count="109">
    <mergeCell ref="A13:A14"/>
    <mergeCell ref="B13:B14"/>
    <mergeCell ref="C13:C14"/>
    <mergeCell ref="D13:D14"/>
    <mergeCell ref="E13:E14"/>
    <mergeCell ref="F13:F14"/>
    <mergeCell ref="A2:L2"/>
    <mergeCell ref="A3:L3"/>
    <mergeCell ref="A5:L5"/>
    <mergeCell ref="A6:L6"/>
    <mergeCell ref="A9:M9"/>
    <mergeCell ref="A11:M11"/>
    <mergeCell ref="G15:G27"/>
    <mergeCell ref="C26:C27"/>
    <mergeCell ref="D26:D27"/>
    <mergeCell ref="E26:E27"/>
    <mergeCell ref="AG26:AG27"/>
    <mergeCell ref="AH26:AH27"/>
    <mergeCell ref="AG13:AG14"/>
    <mergeCell ref="AH13:AH14"/>
    <mergeCell ref="AI13:AI14"/>
    <mergeCell ref="M13:M14"/>
    <mergeCell ref="N13:O13"/>
    <mergeCell ref="P13:P14"/>
    <mergeCell ref="Q13:AF13"/>
    <mergeCell ref="G13:G14"/>
    <mergeCell ref="H13:H14"/>
    <mergeCell ref="I13:I14"/>
    <mergeCell ref="J13:J14"/>
    <mergeCell ref="K13:K14"/>
    <mergeCell ref="L13:L14"/>
    <mergeCell ref="AI26:AI27"/>
    <mergeCell ref="AJ26:AJ27"/>
    <mergeCell ref="AK26:AK27"/>
    <mergeCell ref="AL26:AL27"/>
    <mergeCell ref="AZ26:AZ27"/>
    <mergeCell ref="BA26:BA27"/>
    <mergeCell ref="AM13:AM14"/>
    <mergeCell ref="AN13:AY13"/>
    <mergeCell ref="AZ13:AZ14"/>
    <mergeCell ref="BA13:BA14"/>
    <mergeCell ref="AJ13:AJ14"/>
    <mergeCell ref="AK13:AK14"/>
    <mergeCell ref="AL13:AL14"/>
    <mergeCell ref="C57:C58"/>
    <mergeCell ref="D57:D58"/>
    <mergeCell ref="E57:E58"/>
    <mergeCell ref="G57:G58"/>
    <mergeCell ref="C59:C67"/>
    <mergeCell ref="D59:D67"/>
    <mergeCell ref="E59:E67"/>
    <mergeCell ref="G59:G67"/>
    <mergeCell ref="C28:C40"/>
    <mergeCell ref="D28:D40"/>
    <mergeCell ref="E28:E40"/>
    <mergeCell ref="G28:G40"/>
    <mergeCell ref="G41:G56"/>
    <mergeCell ref="C43:C56"/>
    <mergeCell ref="D43:D56"/>
    <mergeCell ref="E43:E56"/>
    <mergeCell ref="C68:C70"/>
    <mergeCell ref="D68:D70"/>
    <mergeCell ref="E68:E70"/>
    <mergeCell ref="G68:G70"/>
    <mergeCell ref="G71:G73"/>
    <mergeCell ref="G74:G82"/>
    <mergeCell ref="C75:C79"/>
    <mergeCell ref="D75:D79"/>
    <mergeCell ref="E75:E79"/>
    <mergeCell ref="M75:M76"/>
    <mergeCell ref="N75:N76"/>
    <mergeCell ref="O75:O76"/>
    <mergeCell ref="P75:P76"/>
    <mergeCell ref="U75:U76"/>
    <mergeCell ref="H75:H76"/>
    <mergeCell ref="I75:I76"/>
    <mergeCell ref="J75:J76"/>
    <mergeCell ref="K75:K76"/>
    <mergeCell ref="L75:L76"/>
    <mergeCell ref="N77:N78"/>
    <mergeCell ref="O77:O78"/>
    <mergeCell ref="P77:P78"/>
    <mergeCell ref="AZ77:AZ78"/>
    <mergeCell ref="H77:H78"/>
    <mergeCell ref="I77:I78"/>
    <mergeCell ref="J77:J78"/>
    <mergeCell ref="K77:K78"/>
    <mergeCell ref="L77:L78"/>
    <mergeCell ref="C83:C85"/>
    <mergeCell ref="D83:D85"/>
    <mergeCell ref="E83:E85"/>
    <mergeCell ref="G83:G85"/>
    <mergeCell ref="C86:C89"/>
    <mergeCell ref="D86:D89"/>
    <mergeCell ref="E86:E89"/>
    <mergeCell ref="G86:G89"/>
    <mergeCell ref="M77:M78"/>
    <mergeCell ref="C97:C100"/>
    <mergeCell ref="D97:D100"/>
    <mergeCell ref="E97:E100"/>
    <mergeCell ref="G97:G100"/>
    <mergeCell ref="C91:C92"/>
    <mergeCell ref="D91:D92"/>
    <mergeCell ref="E91:E92"/>
    <mergeCell ref="G91:G92"/>
    <mergeCell ref="C93:C96"/>
    <mergeCell ref="D93:D96"/>
    <mergeCell ref="E93:E96"/>
    <mergeCell ref="G93:G96"/>
  </mergeCells>
  <conditionalFormatting sqref="C58 C60:C67 C69:C70">
    <cfRule type="notContainsBlanks" dxfId="2" priority="1">
      <formula>LEN(TRIM(#REF!))&gt;0</formula>
    </cfRule>
  </conditionalFormatting>
  <conditionalFormatting sqref="E58 E60:E67 E69:E70 G42:G56 G58 G60:G67 G69:G70">
    <cfRule type="notContainsBlanks" dxfId="1" priority="2">
      <formula>LEN(TRIM(#REF!))&gt;0</formula>
    </cfRule>
  </conditionalFormatting>
  <conditionalFormatting sqref="D58 D60:D67 D69:D70">
    <cfRule type="notContainsBlanks" dxfId="0" priority="3">
      <formula>LEN(TRIM(#REF!))&gt;0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49"/>
  <sheetViews>
    <sheetView zoomScale="80" zoomScaleNormal="80" workbookViewId="0">
      <selection activeCell="D15" sqref="D15"/>
    </sheetView>
  </sheetViews>
  <sheetFormatPr baseColWidth="10" defaultRowHeight="15" x14ac:dyDescent="0.25"/>
  <cols>
    <col min="2" max="2" width="16.140625" customWidth="1"/>
    <col min="3" max="3" width="15" customWidth="1"/>
    <col min="4" max="4" width="19.7109375" customWidth="1"/>
    <col min="5" max="7" width="16.7109375" customWidth="1"/>
    <col min="8" max="8" width="15.5703125" customWidth="1"/>
    <col min="9" max="9" width="16.5703125" customWidth="1"/>
    <col min="10" max="10" width="16.85546875" customWidth="1"/>
    <col min="11" max="11" width="20.85546875" customWidth="1"/>
    <col min="12" max="12" width="14.85546875" customWidth="1"/>
    <col min="16" max="16" width="17.7109375" customWidth="1"/>
    <col min="19" max="19" width="14.5703125" customWidth="1"/>
    <col min="20" max="20" width="15" customWidth="1"/>
    <col min="21" max="21" width="14.28515625" customWidth="1"/>
    <col min="22" max="22" width="15.7109375" customWidth="1"/>
    <col min="23" max="23" width="15.140625" customWidth="1"/>
    <col min="27" max="27" width="17.140625" customWidth="1"/>
    <col min="33" max="33" width="35.85546875" customWidth="1"/>
    <col min="34" max="34" width="14.85546875" customWidth="1"/>
    <col min="35" max="35" width="27" customWidth="1"/>
    <col min="40" max="51" width="6.7109375" customWidth="1"/>
    <col min="52" max="52" width="16.5703125" customWidth="1"/>
    <col min="53" max="53" width="17.85546875" customWidth="1"/>
  </cols>
  <sheetData>
    <row r="1" spans="1:53" ht="18" x14ac:dyDescent="0.25">
      <c r="A1" s="958" t="s">
        <v>481</v>
      </c>
      <c r="B1" s="958"/>
      <c r="C1" s="958"/>
      <c r="D1" s="958"/>
      <c r="E1" s="958"/>
      <c r="F1" s="958"/>
      <c r="G1" s="958"/>
      <c r="H1" s="958"/>
      <c r="I1" s="958"/>
      <c r="J1" s="958"/>
      <c r="K1" s="958"/>
      <c r="L1" s="958"/>
      <c r="M1" s="98"/>
    </row>
    <row r="2" spans="1:53" ht="18" x14ac:dyDescent="0.25">
      <c r="A2" s="959" t="s">
        <v>482</v>
      </c>
      <c r="B2" s="959"/>
      <c r="C2" s="959"/>
      <c r="D2" s="959"/>
      <c r="E2" s="959"/>
      <c r="F2" s="959"/>
      <c r="G2" s="959"/>
      <c r="H2" s="959"/>
      <c r="I2" s="959"/>
      <c r="J2" s="959"/>
      <c r="K2" s="959"/>
      <c r="L2" s="959"/>
      <c r="M2" s="98"/>
    </row>
    <row r="3" spans="1:53" x14ac:dyDescent="0.25">
      <c r="A3" s="101"/>
      <c r="B3" s="96"/>
      <c r="C3" s="96"/>
      <c r="D3" s="96"/>
      <c r="E3" s="96"/>
      <c r="F3" s="96"/>
      <c r="G3" s="96"/>
      <c r="H3" s="97"/>
      <c r="I3" s="96"/>
      <c r="J3" s="96"/>
      <c r="K3" s="96"/>
      <c r="L3" s="96"/>
      <c r="M3" s="98"/>
    </row>
    <row r="4" spans="1:53" ht="18" x14ac:dyDescent="0.25">
      <c r="A4" s="960" t="s">
        <v>483</v>
      </c>
      <c r="B4" s="960"/>
      <c r="C4" s="960"/>
      <c r="D4" s="960"/>
      <c r="E4" s="960"/>
      <c r="F4" s="960"/>
      <c r="G4" s="960"/>
      <c r="H4" s="960"/>
      <c r="I4" s="960"/>
      <c r="J4" s="960"/>
      <c r="K4" s="960"/>
      <c r="L4" s="960"/>
      <c r="M4" s="98"/>
    </row>
    <row r="5" spans="1:53" ht="18" x14ac:dyDescent="0.25">
      <c r="A5" s="958" t="s">
        <v>528</v>
      </c>
      <c r="B5" s="958"/>
      <c r="C5" s="958"/>
      <c r="D5" s="958"/>
      <c r="E5" s="958"/>
      <c r="F5" s="958"/>
      <c r="G5" s="958"/>
      <c r="H5" s="958"/>
      <c r="I5" s="958"/>
      <c r="J5" s="958"/>
      <c r="K5" s="958"/>
      <c r="L5" s="958"/>
      <c r="M5" s="98"/>
    </row>
    <row r="6" spans="1:53" ht="18" x14ac:dyDescent="0.25">
      <c r="A6" s="100"/>
      <c r="B6" s="100"/>
      <c r="C6" s="100"/>
      <c r="D6" s="100"/>
      <c r="E6" s="100"/>
      <c r="F6" s="100"/>
      <c r="G6" s="100"/>
      <c r="H6" s="100"/>
      <c r="I6" s="100"/>
      <c r="J6" s="100"/>
      <c r="K6" s="100"/>
      <c r="L6" s="100"/>
      <c r="M6" s="98"/>
    </row>
    <row r="7" spans="1:53" ht="18" x14ac:dyDescent="0.25">
      <c r="A7" s="100"/>
      <c r="B7" s="100"/>
      <c r="C7" s="100"/>
      <c r="D7" s="100"/>
      <c r="E7" s="100"/>
      <c r="F7" s="100"/>
      <c r="G7" s="100"/>
      <c r="H7" s="100"/>
      <c r="I7" s="100"/>
      <c r="J7" s="100"/>
      <c r="K7" s="100"/>
      <c r="L7" s="100"/>
      <c r="M7" s="98"/>
    </row>
    <row r="8" spans="1:53" x14ac:dyDescent="0.25">
      <c r="A8" s="961" t="s">
        <v>1422</v>
      </c>
      <c r="B8" s="961"/>
      <c r="C8" s="961"/>
      <c r="D8" s="961"/>
      <c r="E8" s="961"/>
      <c r="F8" s="961"/>
      <c r="G8" s="961"/>
      <c r="H8" s="961"/>
      <c r="I8" s="961"/>
      <c r="J8" s="961"/>
      <c r="K8" s="961"/>
      <c r="L8" s="961"/>
      <c r="M8" s="961"/>
    </row>
    <row r="10" spans="1:53" ht="38.25" customHeight="1" x14ac:dyDescent="0.25">
      <c r="A10" s="914" t="s">
        <v>62</v>
      </c>
      <c r="B10" s="914" t="s">
        <v>63</v>
      </c>
      <c r="C10" s="954" t="s">
        <v>0</v>
      </c>
      <c r="D10" s="954" t="s">
        <v>1</v>
      </c>
      <c r="E10" s="954" t="s">
        <v>2</v>
      </c>
      <c r="F10" s="954" t="s">
        <v>3</v>
      </c>
      <c r="G10" s="954" t="s">
        <v>64</v>
      </c>
      <c r="H10" s="954" t="s">
        <v>65</v>
      </c>
      <c r="I10" s="954" t="s">
        <v>66</v>
      </c>
      <c r="J10" s="954" t="s">
        <v>67</v>
      </c>
      <c r="K10" s="954" t="s">
        <v>480</v>
      </c>
      <c r="L10" s="954" t="s">
        <v>521</v>
      </c>
      <c r="M10" s="889" t="s">
        <v>529</v>
      </c>
      <c r="N10" s="891" t="s">
        <v>66</v>
      </c>
      <c r="O10" s="893"/>
      <c r="P10" s="889" t="s">
        <v>532</v>
      </c>
      <c r="Q10" s="891" t="s">
        <v>484</v>
      </c>
      <c r="R10" s="892"/>
      <c r="S10" s="892"/>
      <c r="T10" s="892"/>
      <c r="U10" s="892"/>
      <c r="V10" s="892"/>
      <c r="W10" s="892"/>
      <c r="X10" s="892"/>
      <c r="Y10" s="892"/>
      <c r="Z10" s="892"/>
      <c r="AA10" s="892"/>
      <c r="AB10" s="892"/>
      <c r="AC10" s="892"/>
      <c r="AD10" s="892"/>
      <c r="AE10" s="892"/>
      <c r="AF10" s="893"/>
      <c r="AG10" s="964" t="s">
        <v>485</v>
      </c>
      <c r="AH10" s="889" t="s">
        <v>531</v>
      </c>
      <c r="AI10" s="889" t="s">
        <v>952</v>
      </c>
      <c r="AJ10" s="964" t="s">
        <v>511</v>
      </c>
      <c r="AK10" s="889" t="s">
        <v>486</v>
      </c>
      <c r="AL10" s="889" t="s">
        <v>535</v>
      </c>
      <c r="AM10" s="889" t="s">
        <v>487</v>
      </c>
      <c r="AN10" s="900" t="s">
        <v>524</v>
      </c>
      <c r="AO10" s="901"/>
      <c r="AP10" s="901"/>
      <c r="AQ10" s="901"/>
      <c r="AR10" s="901"/>
      <c r="AS10" s="901"/>
      <c r="AT10" s="901"/>
      <c r="AU10" s="901"/>
      <c r="AV10" s="901"/>
      <c r="AW10" s="901"/>
      <c r="AX10" s="901"/>
      <c r="AY10" s="902"/>
      <c r="AZ10" s="889" t="s">
        <v>512</v>
      </c>
      <c r="BA10" s="962" t="s">
        <v>488</v>
      </c>
    </row>
    <row r="11" spans="1:53" ht="58.5" customHeight="1" x14ac:dyDescent="0.25">
      <c r="A11" s="915"/>
      <c r="B11" s="915"/>
      <c r="C11" s="955"/>
      <c r="D11" s="955"/>
      <c r="E11" s="955"/>
      <c r="F11" s="955"/>
      <c r="G11" s="955"/>
      <c r="H11" s="955"/>
      <c r="I11" s="955"/>
      <c r="J11" s="955"/>
      <c r="K11" s="955"/>
      <c r="L11" s="955"/>
      <c r="M11" s="890"/>
      <c r="N11" s="93" t="s">
        <v>489</v>
      </c>
      <c r="O11" s="93" t="s">
        <v>530</v>
      </c>
      <c r="P11" s="890"/>
      <c r="Q11" s="94" t="s">
        <v>490</v>
      </c>
      <c r="R11" s="94" t="s">
        <v>533</v>
      </c>
      <c r="S11" s="94" t="s">
        <v>491</v>
      </c>
      <c r="T11" s="94" t="s">
        <v>492</v>
      </c>
      <c r="U11" s="94" t="s">
        <v>522</v>
      </c>
      <c r="V11" s="94" t="s">
        <v>493</v>
      </c>
      <c r="W11" s="94" t="s">
        <v>494</v>
      </c>
      <c r="X11" s="94" t="s">
        <v>495</v>
      </c>
      <c r="Y11" s="94" t="s">
        <v>496</v>
      </c>
      <c r="Z11" s="94" t="s">
        <v>497</v>
      </c>
      <c r="AA11" s="94" t="s">
        <v>523</v>
      </c>
      <c r="AB11" s="94" t="s">
        <v>534</v>
      </c>
      <c r="AC11" s="94" t="s">
        <v>498</v>
      </c>
      <c r="AD11" s="94" t="s">
        <v>499</v>
      </c>
      <c r="AE11" s="94" t="s">
        <v>500</v>
      </c>
      <c r="AF11" s="94" t="s">
        <v>501</v>
      </c>
      <c r="AG11" s="965"/>
      <c r="AH11" s="890"/>
      <c r="AI11" s="890"/>
      <c r="AJ11" s="965"/>
      <c r="AK11" s="890"/>
      <c r="AL11" s="890"/>
      <c r="AM11" s="890"/>
      <c r="AN11" s="95" t="s">
        <v>502</v>
      </c>
      <c r="AO11" s="95" t="s">
        <v>503</v>
      </c>
      <c r="AP11" s="95" t="s">
        <v>504</v>
      </c>
      <c r="AQ11" s="95" t="s">
        <v>505</v>
      </c>
      <c r="AR11" s="95" t="s">
        <v>504</v>
      </c>
      <c r="AS11" s="95" t="s">
        <v>506</v>
      </c>
      <c r="AT11" s="95" t="s">
        <v>506</v>
      </c>
      <c r="AU11" s="95" t="s">
        <v>505</v>
      </c>
      <c r="AV11" s="95" t="s">
        <v>507</v>
      </c>
      <c r="AW11" s="95" t="s">
        <v>508</v>
      </c>
      <c r="AX11" s="95" t="s">
        <v>509</v>
      </c>
      <c r="AY11" s="95" t="s">
        <v>510</v>
      </c>
      <c r="AZ11" s="890"/>
      <c r="BA11" s="963"/>
    </row>
    <row r="12" spans="1:53" ht="90" customHeight="1" x14ac:dyDescent="0.25">
      <c r="A12" s="196" t="s">
        <v>438</v>
      </c>
      <c r="B12" s="196" t="s">
        <v>1423</v>
      </c>
      <c r="C12" s="196" t="s">
        <v>1424</v>
      </c>
      <c r="D12" s="196" t="s">
        <v>1425</v>
      </c>
      <c r="E12" s="196" t="s">
        <v>1426</v>
      </c>
      <c r="F12" s="305" t="s">
        <v>2021</v>
      </c>
      <c r="G12" s="305" t="s">
        <v>2022</v>
      </c>
      <c r="H12" s="196" t="s">
        <v>1427</v>
      </c>
      <c r="I12" s="196" t="s">
        <v>1428</v>
      </c>
      <c r="J12" s="196" t="s">
        <v>1429</v>
      </c>
      <c r="K12" s="196" t="s">
        <v>526</v>
      </c>
      <c r="L12" s="215">
        <v>5517</v>
      </c>
      <c r="M12" s="216">
        <v>732</v>
      </c>
      <c r="N12" s="241"/>
      <c r="O12" s="241"/>
      <c r="P12" s="216">
        <v>27198238</v>
      </c>
      <c r="Q12" s="241">
        <v>0</v>
      </c>
      <c r="R12" s="241">
        <v>0</v>
      </c>
      <c r="S12" s="241">
        <v>0</v>
      </c>
      <c r="T12" s="241">
        <v>0</v>
      </c>
      <c r="U12" s="241">
        <v>0</v>
      </c>
      <c r="V12" s="216">
        <f>10615000+17280000</f>
        <v>27895000</v>
      </c>
      <c r="W12" s="241">
        <v>0</v>
      </c>
      <c r="X12" s="241">
        <v>0</v>
      </c>
      <c r="Y12" s="241">
        <v>0</v>
      </c>
      <c r="Z12" s="241">
        <v>0</v>
      </c>
      <c r="AA12" s="241">
        <v>0</v>
      </c>
      <c r="AB12" s="241">
        <v>0</v>
      </c>
      <c r="AC12" s="241">
        <v>0</v>
      </c>
      <c r="AD12" s="241">
        <v>0</v>
      </c>
      <c r="AE12" s="241">
        <v>0</v>
      </c>
      <c r="AF12" s="241">
        <v>0</v>
      </c>
      <c r="AG12" s="198" t="s">
        <v>1430</v>
      </c>
      <c r="AH12" s="241"/>
      <c r="AI12" s="241"/>
      <c r="AJ12" s="241"/>
      <c r="AK12" s="216">
        <f>965+1200</f>
        <v>2165</v>
      </c>
      <c r="AL12" s="216">
        <f>10615000+17280000</f>
        <v>27895000</v>
      </c>
      <c r="AM12" s="315">
        <f>193+240</f>
        <v>433</v>
      </c>
      <c r="AN12" s="241" t="s">
        <v>536</v>
      </c>
      <c r="AO12" s="241" t="s">
        <v>536</v>
      </c>
      <c r="AP12" s="241" t="s">
        <v>536</v>
      </c>
      <c r="AQ12" s="241" t="s">
        <v>536</v>
      </c>
      <c r="AR12" s="241" t="s">
        <v>536</v>
      </c>
      <c r="AS12" s="241" t="s">
        <v>536</v>
      </c>
      <c r="AT12" s="241" t="s">
        <v>536</v>
      </c>
      <c r="AU12" s="241" t="s">
        <v>536</v>
      </c>
      <c r="AV12" s="241" t="s">
        <v>536</v>
      </c>
      <c r="AW12" s="241" t="s">
        <v>536</v>
      </c>
      <c r="AX12" s="241" t="s">
        <v>536</v>
      </c>
      <c r="AY12" s="241" t="s">
        <v>536</v>
      </c>
      <c r="AZ12" s="196" t="s">
        <v>1431</v>
      </c>
      <c r="BA12" s="241"/>
    </row>
    <row r="13" spans="1:53" ht="58.5" customHeight="1" x14ac:dyDescent="0.25">
      <c r="A13" s="103"/>
      <c r="B13" s="103"/>
      <c r="C13" s="106"/>
      <c r="D13" s="107"/>
      <c r="E13" s="106"/>
      <c r="F13" s="107"/>
      <c r="G13" s="103"/>
      <c r="H13" s="106"/>
      <c r="I13" s="104"/>
      <c r="J13" s="106"/>
      <c r="K13" s="106"/>
      <c r="L13" s="223"/>
      <c r="M13" s="224"/>
      <c r="N13" s="239"/>
      <c r="O13" s="239"/>
      <c r="P13" s="316"/>
      <c r="Q13" s="239"/>
      <c r="R13" s="239"/>
      <c r="S13" s="239"/>
      <c r="T13" s="239"/>
      <c r="U13" s="239"/>
      <c r="V13" s="226">
        <v>10615000</v>
      </c>
      <c r="W13" s="239"/>
      <c r="X13" s="239"/>
      <c r="Y13" s="239"/>
      <c r="Z13" s="239"/>
      <c r="AA13" s="239"/>
      <c r="AB13" s="239"/>
      <c r="AC13" s="239"/>
      <c r="AD13" s="239"/>
      <c r="AE13" s="239"/>
      <c r="AF13" s="239"/>
      <c r="AG13" s="394" t="s">
        <v>1432</v>
      </c>
      <c r="AH13" s="234"/>
      <c r="AI13" s="233" t="s">
        <v>1433</v>
      </c>
      <c r="AJ13" s="235" t="s">
        <v>1434</v>
      </c>
      <c r="AK13" s="227">
        <v>965</v>
      </c>
      <c r="AL13" s="227">
        <v>10615000</v>
      </c>
      <c r="AM13" s="317">
        <v>193</v>
      </c>
      <c r="AN13" s="105" t="s">
        <v>536</v>
      </c>
      <c r="AO13" s="105" t="s">
        <v>536</v>
      </c>
      <c r="AP13" s="105" t="s">
        <v>536</v>
      </c>
      <c r="AQ13" s="105" t="s">
        <v>536</v>
      </c>
      <c r="AR13" s="105" t="s">
        <v>536</v>
      </c>
      <c r="AS13" s="105" t="s">
        <v>536</v>
      </c>
      <c r="AT13" s="105" t="s">
        <v>536</v>
      </c>
      <c r="AU13" s="105" t="s">
        <v>536</v>
      </c>
      <c r="AV13" s="105" t="s">
        <v>536</v>
      </c>
      <c r="AW13" s="105" t="s">
        <v>536</v>
      </c>
      <c r="AX13" s="105" t="s">
        <v>536</v>
      </c>
      <c r="AY13" s="105" t="s">
        <v>536</v>
      </c>
      <c r="AZ13" s="106" t="s">
        <v>1431</v>
      </c>
      <c r="BA13" s="239"/>
    </row>
    <row r="14" spans="1:53" ht="48.75" customHeight="1" x14ac:dyDescent="0.25">
      <c r="A14" s="103"/>
      <c r="B14" s="103"/>
      <c r="C14" s="106"/>
      <c r="D14" s="107"/>
      <c r="E14" s="106"/>
      <c r="F14" s="107"/>
      <c r="G14" s="103"/>
      <c r="H14" s="106"/>
      <c r="I14" s="104"/>
      <c r="J14" s="106"/>
      <c r="K14" s="106"/>
      <c r="L14" s="223"/>
      <c r="M14" s="224"/>
      <c r="N14" s="239"/>
      <c r="O14" s="239"/>
      <c r="P14" s="316"/>
      <c r="Q14" s="239"/>
      <c r="R14" s="239"/>
      <c r="S14" s="239"/>
      <c r="T14" s="239"/>
      <c r="U14" s="239"/>
      <c r="V14" s="226">
        <v>17280000</v>
      </c>
      <c r="W14" s="239"/>
      <c r="X14" s="239"/>
      <c r="Y14" s="239"/>
      <c r="Z14" s="239"/>
      <c r="AA14" s="239"/>
      <c r="AB14" s="239"/>
      <c r="AC14" s="239"/>
      <c r="AD14" s="239"/>
      <c r="AE14" s="239"/>
      <c r="AF14" s="239"/>
      <c r="AG14" s="394" t="s">
        <v>1435</v>
      </c>
      <c r="AH14" s="234"/>
      <c r="AI14" s="233" t="s">
        <v>1436</v>
      </c>
      <c r="AJ14" s="235" t="s">
        <v>1434</v>
      </c>
      <c r="AK14" s="227">
        <v>1200</v>
      </c>
      <c r="AL14" s="227">
        <v>17280000</v>
      </c>
      <c r="AM14" s="317">
        <v>240</v>
      </c>
      <c r="AN14" s="105" t="s">
        <v>536</v>
      </c>
      <c r="AO14" s="105" t="s">
        <v>536</v>
      </c>
      <c r="AP14" s="105" t="s">
        <v>536</v>
      </c>
      <c r="AQ14" s="105" t="s">
        <v>536</v>
      </c>
      <c r="AR14" s="105" t="s">
        <v>536</v>
      </c>
      <c r="AS14" s="105" t="s">
        <v>536</v>
      </c>
      <c r="AT14" s="105" t="s">
        <v>536</v>
      </c>
      <c r="AU14" s="105" t="s">
        <v>536</v>
      </c>
      <c r="AV14" s="105" t="s">
        <v>536</v>
      </c>
      <c r="AW14" s="105" t="s">
        <v>536</v>
      </c>
      <c r="AX14" s="105" t="s">
        <v>536</v>
      </c>
      <c r="AY14" s="105" t="s">
        <v>536</v>
      </c>
      <c r="AZ14" s="106" t="s">
        <v>1431</v>
      </c>
      <c r="BA14" s="239"/>
    </row>
    <row r="15" spans="1:53" ht="135" x14ac:dyDescent="0.25">
      <c r="A15" s="196" t="s">
        <v>438</v>
      </c>
      <c r="B15" s="196" t="s">
        <v>1423</v>
      </c>
      <c r="C15" s="196" t="s">
        <v>1437</v>
      </c>
      <c r="D15" s="196" t="s">
        <v>1438</v>
      </c>
      <c r="E15" s="196">
        <v>0.17</v>
      </c>
      <c r="F15" s="305" t="s">
        <v>2021</v>
      </c>
      <c r="G15" s="305" t="s">
        <v>2022</v>
      </c>
      <c r="H15" s="196" t="s">
        <v>1439</v>
      </c>
      <c r="I15" s="196" t="s">
        <v>1440</v>
      </c>
      <c r="J15" s="196">
        <v>202</v>
      </c>
      <c r="K15" s="196" t="s">
        <v>1441</v>
      </c>
      <c r="L15" s="215">
        <v>2758</v>
      </c>
      <c r="M15" s="216">
        <v>693</v>
      </c>
      <c r="N15" s="241"/>
      <c r="O15" s="241"/>
      <c r="P15" s="216">
        <v>8142625</v>
      </c>
      <c r="Q15" s="216">
        <v>840000</v>
      </c>
      <c r="R15" s="241">
        <v>0</v>
      </c>
      <c r="S15" s="241">
        <v>0</v>
      </c>
      <c r="T15" s="241">
        <v>0</v>
      </c>
      <c r="U15" s="241">
        <v>0</v>
      </c>
      <c r="V15" s="241">
        <v>0</v>
      </c>
      <c r="W15" s="241">
        <v>0</v>
      </c>
      <c r="X15" s="241">
        <v>0</v>
      </c>
      <c r="Y15" s="241">
        <v>0</v>
      </c>
      <c r="Z15" s="241">
        <v>0</v>
      </c>
      <c r="AA15" s="216" t="s">
        <v>1442</v>
      </c>
      <c r="AB15" s="241">
        <v>0</v>
      </c>
      <c r="AC15" s="241">
        <v>0</v>
      </c>
      <c r="AD15" s="241">
        <v>0</v>
      </c>
      <c r="AE15" s="241">
        <v>0</v>
      </c>
      <c r="AF15" s="241">
        <v>0</v>
      </c>
      <c r="AG15" s="198" t="s">
        <v>1443</v>
      </c>
      <c r="AH15" s="241" t="s">
        <v>1444</v>
      </c>
      <c r="AI15" s="241" t="s">
        <v>1445</v>
      </c>
      <c r="AJ15" s="241" t="s">
        <v>1446</v>
      </c>
      <c r="AK15" s="216">
        <f>3000</f>
        <v>3000</v>
      </c>
      <c r="AL15" s="216">
        <f>6420000</f>
        <v>6420000</v>
      </c>
      <c r="AM15" s="315">
        <f>1000</f>
        <v>1000</v>
      </c>
      <c r="AN15" s="241" t="s">
        <v>554</v>
      </c>
      <c r="AO15" s="241" t="s">
        <v>554</v>
      </c>
      <c r="AP15" s="241" t="s">
        <v>554</v>
      </c>
      <c r="AQ15" s="241" t="s">
        <v>554</v>
      </c>
      <c r="AR15" s="241" t="s">
        <v>554</v>
      </c>
      <c r="AS15" s="241" t="s">
        <v>554</v>
      </c>
      <c r="AT15" s="241" t="s">
        <v>554</v>
      </c>
      <c r="AU15" s="241" t="s">
        <v>554</v>
      </c>
      <c r="AV15" s="241" t="s">
        <v>554</v>
      </c>
      <c r="AW15" s="241" t="s">
        <v>554</v>
      </c>
      <c r="AX15" s="241" t="s">
        <v>554</v>
      </c>
      <c r="AY15" s="241" t="s">
        <v>554</v>
      </c>
      <c r="AZ15" s="196" t="s">
        <v>1431</v>
      </c>
      <c r="BA15" s="241"/>
    </row>
    <row r="16" spans="1:53" ht="45" x14ac:dyDescent="0.25">
      <c r="A16" s="103"/>
      <c r="B16" s="103"/>
      <c r="C16" s="106"/>
      <c r="D16" s="107"/>
      <c r="E16" s="106"/>
      <c r="F16" s="107"/>
      <c r="G16" s="103"/>
      <c r="H16" s="106"/>
      <c r="I16" s="104"/>
      <c r="J16" s="106"/>
      <c r="K16" s="136"/>
      <c r="L16" s="223"/>
      <c r="M16" s="224"/>
      <c r="N16" s="239"/>
      <c r="O16" s="239"/>
      <c r="P16" s="318"/>
      <c r="Q16" s="224">
        <v>840000</v>
      </c>
      <c r="R16" s="239"/>
      <c r="S16" s="239"/>
      <c r="T16" s="239"/>
      <c r="U16" s="239"/>
      <c r="V16" s="239"/>
      <c r="W16" s="239"/>
      <c r="X16" s="239"/>
      <c r="Y16" s="239"/>
      <c r="Z16" s="239"/>
      <c r="AA16" s="226" t="s">
        <v>1442</v>
      </c>
      <c r="AB16" s="239"/>
      <c r="AC16" s="239"/>
      <c r="AD16" s="239"/>
      <c r="AE16" s="239"/>
      <c r="AF16" s="239"/>
      <c r="AG16" s="394" t="s">
        <v>1443</v>
      </c>
      <c r="AH16" s="319" t="s">
        <v>1444</v>
      </c>
      <c r="AI16" s="233" t="s">
        <v>1445</v>
      </c>
      <c r="AJ16" s="233" t="s">
        <v>1446</v>
      </c>
      <c r="AK16" s="227">
        <v>3000</v>
      </c>
      <c r="AL16" s="227">
        <v>6420000</v>
      </c>
      <c r="AM16" s="229">
        <v>1000</v>
      </c>
      <c r="AN16" s="105" t="s">
        <v>554</v>
      </c>
      <c r="AO16" s="105" t="s">
        <v>554</v>
      </c>
      <c r="AP16" s="105" t="s">
        <v>554</v>
      </c>
      <c r="AQ16" s="105" t="s">
        <v>554</v>
      </c>
      <c r="AR16" s="105" t="s">
        <v>554</v>
      </c>
      <c r="AS16" s="105" t="s">
        <v>554</v>
      </c>
      <c r="AT16" s="105" t="s">
        <v>554</v>
      </c>
      <c r="AU16" s="105" t="s">
        <v>554</v>
      </c>
      <c r="AV16" s="105" t="s">
        <v>554</v>
      </c>
      <c r="AW16" s="105" t="s">
        <v>554</v>
      </c>
      <c r="AX16" s="105" t="s">
        <v>554</v>
      </c>
      <c r="AY16" s="105" t="s">
        <v>554</v>
      </c>
      <c r="AZ16" s="106" t="s">
        <v>1431</v>
      </c>
      <c r="BA16" s="239"/>
    </row>
    <row r="17" spans="1:53" ht="135" x14ac:dyDescent="0.25">
      <c r="A17" s="195" t="s">
        <v>438</v>
      </c>
      <c r="B17" s="195" t="s">
        <v>1423</v>
      </c>
      <c r="C17" s="196" t="s">
        <v>1447</v>
      </c>
      <c r="D17" s="197" t="s">
        <v>1448</v>
      </c>
      <c r="E17" s="196">
        <v>0</v>
      </c>
      <c r="F17" s="197" t="s">
        <v>2021</v>
      </c>
      <c r="G17" s="195" t="s">
        <v>2022</v>
      </c>
      <c r="H17" s="196" t="s">
        <v>1447</v>
      </c>
      <c r="I17" s="198" t="s">
        <v>1448</v>
      </c>
      <c r="J17" s="196">
        <v>1</v>
      </c>
      <c r="K17" s="196" t="s">
        <v>527</v>
      </c>
      <c r="L17" s="215">
        <v>100</v>
      </c>
      <c r="M17" s="230">
        <v>1</v>
      </c>
      <c r="N17" s="222"/>
      <c r="O17" s="222"/>
      <c r="P17" s="320">
        <v>1250000</v>
      </c>
      <c r="Q17" s="222"/>
      <c r="R17" s="222"/>
      <c r="S17" s="222"/>
      <c r="T17" s="222"/>
      <c r="U17" s="222"/>
      <c r="V17" s="222"/>
      <c r="W17" s="222"/>
      <c r="X17" s="222"/>
      <c r="Y17" s="222"/>
      <c r="Z17" s="222"/>
      <c r="AA17" s="222"/>
      <c r="AB17" s="222"/>
      <c r="AC17" s="222"/>
      <c r="AD17" s="222"/>
      <c r="AE17" s="222"/>
      <c r="AF17" s="222"/>
      <c r="AG17" s="198"/>
      <c r="AH17" s="222"/>
      <c r="AI17" s="222"/>
      <c r="AJ17" s="241"/>
      <c r="AK17" s="222"/>
      <c r="AL17" s="222"/>
      <c r="AM17" s="222"/>
      <c r="AN17" s="222"/>
      <c r="AO17" s="222"/>
      <c r="AP17" s="222"/>
      <c r="AQ17" s="222"/>
      <c r="AR17" s="222"/>
      <c r="AS17" s="222"/>
      <c r="AT17" s="222"/>
      <c r="AU17" s="222"/>
      <c r="AV17" s="222"/>
      <c r="AW17" s="222"/>
      <c r="AX17" s="222"/>
      <c r="AY17" s="222"/>
      <c r="AZ17" s="196" t="s">
        <v>1431</v>
      </c>
      <c r="BA17" s="222"/>
    </row>
    <row r="18" spans="1:53" ht="90" x14ac:dyDescent="0.25">
      <c r="A18" s="196" t="s">
        <v>1245</v>
      </c>
      <c r="B18" s="196" t="s">
        <v>1449</v>
      </c>
      <c r="C18" s="196" t="s">
        <v>1450</v>
      </c>
      <c r="D18" s="196" t="s">
        <v>1451</v>
      </c>
      <c r="E18" s="196">
        <v>0.91</v>
      </c>
      <c r="F18" s="306" t="s">
        <v>2023</v>
      </c>
      <c r="G18" s="305" t="s">
        <v>2024</v>
      </c>
      <c r="H18" s="196" t="s">
        <v>1452</v>
      </c>
      <c r="I18" s="196" t="s">
        <v>1453</v>
      </c>
      <c r="J18" s="196">
        <v>238875</v>
      </c>
      <c r="K18" s="196" t="s">
        <v>1441</v>
      </c>
      <c r="L18" s="215">
        <v>5000</v>
      </c>
      <c r="M18" s="216">
        <v>1300</v>
      </c>
      <c r="N18" s="241"/>
      <c r="O18" s="241"/>
      <c r="P18" s="216">
        <v>23582000</v>
      </c>
      <c r="Q18" s="216">
        <f>227000</f>
        <v>227000</v>
      </c>
      <c r="R18" s="241">
        <v>0</v>
      </c>
      <c r="S18" s="241">
        <v>0</v>
      </c>
      <c r="T18" s="241">
        <v>0</v>
      </c>
      <c r="U18" s="241">
        <v>0</v>
      </c>
      <c r="V18" s="216">
        <f>10606917</f>
        <v>10606917</v>
      </c>
      <c r="W18" s="241">
        <v>0</v>
      </c>
      <c r="X18" s="241">
        <v>0</v>
      </c>
      <c r="Y18" s="241">
        <v>0</v>
      </c>
      <c r="Z18" s="241">
        <v>0</v>
      </c>
      <c r="AA18" s="216">
        <f>SUM(AA19:AA20)</f>
        <v>0</v>
      </c>
      <c r="AB18" s="241">
        <v>0</v>
      </c>
      <c r="AC18" s="241">
        <v>0</v>
      </c>
      <c r="AD18" s="216">
        <f>12890640</f>
        <v>12890640</v>
      </c>
      <c r="AE18" s="241">
        <v>0</v>
      </c>
      <c r="AF18" s="241">
        <v>0</v>
      </c>
      <c r="AG18" s="198" t="s">
        <v>1454</v>
      </c>
      <c r="AH18" s="284">
        <v>2018000030145</v>
      </c>
      <c r="AI18" s="196" t="s">
        <v>1455</v>
      </c>
      <c r="AJ18" s="241" t="s">
        <v>1456</v>
      </c>
      <c r="AK18" s="216">
        <f>563</f>
        <v>563</v>
      </c>
      <c r="AL18" s="216">
        <f>12890640+10606917</f>
        <v>23497557</v>
      </c>
      <c r="AM18" s="315">
        <f>800+563</f>
        <v>1363</v>
      </c>
      <c r="AN18" s="241" t="s">
        <v>554</v>
      </c>
      <c r="AO18" s="241" t="s">
        <v>554</v>
      </c>
      <c r="AP18" s="241" t="s">
        <v>554</v>
      </c>
      <c r="AQ18" s="241" t="s">
        <v>554</v>
      </c>
      <c r="AR18" s="241" t="s">
        <v>554</v>
      </c>
      <c r="AS18" s="241" t="s">
        <v>554</v>
      </c>
      <c r="AT18" s="241" t="s">
        <v>554</v>
      </c>
      <c r="AU18" s="241" t="s">
        <v>554</v>
      </c>
      <c r="AV18" s="241" t="s">
        <v>554</v>
      </c>
      <c r="AW18" s="241" t="s">
        <v>554</v>
      </c>
      <c r="AX18" s="241" t="s">
        <v>554</v>
      </c>
      <c r="AY18" s="241" t="s">
        <v>554</v>
      </c>
      <c r="AZ18" s="196" t="s">
        <v>1457</v>
      </c>
      <c r="BA18" s="241"/>
    </row>
    <row r="19" spans="1:53" ht="45" x14ac:dyDescent="0.25">
      <c r="A19" s="107"/>
      <c r="B19" s="107"/>
      <c r="C19" s="106"/>
      <c r="D19" s="103"/>
      <c r="E19" s="106"/>
      <c r="F19" s="307"/>
      <c r="G19" s="107"/>
      <c r="H19" s="106"/>
      <c r="I19" s="107"/>
      <c r="J19" s="106"/>
      <c r="K19" s="106"/>
      <c r="L19" s="223"/>
      <c r="M19" s="224"/>
      <c r="N19" s="239"/>
      <c r="O19" s="239"/>
      <c r="P19" s="316"/>
      <c r="Q19" s="226">
        <v>227000</v>
      </c>
      <c r="R19" s="239"/>
      <c r="S19" s="239"/>
      <c r="T19" s="239"/>
      <c r="U19" s="239"/>
      <c r="V19" s="239"/>
      <c r="W19" s="239"/>
      <c r="X19" s="239"/>
      <c r="Y19" s="239"/>
      <c r="Z19" s="239"/>
      <c r="AA19" s="239"/>
      <c r="AB19" s="239"/>
      <c r="AC19" s="239"/>
      <c r="AD19" s="271">
        <v>12890640</v>
      </c>
      <c r="AE19" s="239"/>
      <c r="AF19" s="239"/>
      <c r="AG19" s="395" t="s">
        <v>1458</v>
      </c>
      <c r="AH19" s="321"/>
      <c r="AI19" s="322" t="s">
        <v>1459</v>
      </c>
      <c r="AJ19" s="322" t="s">
        <v>1460</v>
      </c>
      <c r="AK19" s="231"/>
      <c r="AL19" s="231">
        <v>12890640</v>
      </c>
      <c r="AM19" s="232">
        <v>800</v>
      </c>
      <c r="AN19" s="105" t="s">
        <v>554</v>
      </c>
      <c r="AO19" s="105" t="s">
        <v>554</v>
      </c>
      <c r="AP19" s="105" t="s">
        <v>554</v>
      </c>
      <c r="AQ19" s="105" t="s">
        <v>554</v>
      </c>
      <c r="AR19" s="105" t="s">
        <v>554</v>
      </c>
      <c r="AS19" s="105" t="s">
        <v>554</v>
      </c>
      <c r="AT19" s="105" t="s">
        <v>554</v>
      </c>
      <c r="AU19" s="105" t="s">
        <v>554</v>
      </c>
      <c r="AV19" s="105" t="s">
        <v>554</v>
      </c>
      <c r="AW19" s="105" t="s">
        <v>554</v>
      </c>
      <c r="AX19" s="105" t="s">
        <v>554</v>
      </c>
      <c r="AY19" s="105" t="s">
        <v>554</v>
      </c>
      <c r="AZ19" s="106" t="s">
        <v>1457</v>
      </c>
      <c r="BA19" s="239"/>
    </row>
    <row r="20" spans="1:53" ht="63.75" x14ac:dyDescent="0.25">
      <c r="A20" s="107"/>
      <c r="B20" s="107"/>
      <c r="C20" s="106"/>
      <c r="D20" s="103"/>
      <c r="E20" s="106"/>
      <c r="F20" s="307"/>
      <c r="G20" s="107"/>
      <c r="H20" s="106"/>
      <c r="I20" s="107"/>
      <c r="J20" s="106"/>
      <c r="K20" s="106"/>
      <c r="L20" s="223"/>
      <c r="M20" s="224"/>
      <c r="N20" s="239"/>
      <c r="O20" s="239"/>
      <c r="P20" s="316"/>
      <c r="Q20" s="239"/>
      <c r="R20" s="239"/>
      <c r="S20" s="239"/>
      <c r="T20" s="239"/>
      <c r="U20" s="239"/>
      <c r="V20" s="271">
        <v>10606917</v>
      </c>
      <c r="W20" s="271"/>
      <c r="X20" s="239"/>
      <c r="Y20" s="239"/>
      <c r="Z20" s="239"/>
      <c r="AA20" s="226"/>
      <c r="AB20" s="239"/>
      <c r="AC20" s="239"/>
      <c r="AD20" s="239"/>
      <c r="AE20" s="239"/>
      <c r="AF20" s="239"/>
      <c r="AG20" s="395" t="s">
        <v>1461</v>
      </c>
      <c r="AH20" s="321">
        <v>2018000030145</v>
      </c>
      <c r="AI20" s="322" t="s">
        <v>1462</v>
      </c>
      <c r="AJ20" s="322" t="s">
        <v>1463</v>
      </c>
      <c r="AK20" s="231">
        <v>563</v>
      </c>
      <c r="AL20" s="231">
        <f>10606916936/1000</f>
        <v>10606916.936000001</v>
      </c>
      <c r="AM20" s="232">
        <v>563</v>
      </c>
      <c r="AN20" s="105" t="s">
        <v>554</v>
      </c>
      <c r="AO20" s="105" t="s">
        <v>554</v>
      </c>
      <c r="AP20" s="105" t="s">
        <v>554</v>
      </c>
      <c r="AQ20" s="105" t="s">
        <v>554</v>
      </c>
      <c r="AR20" s="105" t="s">
        <v>554</v>
      </c>
      <c r="AS20" s="105" t="s">
        <v>554</v>
      </c>
      <c r="AT20" s="105" t="s">
        <v>554</v>
      </c>
      <c r="AU20" s="105" t="s">
        <v>554</v>
      </c>
      <c r="AV20" s="105" t="s">
        <v>554</v>
      </c>
      <c r="AW20" s="105" t="s">
        <v>554</v>
      </c>
      <c r="AX20" s="105" t="s">
        <v>554</v>
      </c>
      <c r="AY20" s="105" t="s">
        <v>554</v>
      </c>
      <c r="AZ20" s="106" t="s">
        <v>1457</v>
      </c>
      <c r="BA20" s="239"/>
    </row>
    <row r="21" spans="1:53" ht="150" x14ac:dyDescent="0.25">
      <c r="A21" s="196" t="s">
        <v>1245</v>
      </c>
      <c r="B21" s="196" t="s">
        <v>1449</v>
      </c>
      <c r="C21" s="196" t="s">
        <v>1464</v>
      </c>
      <c r="D21" s="196" t="s">
        <v>1465</v>
      </c>
      <c r="E21" s="196">
        <v>58.46</v>
      </c>
      <c r="F21" s="306" t="s">
        <v>2025</v>
      </c>
      <c r="G21" s="305" t="s">
        <v>2026</v>
      </c>
      <c r="H21" s="196" t="s">
        <v>1466</v>
      </c>
      <c r="I21" s="196" t="s">
        <v>1467</v>
      </c>
      <c r="J21" s="196">
        <v>0</v>
      </c>
      <c r="K21" s="196" t="s">
        <v>1441</v>
      </c>
      <c r="L21" s="215">
        <v>2</v>
      </c>
      <c r="M21" s="241">
        <v>0</v>
      </c>
      <c r="N21" s="241"/>
      <c r="O21" s="241"/>
      <c r="P21" s="216">
        <v>0</v>
      </c>
      <c r="Q21" s="241">
        <v>0</v>
      </c>
      <c r="R21" s="241">
        <v>0</v>
      </c>
      <c r="S21" s="241">
        <v>0</v>
      </c>
      <c r="T21" s="241">
        <v>0</v>
      </c>
      <c r="U21" s="241">
        <v>0</v>
      </c>
      <c r="V21" s="216">
        <f>+V22+V23</f>
        <v>531356</v>
      </c>
      <c r="W21" s="241">
        <v>0</v>
      </c>
      <c r="X21" s="241">
        <v>0</v>
      </c>
      <c r="Y21" s="241">
        <v>0</v>
      </c>
      <c r="Z21" s="241">
        <v>0</v>
      </c>
      <c r="AA21" s="241">
        <v>0</v>
      </c>
      <c r="AB21" s="241">
        <v>0</v>
      </c>
      <c r="AC21" s="241">
        <v>0</v>
      </c>
      <c r="AD21" s="241">
        <v>0</v>
      </c>
      <c r="AE21" s="241">
        <v>0</v>
      </c>
      <c r="AF21" s="241">
        <v>0</v>
      </c>
      <c r="AG21" s="198" t="s">
        <v>1468</v>
      </c>
      <c r="AH21" s="323" t="s">
        <v>1469</v>
      </c>
      <c r="AI21" s="241" t="s">
        <v>1470</v>
      </c>
      <c r="AJ21" s="241" t="s">
        <v>1471</v>
      </c>
      <c r="AK21" s="281">
        <f>1404205+32588</f>
        <v>1436793</v>
      </c>
      <c r="AL21" s="281">
        <f>531356+185038</f>
        <v>716394</v>
      </c>
      <c r="AM21" s="315">
        <f>1+1</f>
        <v>2</v>
      </c>
      <c r="AN21" s="241" t="s">
        <v>536</v>
      </c>
      <c r="AO21" s="241" t="s">
        <v>536</v>
      </c>
      <c r="AP21" s="241" t="s">
        <v>536</v>
      </c>
      <c r="AQ21" s="241" t="s">
        <v>536</v>
      </c>
      <c r="AR21" s="241" t="s">
        <v>536</v>
      </c>
      <c r="AS21" s="241" t="s">
        <v>536</v>
      </c>
      <c r="AT21" s="241"/>
      <c r="AU21" s="241"/>
      <c r="AV21" s="241"/>
      <c r="AW21" s="241"/>
      <c r="AX21" s="241"/>
      <c r="AY21" s="241"/>
      <c r="AZ21" s="196" t="s">
        <v>1457</v>
      </c>
      <c r="BA21" s="241"/>
    </row>
    <row r="22" spans="1:53" ht="75" x14ac:dyDescent="0.25">
      <c r="A22" s="107"/>
      <c r="B22" s="107"/>
      <c r="C22" s="106"/>
      <c r="D22" s="107"/>
      <c r="E22" s="106"/>
      <c r="F22" s="307"/>
      <c r="G22" s="106"/>
      <c r="H22" s="106"/>
      <c r="I22" s="107"/>
      <c r="J22" s="106"/>
      <c r="K22" s="106"/>
      <c r="L22" s="223"/>
      <c r="M22" s="105"/>
      <c r="N22" s="239"/>
      <c r="O22" s="239"/>
      <c r="P22" s="324"/>
      <c r="Q22" s="239"/>
      <c r="R22" s="239"/>
      <c r="S22" s="239"/>
      <c r="T22" s="239"/>
      <c r="U22" s="239"/>
      <c r="V22" s="226">
        <v>531356</v>
      </c>
      <c r="W22" s="239"/>
      <c r="X22" s="239"/>
      <c r="Y22" s="239"/>
      <c r="Z22" s="239"/>
      <c r="AA22" s="239"/>
      <c r="AB22" s="239"/>
      <c r="AC22" s="239"/>
      <c r="AD22" s="239"/>
      <c r="AE22" s="239"/>
      <c r="AF22" s="239"/>
      <c r="AG22" s="394" t="s">
        <v>1472</v>
      </c>
      <c r="AH22" s="234">
        <v>201800319097</v>
      </c>
      <c r="AI22" s="235" t="s">
        <v>1436</v>
      </c>
      <c r="AJ22" s="235" t="s">
        <v>1471</v>
      </c>
      <c r="AK22" s="227">
        <v>1404205</v>
      </c>
      <c r="AL22" s="227">
        <v>531355.73600000003</v>
      </c>
      <c r="AM22" s="229">
        <v>1</v>
      </c>
      <c r="AN22" s="174" t="s">
        <v>536</v>
      </c>
      <c r="AO22" s="174" t="s">
        <v>536</v>
      </c>
      <c r="AP22" s="174" t="s">
        <v>536</v>
      </c>
      <c r="AQ22" s="174" t="s">
        <v>536</v>
      </c>
      <c r="AR22" s="174" t="s">
        <v>536</v>
      </c>
      <c r="AS22" s="174" t="s">
        <v>536</v>
      </c>
      <c r="AT22" s="239"/>
      <c r="AU22" s="239"/>
      <c r="AV22" s="239"/>
      <c r="AW22" s="239"/>
      <c r="AX22" s="239"/>
      <c r="AY22" s="239"/>
      <c r="AZ22" s="106" t="s">
        <v>1457</v>
      </c>
      <c r="BA22" s="103"/>
    </row>
    <row r="23" spans="1:53" ht="75" x14ac:dyDescent="0.25">
      <c r="A23" s="107"/>
      <c r="B23" s="107"/>
      <c r="C23" s="106"/>
      <c r="D23" s="107"/>
      <c r="E23" s="106"/>
      <c r="F23" s="307"/>
      <c r="G23" s="106"/>
      <c r="H23" s="106"/>
      <c r="I23" s="107"/>
      <c r="J23" s="106"/>
      <c r="K23" s="106"/>
      <c r="L23" s="223"/>
      <c r="M23" s="105"/>
      <c r="N23" s="239"/>
      <c r="O23" s="239"/>
      <c r="P23" s="324"/>
      <c r="Q23" s="271">
        <f>185037845/1000</f>
        <v>185037.845</v>
      </c>
      <c r="R23" s="239"/>
      <c r="S23" s="239"/>
      <c r="T23" s="239"/>
      <c r="U23" s="239"/>
      <c r="V23" s="239"/>
      <c r="W23" s="239"/>
      <c r="X23" s="239"/>
      <c r="Y23" s="239"/>
      <c r="Z23" s="239"/>
      <c r="AA23" s="239"/>
      <c r="AB23" s="239"/>
      <c r="AC23" s="239"/>
      <c r="AD23" s="239"/>
      <c r="AE23" s="239"/>
      <c r="AF23" s="239"/>
      <c r="AG23" s="394" t="s">
        <v>1473</v>
      </c>
      <c r="AH23" s="234">
        <v>2018003190122</v>
      </c>
      <c r="AI23" s="235" t="s">
        <v>1474</v>
      </c>
      <c r="AJ23" s="235" t="s">
        <v>1475</v>
      </c>
      <c r="AK23" s="325">
        <v>32588</v>
      </c>
      <c r="AL23" s="325">
        <f>185037845/1000</f>
        <v>185037.845</v>
      </c>
      <c r="AM23" s="229">
        <v>1</v>
      </c>
      <c r="AN23" s="174" t="s">
        <v>536</v>
      </c>
      <c r="AO23" s="174" t="s">
        <v>536</v>
      </c>
      <c r="AP23" s="174" t="s">
        <v>536</v>
      </c>
      <c r="AQ23" s="174" t="s">
        <v>536</v>
      </c>
      <c r="AR23" s="174" t="s">
        <v>536</v>
      </c>
      <c r="AS23" s="174" t="s">
        <v>536</v>
      </c>
      <c r="AT23" s="239"/>
      <c r="AU23" s="239"/>
      <c r="AV23" s="239"/>
      <c r="AW23" s="239"/>
      <c r="AX23" s="239"/>
      <c r="AY23" s="239"/>
      <c r="AZ23" s="106" t="s">
        <v>1457</v>
      </c>
      <c r="BA23" s="106"/>
    </row>
    <row r="24" spans="1:53" ht="150" x14ac:dyDescent="0.25">
      <c r="A24" s="197" t="s">
        <v>1245</v>
      </c>
      <c r="B24" s="197" t="s">
        <v>1449</v>
      </c>
      <c r="C24" s="196" t="s">
        <v>1476</v>
      </c>
      <c r="D24" s="197" t="s">
        <v>1477</v>
      </c>
      <c r="E24" s="196" t="s">
        <v>1478</v>
      </c>
      <c r="F24" s="308" t="s">
        <v>2027</v>
      </c>
      <c r="G24" s="197" t="s">
        <v>2028</v>
      </c>
      <c r="H24" s="196" t="s">
        <v>1479</v>
      </c>
      <c r="I24" s="197" t="s">
        <v>1480</v>
      </c>
      <c r="J24" s="196">
        <v>1</v>
      </c>
      <c r="K24" s="196" t="s">
        <v>1441</v>
      </c>
      <c r="L24" s="215">
        <v>5</v>
      </c>
      <c r="M24" s="216">
        <v>1</v>
      </c>
      <c r="N24" s="222"/>
      <c r="O24" s="222"/>
      <c r="P24" s="326">
        <v>856400</v>
      </c>
      <c r="Q24" s="216">
        <f>258756+275670</f>
        <v>534426</v>
      </c>
      <c r="R24" s="216">
        <f t="shared" ref="R24:U24" si="0">+R25+R26+R27</f>
        <v>0</v>
      </c>
      <c r="S24" s="216">
        <f t="shared" si="0"/>
        <v>0</v>
      </c>
      <c r="T24" s="216">
        <f t="shared" si="0"/>
        <v>0</v>
      </c>
      <c r="U24" s="216">
        <f t="shared" si="0"/>
        <v>0</v>
      </c>
      <c r="V24" s="216">
        <f>+V25+V26+V27</f>
        <v>0</v>
      </c>
      <c r="W24" s="216">
        <f>194536</f>
        <v>194536</v>
      </c>
      <c r="X24" s="222"/>
      <c r="Y24" s="222"/>
      <c r="Z24" s="222"/>
      <c r="AA24" s="222"/>
      <c r="AB24" s="222"/>
      <c r="AC24" s="222"/>
      <c r="AD24" s="222"/>
      <c r="AE24" s="222"/>
      <c r="AF24" s="222"/>
      <c r="AG24" s="198" t="s">
        <v>1481</v>
      </c>
      <c r="AH24" s="222"/>
      <c r="AI24" s="195" t="s">
        <v>1482</v>
      </c>
      <c r="AJ24" s="196" t="s">
        <v>1483</v>
      </c>
      <c r="AK24" s="222"/>
      <c r="AL24" s="222"/>
      <c r="AM24" s="222"/>
      <c r="AN24" s="222"/>
      <c r="AO24" s="222" t="s">
        <v>536</v>
      </c>
      <c r="AP24" s="222" t="s">
        <v>536</v>
      </c>
      <c r="AQ24" s="222" t="s">
        <v>536</v>
      </c>
      <c r="AR24" s="222" t="s">
        <v>536</v>
      </c>
      <c r="AS24" s="222" t="s">
        <v>536</v>
      </c>
      <c r="AT24" s="222" t="s">
        <v>536</v>
      </c>
      <c r="AU24" s="222"/>
      <c r="AV24" s="222"/>
      <c r="AW24" s="222"/>
      <c r="AX24" s="222"/>
      <c r="AY24" s="222"/>
      <c r="AZ24" s="222"/>
      <c r="BA24" s="222"/>
    </row>
    <row r="25" spans="1:53" ht="60" x14ac:dyDescent="0.25">
      <c r="A25" s="107"/>
      <c r="B25" s="107"/>
      <c r="C25" s="106"/>
      <c r="D25" s="107"/>
      <c r="E25" s="106"/>
      <c r="F25" s="307"/>
      <c r="G25" s="107"/>
      <c r="H25" s="199"/>
      <c r="I25" s="200"/>
      <c r="J25" s="199"/>
      <c r="K25" s="106"/>
      <c r="L25" s="238"/>
      <c r="M25" s="224"/>
      <c r="N25" s="239"/>
      <c r="O25" s="239"/>
      <c r="P25" s="316"/>
      <c r="Q25" s="226">
        <v>258756</v>
      </c>
      <c r="R25" s="239"/>
      <c r="S25" s="239"/>
      <c r="T25" s="239"/>
      <c r="U25" s="239"/>
      <c r="V25" s="239"/>
      <c r="W25" s="239"/>
      <c r="X25" s="239"/>
      <c r="Y25" s="239"/>
      <c r="Z25" s="239"/>
      <c r="AA25" s="239"/>
      <c r="AB25" s="239"/>
      <c r="AC25" s="239"/>
      <c r="AD25" s="239"/>
      <c r="AE25" s="239"/>
      <c r="AF25" s="239"/>
      <c r="AG25" s="394" t="s">
        <v>1484</v>
      </c>
      <c r="AH25" s="234"/>
      <c r="AI25" s="235" t="s">
        <v>1474</v>
      </c>
      <c r="AJ25" s="235" t="s">
        <v>1434</v>
      </c>
      <c r="AK25" s="234"/>
      <c r="AL25" s="325"/>
      <c r="AM25" s="235"/>
      <c r="AN25" s="239"/>
      <c r="AO25" s="174" t="s">
        <v>536</v>
      </c>
      <c r="AP25" s="174" t="s">
        <v>536</v>
      </c>
      <c r="AQ25" s="174" t="s">
        <v>536</v>
      </c>
      <c r="AR25" s="174" t="s">
        <v>536</v>
      </c>
      <c r="AS25" s="174" t="s">
        <v>536</v>
      </c>
      <c r="AT25" s="239"/>
      <c r="AU25" s="239"/>
      <c r="AV25" s="239"/>
      <c r="AW25" s="239"/>
      <c r="AX25" s="239"/>
      <c r="AY25" s="239"/>
      <c r="AZ25" s="239"/>
      <c r="BA25" s="239"/>
    </row>
    <row r="26" spans="1:53" ht="60" x14ac:dyDescent="0.25">
      <c r="A26" s="107"/>
      <c r="B26" s="107"/>
      <c r="C26" s="106"/>
      <c r="D26" s="107"/>
      <c r="E26" s="106"/>
      <c r="F26" s="307"/>
      <c r="G26" s="107"/>
      <c r="H26" s="199"/>
      <c r="I26" s="200"/>
      <c r="J26" s="199"/>
      <c r="K26" s="106"/>
      <c r="L26" s="238"/>
      <c r="M26" s="224"/>
      <c r="N26" s="239"/>
      <c r="O26" s="239"/>
      <c r="P26" s="316"/>
      <c r="Q26" s="226">
        <v>275670</v>
      </c>
      <c r="R26" s="239"/>
      <c r="S26" s="239"/>
      <c r="T26" s="239"/>
      <c r="U26" s="239"/>
      <c r="V26" s="239"/>
      <c r="W26" s="239"/>
      <c r="X26" s="239"/>
      <c r="Y26" s="239"/>
      <c r="Z26" s="239"/>
      <c r="AA26" s="239"/>
      <c r="AB26" s="239"/>
      <c r="AC26" s="239"/>
      <c r="AD26" s="239"/>
      <c r="AE26" s="239"/>
      <c r="AF26" s="239"/>
      <c r="AG26" s="396" t="s">
        <v>1485</v>
      </c>
      <c r="AH26" s="234"/>
      <c r="AI26" s="235" t="s">
        <v>1486</v>
      </c>
      <c r="AJ26" s="235" t="s">
        <v>1434</v>
      </c>
      <c r="AK26" s="234"/>
      <c r="AL26" s="325"/>
      <c r="AM26" s="235"/>
      <c r="AN26" s="239"/>
      <c r="AO26" s="174" t="s">
        <v>536</v>
      </c>
      <c r="AP26" s="174" t="s">
        <v>536</v>
      </c>
      <c r="AQ26" s="174" t="s">
        <v>536</v>
      </c>
      <c r="AR26" s="174" t="s">
        <v>536</v>
      </c>
      <c r="AS26" s="174" t="s">
        <v>536</v>
      </c>
      <c r="AT26" s="239"/>
      <c r="AU26" s="239"/>
      <c r="AV26" s="239"/>
      <c r="AW26" s="239"/>
      <c r="AX26" s="239"/>
      <c r="AY26" s="239"/>
      <c r="AZ26" s="239"/>
      <c r="BA26" s="239"/>
    </row>
    <row r="27" spans="1:53" ht="60" x14ac:dyDescent="0.25">
      <c r="A27" s="107"/>
      <c r="B27" s="107"/>
      <c r="C27" s="106"/>
      <c r="D27" s="107"/>
      <c r="E27" s="106"/>
      <c r="F27" s="307"/>
      <c r="G27" s="107"/>
      <c r="H27" s="199"/>
      <c r="I27" s="200"/>
      <c r="J27" s="199"/>
      <c r="K27" s="106"/>
      <c r="L27" s="238"/>
      <c r="M27" s="224"/>
      <c r="N27" s="239"/>
      <c r="O27" s="239"/>
      <c r="P27" s="316"/>
      <c r="Q27" s="226"/>
      <c r="R27" s="239"/>
      <c r="S27" s="239"/>
      <c r="T27" s="239"/>
      <c r="U27" s="239"/>
      <c r="V27" s="239"/>
      <c r="W27" s="226">
        <v>194536</v>
      </c>
      <c r="X27" s="239"/>
      <c r="Y27" s="239"/>
      <c r="Z27" s="239"/>
      <c r="AA27" s="239"/>
      <c r="AB27" s="239"/>
      <c r="AC27" s="239"/>
      <c r="AD27" s="239"/>
      <c r="AE27" s="239"/>
      <c r="AF27" s="239"/>
      <c r="AG27" s="397" t="s">
        <v>1487</v>
      </c>
      <c r="AH27" s="234"/>
      <c r="AI27" s="235" t="s">
        <v>1488</v>
      </c>
      <c r="AJ27" s="235" t="s">
        <v>1489</v>
      </c>
      <c r="AK27" s="234"/>
      <c r="AL27" s="325"/>
      <c r="AM27" s="235"/>
      <c r="AN27" s="239"/>
      <c r="AO27" s="239"/>
      <c r="AP27" s="239"/>
      <c r="AQ27" s="174" t="s">
        <v>536</v>
      </c>
      <c r="AR27" s="174" t="s">
        <v>536</v>
      </c>
      <c r="AS27" s="174" t="s">
        <v>536</v>
      </c>
      <c r="AT27" s="174" t="s">
        <v>536</v>
      </c>
      <c r="AU27" s="174" t="s">
        <v>536</v>
      </c>
      <c r="AV27" s="239"/>
      <c r="AW27" s="239"/>
      <c r="AX27" s="239"/>
      <c r="AY27" s="239"/>
      <c r="AZ27" s="239"/>
      <c r="BA27" s="239"/>
    </row>
    <row r="28" spans="1:53" ht="225" x14ac:dyDescent="0.25">
      <c r="A28" s="196" t="s">
        <v>1245</v>
      </c>
      <c r="B28" s="196" t="s">
        <v>1449</v>
      </c>
      <c r="C28" s="196" t="s">
        <v>1490</v>
      </c>
      <c r="D28" s="196" t="s">
        <v>1491</v>
      </c>
      <c r="E28" s="196" t="s">
        <v>1492</v>
      </c>
      <c r="F28" s="305" t="s">
        <v>2029</v>
      </c>
      <c r="G28" s="305" t="s">
        <v>2030</v>
      </c>
      <c r="H28" s="211" t="s">
        <v>1493</v>
      </c>
      <c r="I28" s="211" t="s">
        <v>1494</v>
      </c>
      <c r="J28" s="211" t="s">
        <v>1495</v>
      </c>
      <c r="K28" s="196" t="s">
        <v>527</v>
      </c>
      <c r="L28" s="217">
        <v>1878</v>
      </c>
      <c r="M28" s="215">
        <v>1878</v>
      </c>
      <c r="N28" s="241"/>
      <c r="O28" s="241"/>
      <c r="P28" s="327">
        <v>8000000</v>
      </c>
      <c r="Q28" s="327">
        <v>8000000</v>
      </c>
      <c r="R28" s="241">
        <v>0</v>
      </c>
      <c r="S28" s="241">
        <v>0</v>
      </c>
      <c r="T28" s="241">
        <v>0</v>
      </c>
      <c r="U28" s="241">
        <v>0</v>
      </c>
      <c r="V28" s="241">
        <v>0</v>
      </c>
      <c r="W28" s="241">
        <v>0</v>
      </c>
      <c r="X28" s="241">
        <v>0</v>
      </c>
      <c r="Y28" s="241">
        <v>0</v>
      </c>
      <c r="Z28" s="241">
        <v>0</v>
      </c>
      <c r="AA28" s="241">
        <v>0</v>
      </c>
      <c r="AB28" s="241">
        <v>0</v>
      </c>
      <c r="AC28" s="241">
        <v>0</v>
      </c>
      <c r="AD28" s="241">
        <v>0</v>
      </c>
      <c r="AE28" s="241">
        <v>0</v>
      </c>
      <c r="AF28" s="241">
        <v>0</v>
      </c>
      <c r="AG28" s="198" t="s">
        <v>1496</v>
      </c>
      <c r="AH28" s="284">
        <v>2018003190001</v>
      </c>
      <c r="AI28" s="196" t="s">
        <v>1497</v>
      </c>
      <c r="AJ28" s="196" t="s">
        <v>1498</v>
      </c>
      <c r="AK28" s="216">
        <f>524602</f>
        <v>524602</v>
      </c>
      <c r="AL28" s="216">
        <f>11268452</f>
        <v>11268452</v>
      </c>
      <c r="AM28" s="216">
        <f>1877</f>
        <v>1877</v>
      </c>
      <c r="AN28" s="241"/>
      <c r="AO28" s="241" t="s">
        <v>536</v>
      </c>
      <c r="AP28" s="241" t="s">
        <v>536</v>
      </c>
      <c r="AQ28" s="241" t="s">
        <v>536</v>
      </c>
      <c r="AR28" s="241" t="s">
        <v>536</v>
      </c>
      <c r="AS28" s="241" t="s">
        <v>536</v>
      </c>
      <c r="AT28" s="241" t="s">
        <v>536</v>
      </c>
      <c r="AU28" s="241" t="s">
        <v>536</v>
      </c>
      <c r="AV28" s="241" t="s">
        <v>536</v>
      </c>
      <c r="AW28" s="241" t="s">
        <v>536</v>
      </c>
      <c r="AX28" s="241" t="s">
        <v>536</v>
      </c>
      <c r="AY28" s="241" t="s">
        <v>536</v>
      </c>
      <c r="AZ28" s="196" t="s">
        <v>1499</v>
      </c>
      <c r="BA28" s="241"/>
    </row>
    <row r="29" spans="1:53" ht="195" x14ac:dyDescent="0.25">
      <c r="A29" s="107"/>
      <c r="B29" s="107"/>
      <c r="C29" s="106"/>
      <c r="D29" s="107"/>
      <c r="E29" s="106"/>
      <c r="F29" s="107"/>
      <c r="G29" s="106"/>
      <c r="H29" s="199"/>
      <c r="I29" s="199"/>
      <c r="J29" s="199"/>
      <c r="K29" s="106"/>
      <c r="L29" s="238"/>
      <c r="M29" s="223"/>
      <c r="N29" s="239"/>
      <c r="O29" s="239"/>
      <c r="P29" s="328"/>
      <c r="Q29" s="329">
        <v>8000000</v>
      </c>
      <c r="R29" s="239"/>
      <c r="S29" s="239"/>
      <c r="T29" s="239"/>
      <c r="U29" s="239"/>
      <c r="V29" s="239"/>
      <c r="W29" s="239"/>
      <c r="X29" s="239"/>
      <c r="Y29" s="239"/>
      <c r="Z29" s="239"/>
      <c r="AA29" s="239"/>
      <c r="AB29" s="239"/>
      <c r="AC29" s="239"/>
      <c r="AD29" s="239"/>
      <c r="AE29" s="239"/>
      <c r="AF29" s="239"/>
      <c r="AG29" s="398" t="s">
        <v>1496</v>
      </c>
      <c r="AH29" s="330">
        <v>2018003190001</v>
      </c>
      <c r="AI29" s="270" t="s">
        <v>1497</v>
      </c>
      <c r="AJ29" s="270" t="s">
        <v>1498</v>
      </c>
      <c r="AK29" s="240">
        <v>524602</v>
      </c>
      <c r="AL29" s="240">
        <v>11268452.027000001</v>
      </c>
      <c r="AM29" s="240">
        <v>1877</v>
      </c>
      <c r="AN29" s="239"/>
      <c r="AO29" s="105" t="s">
        <v>536</v>
      </c>
      <c r="AP29" s="105" t="s">
        <v>536</v>
      </c>
      <c r="AQ29" s="105" t="s">
        <v>536</v>
      </c>
      <c r="AR29" s="105" t="s">
        <v>536</v>
      </c>
      <c r="AS29" s="105" t="s">
        <v>536</v>
      </c>
      <c r="AT29" s="105" t="s">
        <v>536</v>
      </c>
      <c r="AU29" s="105" t="s">
        <v>536</v>
      </c>
      <c r="AV29" s="105" t="s">
        <v>536</v>
      </c>
      <c r="AW29" s="105" t="s">
        <v>536</v>
      </c>
      <c r="AX29" s="105" t="s">
        <v>536</v>
      </c>
      <c r="AY29" s="105" t="s">
        <v>536</v>
      </c>
      <c r="AZ29" s="106" t="s">
        <v>1499</v>
      </c>
      <c r="BA29" s="239"/>
    </row>
    <row r="30" spans="1:53" ht="240" x14ac:dyDescent="0.25">
      <c r="A30" s="196" t="s">
        <v>1245</v>
      </c>
      <c r="B30" s="196" t="s">
        <v>1449</v>
      </c>
      <c r="C30" s="196" t="s">
        <v>1500</v>
      </c>
      <c r="D30" s="196" t="s">
        <v>1501</v>
      </c>
      <c r="E30" s="196" t="s">
        <v>1502</v>
      </c>
      <c r="F30" s="305" t="s">
        <v>2031</v>
      </c>
      <c r="G30" s="305" t="s">
        <v>2032</v>
      </c>
      <c r="H30" s="196" t="s">
        <v>1503</v>
      </c>
      <c r="I30" s="196" t="s">
        <v>1504</v>
      </c>
      <c r="J30" s="196" t="s">
        <v>1505</v>
      </c>
      <c r="K30" s="196" t="s">
        <v>1441</v>
      </c>
      <c r="L30" s="215">
        <v>800</v>
      </c>
      <c r="M30" s="196">
        <v>175</v>
      </c>
      <c r="N30" s="241"/>
      <c r="O30" s="241"/>
      <c r="P30" s="216">
        <v>2406250</v>
      </c>
      <c r="Q30" s="281">
        <f>SUM(Q31:Q33)</f>
        <v>441498.09499999997</v>
      </c>
      <c r="R30" s="241">
        <v>0</v>
      </c>
      <c r="S30" s="241">
        <v>0</v>
      </c>
      <c r="T30" s="241">
        <v>0</v>
      </c>
      <c r="U30" s="241">
        <v>0</v>
      </c>
      <c r="V30" s="241">
        <v>0</v>
      </c>
      <c r="W30" s="241">
        <v>0</v>
      </c>
      <c r="X30" s="241">
        <v>0</v>
      </c>
      <c r="Y30" s="241">
        <v>0</v>
      </c>
      <c r="Z30" s="241">
        <v>0</v>
      </c>
      <c r="AA30" s="241">
        <v>0</v>
      </c>
      <c r="AB30" s="241">
        <v>0</v>
      </c>
      <c r="AC30" s="241">
        <v>0</v>
      </c>
      <c r="AD30" s="241">
        <v>0</v>
      </c>
      <c r="AE30" s="241">
        <v>0</v>
      </c>
      <c r="AF30" s="241">
        <v>0</v>
      </c>
      <c r="AG30" s="198" t="s">
        <v>1506</v>
      </c>
      <c r="AH30" s="196" t="s">
        <v>1507</v>
      </c>
      <c r="AI30" s="196" t="s">
        <v>1508</v>
      </c>
      <c r="AJ30" s="196" t="s">
        <v>1509</v>
      </c>
      <c r="AK30" s="241">
        <f>350390+2424</f>
        <v>352814</v>
      </c>
      <c r="AL30" s="281">
        <f>114684+168048+158767+1362590+223260</f>
        <v>2027349</v>
      </c>
      <c r="AM30" s="284">
        <f>15+21+20+126</f>
        <v>182</v>
      </c>
      <c r="AN30" s="241" t="s">
        <v>536</v>
      </c>
      <c r="AO30" s="241" t="s">
        <v>536</v>
      </c>
      <c r="AP30" s="241" t="s">
        <v>536</v>
      </c>
      <c r="AQ30" s="241" t="s">
        <v>536</v>
      </c>
      <c r="AR30" s="241" t="s">
        <v>536</v>
      </c>
      <c r="AS30" s="241" t="s">
        <v>536</v>
      </c>
      <c r="AT30" s="241" t="s">
        <v>536</v>
      </c>
      <c r="AU30" s="241" t="s">
        <v>536</v>
      </c>
      <c r="AV30" s="241" t="s">
        <v>536</v>
      </c>
      <c r="AW30" s="241" t="s">
        <v>536</v>
      </c>
      <c r="AX30" s="241" t="s">
        <v>536</v>
      </c>
      <c r="AY30" s="241" t="s">
        <v>536</v>
      </c>
      <c r="AZ30" s="241"/>
      <c r="BA30" s="241"/>
    </row>
    <row r="31" spans="1:53" ht="45" x14ac:dyDescent="0.25">
      <c r="A31" s="107"/>
      <c r="B31" s="107"/>
      <c r="C31" s="106"/>
      <c r="D31" s="107"/>
      <c r="E31" s="106"/>
      <c r="F31" s="107"/>
      <c r="G31" s="103"/>
      <c r="H31" s="106"/>
      <c r="I31" s="107"/>
      <c r="J31" s="106"/>
      <c r="K31" s="106"/>
      <c r="L31" s="223"/>
      <c r="M31" s="106"/>
      <c r="N31" s="239"/>
      <c r="O31" s="239"/>
      <c r="P31" s="316"/>
      <c r="Q31" s="286">
        <f>114683592/1000</f>
        <v>114683.592</v>
      </c>
      <c r="R31" s="239"/>
      <c r="S31" s="239"/>
      <c r="T31" s="239"/>
      <c r="U31" s="239"/>
      <c r="V31" s="239"/>
      <c r="W31" s="239"/>
      <c r="X31" s="239"/>
      <c r="Y31" s="239"/>
      <c r="Z31" s="239"/>
      <c r="AA31" s="239"/>
      <c r="AB31" s="239"/>
      <c r="AC31" s="239"/>
      <c r="AD31" s="239"/>
      <c r="AE31" s="239"/>
      <c r="AF31" s="239"/>
      <c r="AG31" s="399" t="s">
        <v>1510</v>
      </c>
      <c r="AH31" s="330">
        <v>2017003190271</v>
      </c>
      <c r="AI31" s="242" t="s">
        <v>1511</v>
      </c>
      <c r="AJ31" s="174" t="s">
        <v>1434</v>
      </c>
      <c r="AK31" s="274"/>
      <c r="AL31" s="331">
        <f>114683592/1000</f>
        <v>114683.592</v>
      </c>
      <c r="AM31" s="244">
        <v>14.618</v>
      </c>
      <c r="AN31" s="239"/>
      <c r="AO31" s="239"/>
      <c r="AP31" s="239"/>
      <c r="AQ31" s="239"/>
      <c r="AR31" s="239"/>
      <c r="AS31" s="239"/>
      <c r="AT31" s="239"/>
      <c r="AU31" s="239"/>
      <c r="AV31" s="239"/>
      <c r="AW31" s="239"/>
      <c r="AX31" s="239"/>
      <c r="AY31" s="239"/>
      <c r="AZ31" s="106" t="s">
        <v>1512</v>
      </c>
      <c r="BA31" s="239"/>
    </row>
    <row r="32" spans="1:53" ht="30" x14ac:dyDescent="0.25">
      <c r="A32" s="107"/>
      <c r="B32" s="107"/>
      <c r="C32" s="106"/>
      <c r="D32" s="107"/>
      <c r="E32" s="106"/>
      <c r="F32" s="107"/>
      <c r="G32" s="103"/>
      <c r="H32" s="106"/>
      <c r="I32" s="107"/>
      <c r="J32" s="106"/>
      <c r="K32" s="106"/>
      <c r="L32" s="223"/>
      <c r="M32" s="106"/>
      <c r="N32" s="239"/>
      <c r="O32" s="239"/>
      <c r="P32" s="316"/>
      <c r="Q32" s="286">
        <f>168047787/1000</f>
        <v>168047.78700000001</v>
      </c>
      <c r="R32" s="239"/>
      <c r="S32" s="239"/>
      <c r="T32" s="239"/>
      <c r="U32" s="239"/>
      <c r="V32" s="239"/>
      <c r="W32" s="239"/>
      <c r="X32" s="239"/>
      <c r="Y32" s="239"/>
      <c r="Z32" s="239"/>
      <c r="AA32" s="239"/>
      <c r="AB32" s="239"/>
      <c r="AC32" s="239"/>
      <c r="AD32" s="239"/>
      <c r="AE32" s="239"/>
      <c r="AF32" s="239"/>
      <c r="AG32" s="399" t="s">
        <v>1513</v>
      </c>
      <c r="AH32" s="330">
        <v>2017003190271</v>
      </c>
      <c r="AI32" s="242" t="s">
        <v>1514</v>
      </c>
      <c r="AJ32" s="136" t="s">
        <v>1515</v>
      </c>
      <c r="AK32" s="274"/>
      <c r="AL32" s="331">
        <f>168047787/1000</f>
        <v>168047.78700000001</v>
      </c>
      <c r="AM32" s="244">
        <v>21.42</v>
      </c>
      <c r="AN32" s="239"/>
      <c r="AO32" s="239"/>
      <c r="AP32" s="239"/>
      <c r="AQ32" s="239"/>
      <c r="AR32" s="239"/>
      <c r="AS32" s="239"/>
      <c r="AT32" s="239"/>
      <c r="AU32" s="239"/>
      <c r="AV32" s="239"/>
      <c r="AW32" s="239"/>
      <c r="AX32" s="239"/>
      <c r="AY32" s="239"/>
      <c r="AZ32" s="106" t="s">
        <v>1512</v>
      </c>
      <c r="BA32" s="239"/>
    </row>
    <row r="33" spans="1:53" ht="30" x14ac:dyDescent="0.25">
      <c r="A33" s="200"/>
      <c r="B33" s="200"/>
      <c r="C33" s="199"/>
      <c r="D33" s="200"/>
      <c r="E33" s="199"/>
      <c r="F33" s="200"/>
      <c r="G33" s="201"/>
      <c r="H33" s="199"/>
      <c r="I33" s="200"/>
      <c r="J33" s="199"/>
      <c r="K33" s="199"/>
      <c r="L33" s="238"/>
      <c r="M33" s="199"/>
      <c r="N33" s="269"/>
      <c r="O33" s="269"/>
      <c r="P33" s="332"/>
      <c r="Q33" s="333">
        <f>158766716/1000</f>
        <v>158766.71599999999</v>
      </c>
      <c r="R33" s="269"/>
      <c r="S33" s="269"/>
      <c r="T33" s="269"/>
      <c r="U33" s="269"/>
      <c r="V33" s="269"/>
      <c r="W33" s="269"/>
      <c r="X33" s="269"/>
      <c r="Y33" s="269"/>
      <c r="Z33" s="269"/>
      <c r="AA33" s="269"/>
      <c r="AB33" s="269"/>
      <c r="AC33" s="269"/>
      <c r="AD33" s="269"/>
      <c r="AE33" s="269"/>
      <c r="AF33" s="269"/>
      <c r="AG33" s="400" t="s">
        <v>1516</v>
      </c>
      <c r="AH33" s="334">
        <v>2017003190271</v>
      </c>
      <c r="AI33" s="247" t="s">
        <v>1517</v>
      </c>
      <c r="AJ33" s="139" t="s">
        <v>1518</v>
      </c>
      <c r="AK33" s="335"/>
      <c r="AL33" s="336">
        <f>158766716/1000</f>
        <v>158766.71599999999</v>
      </c>
      <c r="AM33" s="249">
        <v>20.236999999999998</v>
      </c>
      <c r="AN33" s="269"/>
      <c r="AO33" s="269"/>
      <c r="AP33" s="269"/>
      <c r="AQ33" s="269"/>
      <c r="AR33" s="269"/>
      <c r="AS33" s="269"/>
      <c r="AT33" s="269"/>
      <c r="AU33" s="269"/>
      <c r="AV33" s="269"/>
      <c r="AW33" s="269"/>
      <c r="AX33" s="269"/>
      <c r="AY33" s="269"/>
      <c r="AZ33" s="199" t="s">
        <v>1512</v>
      </c>
      <c r="BA33" s="269"/>
    </row>
    <row r="34" spans="1:53" ht="150" x14ac:dyDescent="0.25">
      <c r="A34" s="107"/>
      <c r="B34" s="107"/>
      <c r="C34" s="106"/>
      <c r="D34" s="107"/>
      <c r="E34" s="106"/>
      <c r="F34" s="107"/>
      <c r="G34" s="103"/>
      <c r="H34" s="106"/>
      <c r="I34" s="107"/>
      <c r="J34" s="106"/>
      <c r="K34" s="106"/>
      <c r="L34" s="223"/>
      <c r="M34" s="106"/>
      <c r="N34" s="239"/>
      <c r="O34" s="239"/>
      <c r="P34" s="316"/>
      <c r="Q34" s="286"/>
      <c r="R34" s="239"/>
      <c r="S34" s="239"/>
      <c r="T34" s="239"/>
      <c r="U34" s="239"/>
      <c r="V34" s="239"/>
      <c r="W34" s="239"/>
      <c r="X34" s="239"/>
      <c r="Y34" s="239"/>
      <c r="Z34" s="239"/>
      <c r="AA34" s="239"/>
      <c r="AB34" s="239"/>
      <c r="AC34" s="239"/>
      <c r="AD34" s="239"/>
      <c r="AE34" s="239"/>
      <c r="AF34" s="239"/>
      <c r="AG34" s="398" t="s">
        <v>1519</v>
      </c>
      <c r="AH34" s="337">
        <v>2018003190080</v>
      </c>
      <c r="AI34" s="270" t="s">
        <v>1520</v>
      </c>
      <c r="AJ34" s="270" t="s">
        <v>1521</v>
      </c>
      <c r="AK34" s="338">
        <v>350390</v>
      </c>
      <c r="AL34" s="338">
        <f>1362590482/1000</f>
        <v>1362590.4820000001</v>
      </c>
      <c r="AM34" s="270">
        <v>126</v>
      </c>
      <c r="AN34" s="233"/>
      <c r="AO34" s="233"/>
      <c r="AP34" s="233"/>
      <c r="AQ34" s="233"/>
      <c r="AR34" s="233"/>
      <c r="AS34" s="233"/>
      <c r="AT34" s="233"/>
      <c r="AU34" s="233"/>
      <c r="AV34" s="233"/>
      <c r="AW34" s="233"/>
      <c r="AX34" s="233"/>
      <c r="AY34" s="233"/>
      <c r="AZ34" s="233" t="s">
        <v>1522</v>
      </c>
      <c r="BA34" s="233"/>
    </row>
    <row r="35" spans="1:53" ht="75" x14ac:dyDescent="0.25">
      <c r="A35" s="107"/>
      <c r="B35" s="107"/>
      <c r="C35" s="106"/>
      <c r="D35" s="107"/>
      <c r="E35" s="106"/>
      <c r="F35" s="107"/>
      <c r="G35" s="103"/>
      <c r="H35" s="106"/>
      <c r="I35" s="107"/>
      <c r="J35" s="106"/>
      <c r="K35" s="106"/>
      <c r="L35" s="223"/>
      <c r="M35" s="106"/>
      <c r="N35" s="239"/>
      <c r="O35" s="239"/>
      <c r="P35" s="316"/>
      <c r="Q35" s="286">
        <f>223259692/1000</f>
        <v>223259.69200000001</v>
      </c>
      <c r="R35" s="239"/>
      <c r="S35" s="239"/>
      <c r="T35" s="239"/>
      <c r="U35" s="239"/>
      <c r="V35" s="239"/>
      <c r="W35" s="239"/>
      <c r="X35" s="239"/>
      <c r="Y35" s="239"/>
      <c r="Z35" s="239"/>
      <c r="AA35" s="239"/>
      <c r="AB35" s="239"/>
      <c r="AC35" s="239"/>
      <c r="AD35" s="239"/>
      <c r="AE35" s="239"/>
      <c r="AF35" s="239"/>
      <c r="AG35" s="398" t="s">
        <v>1523</v>
      </c>
      <c r="AH35" s="337">
        <v>2018003190123</v>
      </c>
      <c r="AI35" s="270" t="s">
        <v>1524</v>
      </c>
      <c r="AJ35" s="270" t="s">
        <v>1471</v>
      </c>
      <c r="AK35" s="270">
        <v>2424</v>
      </c>
      <c r="AL35" s="338">
        <f>223259692/1000</f>
        <v>223259.69200000001</v>
      </c>
      <c r="AM35" s="270"/>
      <c r="AN35" s="233"/>
      <c r="AO35" s="233"/>
      <c r="AP35" s="233"/>
      <c r="AQ35" s="233"/>
      <c r="AR35" s="233"/>
      <c r="AS35" s="233"/>
      <c r="AT35" s="233"/>
      <c r="AU35" s="233"/>
      <c r="AV35" s="233"/>
      <c r="AW35" s="233"/>
      <c r="AX35" s="233"/>
      <c r="AY35" s="233"/>
      <c r="AZ35" s="233" t="s">
        <v>1525</v>
      </c>
      <c r="BA35" s="233"/>
    </row>
    <row r="36" spans="1:53" ht="120" x14ac:dyDescent="0.25">
      <c r="A36" s="208" t="s">
        <v>1245</v>
      </c>
      <c r="B36" s="208" t="s">
        <v>1449</v>
      </c>
      <c r="C36" s="208" t="s">
        <v>1526</v>
      </c>
      <c r="D36" s="208" t="s">
        <v>1527</v>
      </c>
      <c r="E36" s="208" t="s">
        <v>1528</v>
      </c>
      <c r="F36" s="309" t="s">
        <v>2031</v>
      </c>
      <c r="G36" s="309" t="s">
        <v>2032</v>
      </c>
      <c r="H36" s="208" t="s">
        <v>1529</v>
      </c>
      <c r="I36" s="208" t="s">
        <v>1530</v>
      </c>
      <c r="J36" s="208">
        <v>0</v>
      </c>
      <c r="K36" s="208" t="s">
        <v>1441</v>
      </c>
      <c r="L36" s="219">
        <v>300</v>
      </c>
      <c r="M36" s="208">
        <v>75</v>
      </c>
      <c r="N36" s="250"/>
      <c r="O36" s="250"/>
      <c r="P36" s="339">
        <v>625000</v>
      </c>
      <c r="Q36" s="340">
        <f>SUM(Q37:Q47)</f>
        <v>1535931.8499999999</v>
      </c>
      <c r="R36" s="250">
        <v>0</v>
      </c>
      <c r="S36" s="250">
        <v>0</v>
      </c>
      <c r="T36" s="250">
        <v>0</v>
      </c>
      <c r="U36" s="250">
        <v>0</v>
      </c>
      <c r="V36" s="250">
        <v>0</v>
      </c>
      <c r="W36" s="250">
        <v>0</v>
      </c>
      <c r="X36" s="250">
        <v>0</v>
      </c>
      <c r="Y36" s="250">
        <v>0</v>
      </c>
      <c r="Z36" s="250">
        <v>0</v>
      </c>
      <c r="AA36" s="250">
        <v>0</v>
      </c>
      <c r="AB36" s="250">
        <v>0</v>
      </c>
      <c r="AC36" s="250">
        <v>0</v>
      </c>
      <c r="AD36" s="250">
        <v>0</v>
      </c>
      <c r="AE36" s="250">
        <v>0</v>
      </c>
      <c r="AF36" s="250">
        <v>0</v>
      </c>
      <c r="AG36" s="401" t="s">
        <v>1531</v>
      </c>
      <c r="AH36" s="341">
        <v>2018000030054</v>
      </c>
      <c r="AI36" s="208" t="s">
        <v>1532</v>
      </c>
      <c r="AJ36" s="208" t="s">
        <v>1533</v>
      </c>
      <c r="AK36" s="250">
        <v>28868</v>
      </c>
      <c r="AL36" s="340">
        <v>1535932</v>
      </c>
      <c r="AM36" s="341">
        <v>196</v>
      </c>
      <c r="AN36" s="241" t="s">
        <v>536</v>
      </c>
      <c r="AO36" s="241" t="s">
        <v>536</v>
      </c>
      <c r="AP36" s="241" t="s">
        <v>536</v>
      </c>
      <c r="AQ36" s="241" t="s">
        <v>536</v>
      </c>
      <c r="AR36" s="241" t="s">
        <v>536</v>
      </c>
      <c r="AS36" s="241" t="s">
        <v>536</v>
      </c>
      <c r="AT36" s="241" t="s">
        <v>536</v>
      </c>
      <c r="AU36" s="241" t="s">
        <v>536</v>
      </c>
      <c r="AV36" s="241" t="s">
        <v>536</v>
      </c>
      <c r="AW36" s="241" t="s">
        <v>536</v>
      </c>
      <c r="AX36" s="241" t="s">
        <v>536</v>
      </c>
      <c r="AY36" s="241" t="s">
        <v>536</v>
      </c>
      <c r="AZ36" s="250" t="s">
        <v>1534</v>
      </c>
      <c r="BA36" s="250"/>
    </row>
    <row r="37" spans="1:53" ht="30" x14ac:dyDescent="0.25">
      <c r="A37" s="107"/>
      <c r="B37" s="107"/>
      <c r="C37" s="103"/>
      <c r="D37" s="103"/>
      <c r="E37" s="103"/>
      <c r="F37" s="107"/>
      <c r="G37" s="103"/>
      <c r="H37" s="106"/>
      <c r="I37" s="107"/>
      <c r="J37" s="106"/>
      <c r="K37" s="106"/>
      <c r="L37" s="223"/>
      <c r="M37" s="106"/>
      <c r="N37" s="239"/>
      <c r="O37" s="239"/>
      <c r="P37" s="316"/>
      <c r="Q37" s="271">
        <f>191871216/1000</f>
        <v>191871.21599999999</v>
      </c>
      <c r="R37" s="239"/>
      <c r="S37" s="239"/>
      <c r="T37" s="239"/>
      <c r="U37" s="239"/>
      <c r="V37" s="239"/>
      <c r="W37" s="239"/>
      <c r="X37" s="239"/>
      <c r="Y37" s="239"/>
      <c r="Z37" s="239"/>
      <c r="AA37" s="239"/>
      <c r="AB37" s="239"/>
      <c r="AC37" s="239"/>
      <c r="AD37" s="239"/>
      <c r="AE37" s="239"/>
      <c r="AF37" s="239"/>
      <c r="AG37" s="399" t="s">
        <v>1535</v>
      </c>
      <c r="AH37" s="274"/>
      <c r="AI37" s="242" t="s">
        <v>1536</v>
      </c>
      <c r="AJ37" s="242" t="s">
        <v>1460</v>
      </c>
      <c r="AK37" s="242"/>
      <c r="AL37" s="273">
        <f>191871216/1000</f>
        <v>191871.21599999999</v>
      </c>
      <c r="AM37" s="244">
        <v>24.456623499999999</v>
      </c>
      <c r="AN37" s="239"/>
      <c r="AO37" s="239"/>
      <c r="AP37" s="239"/>
      <c r="AQ37" s="239"/>
      <c r="AR37" s="239"/>
      <c r="AS37" s="239"/>
      <c r="AT37" s="239"/>
      <c r="AU37" s="239"/>
      <c r="AV37" s="239"/>
      <c r="AW37" s="239"/>
      <c r="AX37" s="239"/>
      <c r="AY37" s="239"/>
      <c r="AZ37" s="106" t="s">
        <v>1512</v>
      </c>
      <c r="BA37" s="239"/>
    </row>
    <row r="38" spans="1:53" ht="30" x14ac:dyDescent="0.25">
      <c r="A38" s="107"/>
      <c r="B38" s="107"/>
      <c r="C38" s="103"/>
      <c r="D38" s="103"/>
      <c r="E38" s="103"/>
      <c r="F38" s="107"/>
      <c r="G38" s="103"/>
      <c r="H38" s="106"/>
      <c r="I38" s="107"/>
      <c r="J38" s="106"/>
      <c r="K38" s="106"/>
      <c r="L38" s="223"/>
      <c r="M38" s="106"/>
      <c r="N38" s="239"/>
      <c r="O38" s="239"/>
      <c r="P38" s="316"/>
      <c r="Q38" s="271">
        <f>108313153/1000</f>
        <v>108313.15300000001</v>
      </c>
      <c r="R38" s="239"/>
      <c r="S38" s="239"/>
      <c r="T38" s="239"/>
      <c r="U38" s="239"/>
      <c r="V38" s="239"/>
      <c r="W38" s="239"/>
      <c r="X38" s="239"/>
      <c r="Y38" s="239"/>
      <c r="Z38" s="239"/>
      <c r="AA38" s="239"/>
      <c r="AB38" s="239"/>
      <c r="AC38" s="239"/>
      <c r="AD38" s="239"/>
      <c r="AE38" s="239"/>
      <c r="AF38" s="239"/>
      <c r="AG38" s="399" t="s">
        <v>1537</v>
      </c>
      <c r="AH38" s="274"/>
      <c r="AI38" s="242" t="s">
        <v>1538</v>
      </c>
      <c r="AJ38" s="242" t="s">
        <v>1539</v>
      </c>
      <c r="AK38" s="242"/>
      <c r="AL38" s="273">
        <f>108313153/1000</f>
        <v>108313.15300000001</v>
      </c>
      <c r="AM38" s="244">
        <v>13.805999999999999</v>
      </c>
      <c r="AN38" s="239"/>
      <c r="AO38" s="239"/>
      <c r="AP38" s="239"/>
      <c r="AQ38" s="239"/>
      <c r="AR38" s="239"/>
      <c r="AS38" s="239"/>
      <c r="AT38" s="239"/>
      <c r="AU38" s="239"/>
      <c r="AV38" s="239"/>
      <c r="AW38" s="239"/>
      <c r="AX38" s="239"/>
      <c r="AY38" s="239"/>
      <c r="AZ38" s="106" t="s">
        <v>1512</v>
      </c>
      <c r="BA38" s="239"/>
    </row>
    <row r="39" spans="1:53" ht="105" x14ac:dyDescent="0.25">
      <c r="A39" s="107"/>
      <c r="B39" s="107"/>
      <c r="C39" s="103"/>
      <c r="D39" s="103"/>
      <c r="E39" s="103"/>
      <c r="F39" s="107"/>
      <c r="G39" s="103"/>
      <c r="H39" s="106"/>
      <c r="I39" s="107"/>
      <c r="J39" s="106"/>
      <c r="K39" s="106"/>
      <c r="L39" s="223"/>
      <c r="M39" s="106"/>
      <c r="N39" s="239"/>
      <c r="O39" s="239"/>
      <c r="P39" s="316"/>
      <c r="Q39" s="271">
        <f>306816660/1000</f>
        <v>306816.65999999997</v>
      </c>
      <c r="R39" s="239"/>
      <c r="S39" s="239"/>
      <c r="T39" s="239"/>
      <c r="U39" s="239"/>
      <c r="V39" s="239"/>
      <c r="W39" s="239"/>
      <c r="X39" s="239"/>
      <c r="Y39" s="239"/>
      <c r="Z39" s="239"/>
      <c r="AA39" s="239"/>
      <c r="AB39" s="239"/>
      <c r="AC39" s="239"/>
      <c r="AD39" s="239"/>
      <c r="AE39" s="239"/>
      <c r="AF39" s="239"/>
      <c r="AG39" s="399" t="s">
        <v>1540</v>
      </c>
      <c r="AH39" s="274"/>
      <c r="AI39" s="242" t="s">
        <v>1541</v>
      </c>
      <c r="AJ39" s="242" t="s">
        <v>1539</v>
      </c>
      <c r="AK39" s="242"/>
      <c r="AL39" s="273">
        <f>306816660/1000</f>
        <v>306816.65999999997</v>
      </c>
      <c r="AM39" s="244">
        <v>39.107999999999997</v>
      </c>
      <c r="AN39" s="239"/>
      <c r="AO39" s="239"/>
      <c r="AP39" s="239"/>
      <c r="AQ39" s="239"/>
      <c r="AR39" s="239"/>
      <c r="AS39" s="239"/>
      <c r="AT39" s="239"/>
      <c r="AU39" s="239"/>
      <c r="AV39" s="239"/>
      <c r="AW39" s="239"/>
      <c r="AX39" s="239"/>
      <c r="AY39" s="239"/>
      <c r="AZ39" s="106" t="s">
        <v>1512</v>
      </c>
      <c r="BA39" s="239"/>
    </row>
    <row r="40" spans="1:53" ht="30" x14ac:dyDescent="0.25">
      <c r="A40" s="107"/>
      <c r="B40" s="107"/>
      <c r="C40" s="103"/>
      <c r="D40" s="103"/>
      <c r="E40" s="103"/>
      <c r="F40" s="107"/>
      <c r="G40" s="103"/>
      <c r="H40" s="106"/>
      <c r="I40" s="107"/>
      <c r="J40" s="106"/>
      <c r="K40" s="106"/>
      <c r="L40" s="223"/>
      <c r="M40" s="106"/>
      <c r="N40" s="239"/>
      <c r="O40" s="239"/>
      <c r="P40" s="316"/>
      <c r="Q40" s="271">
        <f>80077673/1000</f>
        <v>80077.672999999995</v>
      </c>
      <c r="R40" s="239"/>
      <c r="S40" s="239"/>
      <c r="T40" s="239"/>
      <c r="U40" s="239"/>
      <c r="V40" s="239"/>
      <c r="W40" s="239"/>
      <c r="X40" s="239"/>
      <c r="Y40" s="239"/>
      <c r="Z40" s="239"/>
      <c r="AA40" s="239"/>
      <c r="AB40" s="239"/>
      <c r="AC40" s="239"/>
      <c r="AD40" s="239"/>
      <c r="AE40" s="239"/>
      <c r="AF40" s="239"/>
      <c r="AG40" s="399" t="s">
        <v>1542</v>
      </c>
      <c r="AH40" s="274"/>
      <c r="AI40" s="242" t="s">
        <v>1543</v>
      </c>
      <c r="AJ40" s="242" t="s">
        <v>1471</v>
      </c>
      <c r="AK40" s="242"/>
      <c r="AL40" s="273">
        <f>80077673/1000</f>
        <v>80077.672999999995</v>
      </c>
      <c r="AM40" s="244">
        <v>10.207000000000001</v>
      </c>
      <c r="AN40" s="239"/>
      <c r="AO40" s="239"/>
      <c r="AP40" s="239"/>
      <c r="AQ40" s="239"/>
      <c r="AR40" s="239"/>
      <c r="AS40" s="239"/>
      <c r="AT40" s="239"/>
      <c r="AU40" s="239"/>
      <c r="AV40" s="239"/>
      <c r="AW40" s="239"/>
      <c r="AX40" s="239"/>
      <c r="AY40" s="239"/>
      <c r="AZ40" s="106" t="s">
        <v>1512</v>
      </c>
      <c r="BA40" s="239"/>
    </row>
    <row r="41" spans="1:53" ht="30" x14ac:dyDescent="0.25">
      <c r="A41" s="107"/>
      <c r="B41" s="107"/>
      <c r="C41" s="103"/>
      <c r="D41" s="103"/>
      <c r="E41" s="103"/>
      <c r="F41" s="107"/>
      <c r="G41" s="103"/>
      <c r="H41" s="106"/>
      <c r="I41" s="107"/>
      <c r="J41" s="106"/>
      <c r="K41" s="106"/>
      <c r="L41" s="223"/>
      <c r="M41" s="106"/>
      <c r="N41" s="239"/>
      <c r="O41" s="239"/>
      <c r="P41" s="316"/>
      <c r="Q41" s="271">
        <f>142338515/1000</f>
        <v>142338.51500000001</v>
      </c>
      <c r="R41" s="239"/>
      <c r="S41" s="239"/>
      <c r="T41" s="239"/>
      <c r="U41" s="239"/>
      <c r="V41" s="239"/>
      <c r="W41" s="239"/>
      <c r="X41" s="239"/>
      <c r="Y41" s="239"/>
      <c r="Z41" s="239"/>
      <c r="AA41" s="239"/>
      <c r="AB41" s="239"/>
      <c r="AC41" s="239"/>
      <c r="AD41" s="239"/>
      <c r="AE41" s="239"/>
      <c r="AF41" s="239"/>
      <c r="AG41" s="399" t="s">
        <v>1544</v>
      </c>
      <c r="AH41" s="274"/>
      <c r="AI41" s="242" t="s">
        <v>1545</v>
      </c>
      <c r="AJ41" s="242" t="s">
        <v>1546</v>
      </c>
      <c r="AK41" s="242"/>
      <c r="AL41" s="273">
        <f>142338515/1000</f>
        <v>142338.51500000001</v>
      </c>
      <c r="AM41" s="244">
        <v>18.143000000000001</v>
      </c>
      <c r="AN41" s="239"/>
      <c r="AO41" s="239"/>
      <c r="AP41" s="239"/>
      <c r="AQ41" s="239"/>
      <c r="AR41" s="239"/>
      <c r="AS41" s="239"/>
      <c r="AT41" s="239"/>
      <c r="AU41" s="239"/>
      <c r="AV41" s="239"/>
      <c r="AW41" s="239"/>
      <c r="AX41" s="239"/>
      <c r="AY41" s="239"/>
      <c r="AZ41" s="106" t="s">
        <v>1512</v>
      </c>
      <c r="BA41" s="239"/>
    </row>
    <row r="42" spans="1:53" ht="30" x14ac:dyDescent="0.25">
      <c r="A42" s="107"/>
      <c r="B42" s="107"/>
      <c r="C42" s="103"/>
      <c r="D42" s="103"/>
      <c r="E42" s="103"/>
      <c r="F42" s="107"/>
      <c r="G42" s="103"/>
      <c r="H42" s="106"/>
      <c r="I42" s="107"/>
      <c r="J42" s="106"/>
      <c r="K42" s="106"/>
      <c r="L42" s="223"/>
      <c r="M42" s="106"/>
      <c r="N42" s="239"/>
      <c r="O42" s="239"/>
      <c r="P42" s="316"/>
      <c r="Q42" s="271">
        <f>90896436/1000</f>
        <v>90896.436000000002</v>
      </c>
      <c r="R42" s="239"/>
      <c r="S42" s="239"/>
      <c r="T42" s="239"/>
      <c r="U42" s="239"/>
      <c r="V42" s="239"/>
      <c r="W42" s="239"/>
      <c r="X42" s="239"/>
      <c r="Y42" s="239"/>
      <c r="Z42" s="239"/>
      <c r="AA42" s="239"/>
      <c r="AB42" s="239"/>
      <c r="AC42" s="239"/>
      <c r="AD42" s="239"/>
      <c r="AE42" s="239"/>
      <c r="AF42" s="239"/>
      <c r="AG42" s="399" t="s">
        <v>1547</v>
      </c>
      <c r="AH42" s="274"/>
      <c r="AI42" s="242" t="s">
        <v>1548</v>
      </c>
      <c r="AJ42" s="242" t="s">
        <v>1471</v>
      </c>
      <c r="AK42" s="242"/>
      <c r="AL42" s="273">
        <f>90896436/1000</f>
        <v>90896.436000000002</v>
      </c>
      <c r="AM42" s="244">
        <v>11.586</v>
      </c>
      <c r="AN42" s="239"/>
      <c r="AO42" s="239"/>
      <c r="AP42" s="239"/>
      <c r="AQ42" s="239"/>
      <c r="AR42" s="239"/>
      <c r="AS42" s="239"/>
      <c r="AT42" s="239"/>
      <c r="AU42" s="239"/>
      <c r="AV42" s="239"/>
      <c r="AW42" s="239"/>
      <c r="AX42" s="239"/>
      <c r="AY42" s="239"/>
      <c r="AZ42" s="106" t="s">
        <v>1512</v>
      </c>
      <c r="BA42" s="239"/>
    </row>
    <row r="43" spans="1:53" ht="30" x14ac:dyDescent="0.25">
      <c r="A43" s="107"/>
      <c r="B43" s="107"/>
      <c r="C43" s="103"/>
      <c r="D43" s="103"/>
      <c r="E43" s="103"/>
      <c r="F43" s="107"/>
      <c r="G43" s="103"/>
      <c r="H43" s="106"/>
      <c r="I43" s="107"/>
      <c r="J43" s="106"/>
      <c r="K43" s="106"/>
      <c r="L43" s="223"/>
      <c r="M43" s="106"/>
      <c r="N43" s="239"/>
      <c r="O43" s="239"/>
      <c r="P43" s="316"/>
      <c r="Q43" s="271">
        <f>250659514/1000</f>
        <v>250659.514</v>
      </c>
      <c r="R43" s="239"/>
      <c r="S43" s="239"/>
      <c r="T43" s="239"/>
      <c r="U43" s="239"/>
      <c r="V43" s="239"/>
      <c r="W43" s="239"/>
      <c r="X43" s="239"/>
      <c r="Y43" s="239"/>
      <c r="Z43" s="239"/>
      <c r="AA43" s="239"/>
      <c r="AB43" s="239"/>
      <c r="AC43" s="239"/>
      <c r="AD43" s="239"/>
      <c r="AE43" s="239"/>
      <c r="AF43" s="239"/>
      <c r="AG43" s="399" t="s">
        <v>1549</v>
      </c>
      <c r="AH43" s="274"/>
      <c r="AI43" s="242" t="s">
        <v>1550</v>
      </c>
      <c r="AJ43" s="242" t="s">
        <v>1551</v>
      </c>
      <c r="AK43" s="242"/>
      <c r="AL43" s="273">
        <f>250659514/1000</f>
        <v>250659.514</v>
      </c>
      <c r="AM43" s="244">
        <v>31.95</v>
      </c>
      <c r="AN43" s="239"/>
      <c r="AO43" s="239"/>
      <c r="AP43" s="239"/>
      <c r="AQ43" s="239"/>
      <c r="AR43" s="239"/>
      <c r="AS43" s="239"/>
      <c r="AT43" s="239"/>
      <c r="AU43" s="239"/>
      <c r="AV43" s="239"/>
      <c r="AW43" s="239"/>
      <c r="AX43" s="239"/>
      <c r="AY43" s="239"/>
      <c r="AZ43" s="106" t="s">
        <v>1512</v>
      </c>
      <c r="BA43" s="239"/>
    </row>
    <row r="44" spans="1:53" ht="45" x14ac:dyDescent="0.25">
      <c r="A44" s="107"/>
      <c r="B44" s="107"/>
      <c r="C44" s="103"/>
      <c r="D44" s="103"/>
      <c r="E44" s="103"/>
      <c r="F44" s="107"/>
      <c r="G44" s="103"/>
      <c r="H44" s="106"/>
      <c r="I44" s="107"/>
      <c r="J44" s="106"/>
      <c r="K44" s="106"/>
      <c r="L44" s="223"/>
      <c r="M44" s="106"/>
      <c r="N44" s="239"/>
      <c r="O44" s="239"/>
      <c r="P44" s="316"/>
      <c r="Q44" s="271">
        <f>159009923/1000</f>
        <v>159009.92300000001</v>
      </c>
      <c r="R44" s="239"/>
      <c r="S44" s="239"/>
      <c r="T44" s="239"/>
      <c r="U44" s="239"/>
      <c r="V44" s="239"/>
      <c r="W44" s="239"/>
      <c r="X44" s="239"/>
      <c r="Y44" s="239"/>
      <c r="Z44" s="239"/>
      <c r="AA44" s="239"/>
      <c r="AB44" s="239"/>
      <c r="AC44" s="239"/>
      <c r="AD44" s="239"/>
      <c r="AE44" s="239"/>
      <c r="AF44" s="239"/>
      <c r="AG44" s="399" t="s">
        <v>1552</v>
      </c>
      <c r="AH44" s="274"/>
      <c r="AI44" s="242" t="s">
        <v>1553</v>
      </c>
      <c r="AJ44" s="242" t="s">
        <v>1471</v>
      </c>
      <c r="AK44" s="242"/>
      <c r="AL44" s="273">
        <f>159009923/1000</f>
        <v>159009.92300000001</v>
      </c>
      <c r="AM44" s="244">
        <v>20.268000000000001</v>
      </c>
      <c r="AN44" s="239"/>
      <c r="AO44" s="239"/>
      <c r="AP44" s="239"/>
      <c r="AQ44" s="239"/>
      <c r="AR44" s="239"/>
      <c r="AS44" s="239"/>
      <c r="AT44" s="239"/>
      <c r="AU44" s="239"/>
      <c r="AV44" s="239"/>
      <c r="AW44" s="239"/>
      <c r="AX44" s="239"/>
      <c r="AY44" s="239"/>
      <c r="AZ44" s="106" t="s">
        <v>1512</v>
      </c>
      <c r="BA44" s="239"/>
    </row>
    <row r="45" spans="1:53" ht="30" x14ac:dyDescent="0.25">
      <c r="A45" s="107"/>
      <c r="B45" s="107"/>
      <c r="C45" s="103"/>
      <c r="D45" s="103"/>
      <c r="E45" s="103"/>
      <c r="F45" s="107"/>
      <c r="G45" s="103"/>
      <c r="H45" s="106"/>
      <c r="I45" s="107"/>
      <c r="J45" s="106"/>
      <c r="K45" s="106"/>
      <c r="L45" s="223"/>
      <c r="M45" s="106"/>
      <c r="N45" s="239"/>
      <c r="O45" s="239"/>
      <c r="P45" s="316"/>
      <c r="Q45" s="271">
        <f>35178631/1000</f>
        <v>35178.631000000001</v>
      </c>
      <c r="R45" s="239"/>
      <c r="S45" s="239"/>
      <c r="T45" s="239"/>
      <c r="U45" s="239"/>
      <c r="V45" s="239"/>
      <c r="W45" s="239"/>
      <c r="X45" s="239"/>
      <c r="Y45" s="239"/>
      <c r="Z45" s="239"/>
      <c r="AA45" s="239"/>
      <c r="AB45" s="239"/>
      <c r="AC45" s="239"/>
      <c r="AD45" s="239"/>
      <c r="AE45" s="239"/>
      <c r="AF45" s="239"/>
      <c r="AG45" s="399" t="s">
        <v>1554</v>
      </c>
      <c r="AH45" s="274"/>
      <c r="AI45" s="242"/>
      <c r="AJ45" s="242"/>
      <c r="AK45" s="242"/>
      <c r="AL45" s="273">
        <f>35178631/1000</f>
        <v>35178.631000000001</v>
      </c>
      <c r="AM45" s="244">
        <v>7</v>
      </c>
      <c r="AN45" s="239"/>
      <c r="AO45" s="239"/>
      <c r="AP45" s="239"/>
      <c r="AQ45" s="239"/>
      <c r="AR45" s="239"/>
      <c r="AS45" s="239"/>
      <c r="AT45" s="239"/>
      <c r="AU45" s="239"/>
      <c r="AV45" s="239"/>
      <c r="AW45" s="239"/>
      <c r="AX45" s="239"/>
      <c r="AY45" s="239"/>
      <c r="AZ45" s="106" t="s">
        <v>1512</v>
      </c>
      <c r="BA45" s="239"/>
    </row>
    <row r="46" spans="1:53" ht="45" x14ac:dyDescent="0.25">
      <c r="A46" s="107"/>
      <c r="B46" s="107"/>
      <c r="C46" s="103"/>
      <c r="D46" s="103"/>
      <c r="E46" s="103"/>
      <c r="F46" s="107"/>
      <c r="G46" s="103"/>
      <c r="H46" s="106"/>
      <c r="I46" s="107"/>
      <c r="J46" s="106"/>
      <c r="K46" s="106"/>
      <c r="L46" s="223"/>
      <c r="M46" s="106"/>
      <c r="N46" s="239"/>
      <c r="O46" s="239"/>
      <c r="P46" s="316"/>
      <c r="Q46" s="271">
        <f>51779430/1000</f>
        <v>51779.43</v>
      </c>
      <c r="R46" s="239"/>
      <c r="S46" s="239"/>
      <c r="T46" s="239"/>
      <c r="U46" s="239"/>
      <c r="V46" s="239"/>
      <c r="W46" s="239"/>
      <c r="X46" s="239"/>
      <c r="Y46" s="239"/>
      <c r="Z46" s="239"/>
      <c r="AA46" s="239"/>
      <c r="AB46" s="239"/>
      <c r="AC46" s="239"/>
      <c r="AD46" s="239"/>
      <c r="AE46" s="239"/>
      <c r="AF46" s="239"/>
      <c r="AG46" s="399" t="s">
        <v>1555</v>
      </c>
      <c r="AH46" s="274"/>
      <c r="AI46" s="242" t="s">
        <v>1556</v>
      </c>
      <c r="AJ46" s="242" t="s">
        <v>1551</v>
      </c>
      <c r="AK46" s="242"/>
      <c r="AL46" s="273">
        <f>51779430/1000</f>
        <v>51779.43</v>
      </c>
      <c r="AM46" s="244">
        <v>15</v>
      </c>
      <c r="AN46" s="239"/>
      <c r="AO46" s="239"/>
      <c r="AP46" s="239"/>
      <c r="AQ46" s="239"/>
      <c r="AR46" s="239"/>
      <c r="AS46" s="239"/>
      <c r="AT46" s="239"/>
      <c r="AU46" s="239"/>
      <c r="AV46" s="239"/>
      <c r="AW46" s="239"/>
      <c r="AX46" s="239"/>
      <c r="AY46" s="239"/>
      <c r="AZ46" s="106" t="s">
        <v>1512</v>
      </c>
      <c r="BA46" s="239"/>
    </row>
    <row r="47" spans="1:53" ht="30" x14ac:dyDescent="0.25">
      <c r="A47" s="107"/>
      <c r="B47" s="107"/>
      <c r="C47" s="103"/>
      <c r="D47" s="103"/>
      <c r="E47" s="103"/>
      <c r="F47" s="107"/>
      <c r="G47" s="103"/>
      <c r="H47" s="106"/>
      <c r="I47" s="107"/>
      <c r="J47" s="106"/>
      <c r="K47" s="106"/>
      <c r="L47" s="223"/>
      <c r="M47" s="106"/>
      <c r="N47" s="239"/>
      <c r="O47" s="239"/>
      <c r="P47" s="316"/>
      <c r="Q47" s="271">
        <f>118990699/1000</f>
        <v>118990.69899999999</v>
      </c>
      <c r="R47" s="239"/>
      <c r="S47" s="239"/>
      <c r="T47" s="239"/>
      <c r="U47" s="239"/>
      <c r="V47" s="239"/>
      <c r="W47" s="239"/>
      <c r="X47" s="239"/>
      <c r="Y47" s="239"/>
      <c r="Z47" s="239"/>
      <c r="AA47" s="239"/>
      <c r="AB47" s="239"/>
      <c r="AC47" s="239"/>
      <c r="AD47" s="239"/>
      <c r="AE47" s="239"/>
      <c r="AF47" s="239"/>
      <c r="AG47" s="399" t="s">
        <v>1557</v>
      </c>
      <c r="AH47" s="274"/>
      <c r="AI47" s="242"/>
      <c r="AJ47" s="242"/>
      <c r="AK47" s="242"/>
      <c r="AL47" s="273">
        <f>118990699/1000</f>
        <v>118990.69899999999</v>
      </c>
      <c r="AM47" s="244">
        <v>4.484</v>
      </c>
      <c r="AN47" s="239"/>
      <c r="AO47" s="239"/>
      <c r="AP47" s="239"/>
      <c r="AQ47" s="239"/>
      <c r="AR47" s="239"/>
      <c r="AS47" s="239"/>
      <c r="AT47" s="239"/>
      <c r="AU47" s="239"/>
      <c r="AV47" s="239"/>
      <c r="AW47" s="239"/>
      <c r="AX47" s="239"/>
      <c r="AY47" s="239"/>
      <c r="AZ47" s="106" t="s">
        <v>1512</v>
      </c>
      <c r="BA47" s="239"/>
    </row>
    <row r="48" spans="1:53" ht="90" x14ac:dyDescent="0.25">
      <c r="A48" s="107"/>
      <c r="B48" s="107"/>
      <c r="C48" s="103"/>
      <c r="D48" s="103"/>
      <c r="E48" s="103"/>
      <c r="F48" s="107"/>
      <c r="G48" s="103"/>
      <c r="H48" s="106"/>
      <c r="I48" s="107"/>
      <c r="J48" s="106"/>
      <c r="K48" s="106"/>
      <c r="L48" s="223"/>
      <c r="M48" s="106"/>
      <c r="N48" s="239"/>
      <c r="O48" s="239"/>
      <c r="P48" s="316"/>
      <c r="Q48" s="271">
        <f>176460320/1000</f>
        <v>176460.32</v>
      </c>
      <c r="R48" s="239"/>
      <c r="S48" s="239"/>
      <c r="T48" s="239"/>
      <c r="U48" s="239"/>
      <c r="V48" s="239"/>
      <c r="W48" s="239"/>
      <c r="X48" s="239"/>
      <c r="Y48" s="239"/>
      <c r="Z48" s="239"/>
      <c r="AA48" s="239"/>
      <c r="AB48" s="239"/>
      <c r="AC48" s="239"/>
      <c r="AD48" s="239"/>
      <c r="AE48" s="239"/>
      <c r="AF48" s="239"/>
      <c r="AG48" s="398" t="s">
        <v>1558</v>
      </c>
      <c r="AH48" s="270"/>
      <c r="AI48" s="270" t="s">
        <v>1559</v>
      </c>
      <c r="AJ48" s="270" t="s">
        <v>1560</v>
      </c>
      <c r="AK48" s="338">
        <v>28868</v>
      </c>
      <c r="AL48" s="338">
        <f>176460320/1000</f>
        <v>176460.32</v>
      </c>
      <c r="AM48" s="270">
        <v>13</v>
      </c>
      <c r="AN48" s="233"/>
      <c r="AO48" s="233"/>
      <c r="AP48" s="233"/>
      <c r="AQ48" s="233"/>
      <c r="AR48" s="233"/>
      <c r="AS48" s="233"/>
      <c r="AT48" s="233"/>
      <c r="AU48" s="233"/>
      <c r="AV48" s="233"/>
      <c r="AW48" s="233"/>
      <c r="AX48" s="233"/>
      <c r="AY48" s="233"/>
      <c r="AZ48" s="233" t="s">
        <v>1561</v>
      </c>
      <c r="BA48" s="233"/>
    </row>
    <row r="49" spans="1:53" ht="60" x14ac:dyDescent="0.25">
      <c r="A49" s="107"/>
      <c r="B49" s="107"/>
      <c r="C49" s="103"/>
      <c r="D49" s="103"/>
      <c r="E49" s="103"/>
      <c r="F49" s="310"/>
      <c r="G49" s="311"/>
      <c r="H49" s="106"/>
      <c r="I49" s="107"/>
      <c r="J49" s="106"/>
      <c r="K49" s="106"/>
      <c r="L49" s="223"/>
      <c r="M49" s="106"/>
      <c r="N49" s="239"/>
      <c r="O49" s="239"/>
      <c r="P49" s="316"/>
      <c r="Q49" s="271"/>
      <c r="R49" s="239"/>
      <c r="S49" s="239"/>
      <c r="T49" s="239"/>
      <c r="U49" s="239"/>
      <c r="V49" s="239"/>
      <c r="W49" s="271">
        <f>776054378/1000</f>
        <v>776054.37800000003</v>
      </c>
      <c r="X49" s="239"/>
      <c r="Y49" s="239"/>
      <c r="Z49" s="239"/>
      <c r="AA49" s="239"/>
      <c r="AB49" s="239"/>
      <c r="AC49" s="239"/>
      <c r="AD49" s="239"/>
      <c r="AE49" s="239"/>
      <c r="AF49" s="239"/>
      <c r="AG49" s="398" t="s">
        <v>1562</v>
      </c>
      <c r="AH49" s="272">
        <v>2018000030054</v>
      </c>
      <c r="AI49" s="242" t="s">
        <v>1563</v>
      </c>
      <c r="AJ49" s="174" t="s">
        <v>1460</v>
      </c>
      <c r="AK49" s="274"/>
      <c r="AL49" s="273">
        <f>776054378/1000</f>
        <v>776054.37800000003</v>
      </c>
      <c r="AM49" s="244"/>
      <c r="AN49" s="239"/>
      <c r="AO49" s="239"/>
      <c r="AP49" s="239"/>
      <c r="AQ49" s="239"/>
      <c r="AR49" s="239"/>
      <c r="AS49" s="239"/>
      <c r="AT49" s="239"/>
      <c r="AU49" s="239"/>
      <c r="AV49" s="239"/>
      <c r="AW49" s="239"/>
      <c r="AX49" s="239"/>
      <c r="AY49" s="239"/>
      <c r="AZ49" s="106" t="s">
        <v>1564</v>
      </c>
      <c r="BA49" s="239"/>
    </row>
    <row r="50" spans="1:53" ht="120" x14ac:dyDescent="0.25">
      <c r="A50" s="197" t="s">
        <v>1245</v>
      </c>
      <c r="B50" s="197" t="s">
        <v>1449</v>
      </c>
      <c r="C50" s="195" t="s">
        <v>1526</v>
      </c>
      <c r="D50" s="195" t="s">
        <v>1527</v>
      </c>
      <c r="E50" s="195" t="s">
        <v>1528</v>
      </c>
      <c r="F50" s="197" t="s">
        <v>2031</v>
      </c>
      <c r="G50" s="195" t="s">
        <v>2032</v>
      </c>
      <c r="H50" s="196" t="s">
        <v>1565</v>
      </c>
      <c r="I50" s="197" t="s">
        <v>1566</v>
      </c>
      <c r="J50" s="196">
        <v>0</v>
      </c>
      <c r="K50" s="196" t="s">
        <v>527</v>
      </c>
      <c r="L50" s="252">
        <v>1</v>
      </c>
      <c r="M50" s="252">
        <v>0.25</v>
      </c>
      <c r="N50" s="222"/>
      <c r="O50" s="222"/>
      <c r="P50" s="320">
        <v>1000000</v>
      </c>
      <c r="Q50" s="222"/>
      <c r="R50" s="222"/>
      <c r="S50" s="222"/>
      <c r="T50" s="222"/>
      <c r="U50" s="222"/>
      <c r="V50" s="222"/>
      <c r="W50" s="222"/>
      <c r="X50" s="222"/>
      <c r="Y50" s="222"/>
      <c r="Z50" s="222"/>
      <c r="AA50" s="222"/>
      <c r="AB50" s="222"/>
      <c r="AC50" s="222"/>
      <c r="AD50" s="222"/>
      <c r="AE50" s="222"/>
      <c r="AF50" s="222"/>
      <c r="AG50" s="402"/>
      <c r="AH50" s="222"/>
      <c r="AI50" s="253"/>
      <c r="AJ50" s="241"/>
      <c r="AK50" s="222"/>
      <c r="AL50" s="222"/>
      <c r="AM50" s="254"/>
      <c r="AN50" s="222"/>
      <c r="AO50" s="222"/>
      <c r="AP50" s="222"/>
      <c r="AQ50" s="222"/>
      <c r="AR50" s="222"/>
      <c r="AS50" s="222"/>
      <c r="AT50" s="222"/>
      <c r="AU50" s="222"/>
      <c r="AV50" s="222"/>
      <c r="AW50" s="222"/>
      <c r="AX50" s="222"/>
      <c r="AY50" s="222"/>
      <c r="AZ50" s="222"/>
      <c r="BA50" s="222"/>
    </row>
    <row r="51" spans="1:53" ht="225" x14ac:dyDescent="0.25">
      <c r="A51" s="197" t="s">
        <v>1245</v>
      </c>
      <c r="B51" s="197" t="s">
        <v>1449</v>
      </c>
      <c r="C51" s="196" t="s">
        <v>1567</v>
      </c>
      <c r="D51" s="197" t="s">
        <v>1568</v>
      </c>
      <c r="E51" s="196" t="s">
        <v>1569</v>
      </c>
      <c r="F51" s="196" t="s">
        <v>2033</v>
      </c>
      <c r="G51" s="196" t="s">
        <v>2034</v>
      </c>
      <c r="H51" s="196" t="s">
        <v>1570</v>
      </c>
      <c r="I51" s="196" t="s">
        <v>1571</v>
      </c>
      <c r="J51" s="196">
        <v>194.33600000000001</v>
      </c>
      <c r="K51" s="196" t="s">
        <v>1441</v>
      </c>
      <c r="L51" s="217">
        <v>70</v>
      </c>
      <c r="M51" s="196">
        <v>0</v>
      </c>
      <c r="N51" s="222"/>
      <c r="O51" s="222"/>
      <c r="P51" s="326">
        <v>0</v>
      </c>
      <c r="Q51" s="222"/>
      <c r="R51" s="222"/>
      <c r="S51" s="222"/>
      <c r="T51" s="222"/>
      <c r="U51" s="222"/>
      <c r="V51" s="220">
        <f>6681200</f>
        <v>6681200</v>
      </c>
      <c r="W51" s="281">
        <f>26935389</f>
        <v>26935389</v>
      </c>
      <c r="X51" s="222"/>
      <c r="Y51" s="220">
        <v>360776</v>
      </c>
      <c r="Z51" s="222"/>
      <c r="AA51" s="220">
        <v>4987252</v>
      </c>
      <c r="AB51" s="222"/>
      <c r="AC51" s="222"/>
      <c r="AD51" s="222"/>
      <c r="AE51" s="220">
        <v>4850409</v>
      </c>
      <c r="AF51" s="222"/>
      <c r="AG51" s="403" t="s">
        <v>1572</v>
      </c>
      <c r="AH51" s="221" t="s">
        <v>1573</v>
      </c>
      <c r="AI51" s="222"/>
      <c r="AJ51" s="241"/>
      <c r="AK51" s="216">
        <v>2472283</v>
      </c>
      <c r="AL51" s="320">
        <v>164811242</v>
      </c>
      <c r="AM51" s="315">
        <v>525.23</v>
      </c>
      <c r="AN51" s="241" t="s">
        <v>536</v>
      </c>
      <c r="AO51" s="241" t="s">
        <v>536</v>
      </c>
      <c r="AP51" s="241" t="s">
        <v>536</v>
      </c>
      <c r="AQ51" s="241" t="s">
        <v>536</v>
      </c>
      <c r="AR51" s="241" t="s">
        <v>536</v>
      </c>
      <c r="AS51" s="241" t="s">
        <v>536</v>
      </c>
      <c r="AT51" s="241" t="s">
        <v>536</v>
      </c>
      <c r="AU51" s="241" t="s">
        <v>536</v>
      </c>
      <c r="AV51" s="241" t="s">
        <v>536</v>
      </c>
      <c r="AW51" s="241" t="s">
        <v>536</v>
      </c>
      <c r="AX51" s="241" t="s">
        <v>536</v>
      </c>
      <c r="AY51" s="241" t="s">
        <v>536</v>
      </c>
      <c r="AZ51" s="222"/>
      <c r="BA51" s="222"/>
    </row>
    <row r="52" spans="1:53" ht="75" x14ac:dyDescent="0.25">
      <c r="A52" s="107"/>
      <c r="B52" s="107"/>
      <c r="C52" s="106"/>
      <c r="D52" s="107"/>
      <c r="E52" s="106"/>
      <c r="F52" s="106"/>
      <c r="G52" s="106"/>
      <c r="H52" s="106"/>
      <c r="I52" s="106"/>
      <c r="J52" s="106"/>
      <c r="K52" s="136"/>
      <c r="L52" s="238"/>
      <c r="M52" s="106"/>
      <c r="N52" s="239"/>
      <c r="O52" s="239"/>
      <c r="P52" s="318"/>
      <c r="Q52" s="239"/>
      <c r="R52" s="239"/>
      <c r="S52" s="239"/>
      <c r="T52" s="239"/>
      <c r="U52" s="239"/>
      <c r="V52" s="239"/>
      <c r="W52" s="239"/>
      <c r="X52" s="239"/>
      <c r="Y52" s="239"/>
      <c r="Z52" s="239"/>
      <c r="AA52" s="239"/>
      <c r="AB52" s="239"/>
      <c r="AC52" s="239"/>
      <c r="AD52" s="239"/>
      <c r="AE52" s="239"/>
      <c r="AF52" s="239"/>
      <c r="AG52" s="398" t="s">
        <v>1574</v>
      </c>
      <c r="AH52" s="330">
        <v>2017000030079</v>
      </c>
      <c r="AI52" s="342" t="s">
        <v>1575</v>
      </c>
      <c r="AJ52" s="342" t="s">
        <v>1576</v>
      </c>
      <c r="AK52" s="240">
        <f>16968*0.2</f>
        <v>3393.6000000000004</v>
      </c>
      <c r="AL52" s="240">
        <v>13597818</v>
      </c>
      <c r="AM52" s="255">
        <v>5.21</v>
      </c>
      <c r="AN52" s="239"/>
      <c r="AO52" s="239"/>
      <c r="AP52" s="239"/>
      <c r="AQ52" s="239"/>
      <c r="AR52" s="239"/>
      <c r="AS52" s="239"/>
      <c r="AT52" s="239"/>
      <c r="AU52" s="239"/>
      <c r="AV52" s="239"/>
      <c r="AW52" s="239"/>
      <c r="AX52" s="239"/>
      <c r="AY52" s="239"/>
      <c r="AZ52" s="106" t="s">
        <v>1577</v>
      </c>
      <c r="BA52" s="103"/>
    </row>
    <row r="53" spans="1:53" ht="75" x14ac:dyDescent="0.25">
      <c r="A53" s="107"/>
      <c r="B53" s="107"/>
      <c r="C53" s="106"/>
      <c r="D53" s="107"/>
      <c r="E53" s="106"/>
      <c r="F53" s="106"/>
      <c r="G53" s="106"/>
      <c r="H53" s="106"/>
      <c r="I53" s="106"/>
      <c r="J53" s="106"/>
      <c r="K53" s="136"/>
      <c r="L53" s="238"/>
      <c r="M53" s="106"/>
      <c r="N53" s="239"/>
      <c r="O53" s="239"/>
      <c r="P53" s="318"/>
      <c r="Q53" s="239"/>
      <c r="R53" s="239"/>
      <c r="S53" s="239"/>
      <c r="T53" s="239"/>
      <c r="U53" s="239"/>
      <c r="V53" s="239"/>
      <c r="W53" s="239"/>
      <c r="X53" s="239"/>
      <c r="Y53" s="239"/>
      <c r="Z53" s="239"/>
      <c r="AA53" s="239"/>
      <c r="AB53" s="239"/>
      <c r="AC53" s="239"/>
      <c r="AD53" s="239"/>
      <c r="AE53" s="239"/>
      <c r="AF53" s="239"/>
      <c r="AG53" s="398" t="s">
        <v>1578</v>
      </c>
      <c r="AH53" s="330">
        <v>2017000030196</v>
      </c>
      <c r="AI53" s="342" t="s">
        <v>1579</v>
      </c>
      <c r="AJ53" s="342" t="s">
        <v>874</v>
      </c>
      <c r="AK53" s="240">
        <f>33122*0.2</f>
        <v>6624.4000000000005</v>
      </c>
      <c r="AL53" s="240">
        <v>5671630</v>
      </c>
      <c r="AM53" s="255">
        <v>2.6</v>
      </c>
      <c r="AN53" s="239"/>
      <c r="AO53" s="239"/>
      <c r="AP53" s="239"/>
      <c r="AQ53" s="239"/>
      <c r="AR53" s="239"/>
      <c r="AS53" s="239"/>
      <c r="AT53" s="239"/>
      <c r="AU53" s="239"/>
      <c r="AV53" s="239"/>
      <c r="AW53" s="239"/>
      <c r="AX53" s="239"/>
      <c r="AY53" s="239"/>
      <c r="AZ53" s="106" t="s">
        <v>1561</v>
      </c>
      <c r="BA53" s="239"/>
    </row>
    <row r="54" spans="1:53" ht="75" x14ac:dyDescent="0.25">
      <c r="A54" s="107"/>
      <c r="B54" s="107"/>
      <c r="C54" s="106"/>
      <c r="D54" s="107"/>
      <c r="E54" s="106"/>
      <c r="F54" s="106"/>
      <c r="G54" s="106"/>
      <c r="H54" s="106"/>
      <c r="I54" s="106"/>
      <c r="J54" s="106"/>
      <c r="K54" s="136"/>
      <c r="L54" s="238"/>
      <c r="M54" s="106"/>
      <c r="N54" s="239"/>
      <c r="O54" s="239"/>
      <c r="P54" s="318"/>
      <c r="Q54" s="239"/>
      <c r="R54" s="239"/>
      <c r="S54" s="239"/>
      <c r="T54" s="239"/>
      <c r="U54" s="239"/>
      <c r="V54" s="239"/>
      <c r="W54" s="271">
        <f>7609611447/1000</f>
        <v>7609611.4469999997</v>
      </c>
      <c r="X54" s="239"/>
      <c r="Y54" s="239"/>
      <c r="Z54" s="239"/>
      <c r="AA54" s="239"/>
      <c r="AB54" s="239"/>
      <c r="AC54" s="239"/>
      <c r="AD54" s="239"/>
      <c r="AE54" s="239"/>
      <c r="AF54" s="239"/>
      <c r="AG54" s="398" t="s">
        <v>1580</v>
      </c>
      <c r="AH54" s="330">
        <v>2018000030033</v>
      </c>
      <c r="AI54" s="342" t="s">
        <v>1581</v>
      </c>
      <c r="AJ54" s="342" t="s">
        <v>1582</v>
      </c>
      <c r="AK54" s="240">
        <v>79057</v>
      </c>
      <c r="AL54" s="240">
        <f>7609611447/1000</f>
        <v>7609611.4469999997</v>
      </c>
      <c r="AM54" s="255">
        <v>3.38</v>
      </c>
      <c r="AN54" s="239"/>
      <c r="AO54" s="239"/>
      <c r="AP54" s="239"/>
      <c r="AQ54" s="239"/>
      <c r="AR54" s="239"/>
      <c r="AS54" s="239"/>
      <c r="AT54" s="239"/>
      <c r="AU54" s="239"/>
      <c r="AV54" s="239"/>
      <c r="AW54" s="239"/>
      <c r="AX54" s="239"/>
      <c r="AY54" s="239"/>
      <c r="AZ54" s="106" t="s">
        <v>1561</v>
      </c>
      <c r="BA54" s="239"/>
    </row>
    <row r="55" spans="1:53" ht="75" x14ac:dyDescent="0.25">
      <c r="A55" s="107"/>
      <c r="B55" s="107"/>
      <c r="C55" s="106"/>
      <c r="D55" s="107"/>
      <c r="E55" s="106"/>
      <c r="F55" s="106"/>
      <c r="G55" s="106"/>
      <c r="H55" s="106"/>
      <c r="I55" s="106"/>
      <c r="J55" s="106"/>
      <c r="K55" s="136"/>
      <c r="L55" s="238"/>
      <c r="M55" s="106"/>
      <c r="N55" s="239"/>
      <c r="O55" s="239"/>
      <c r="P55" s="318"/>
      <c r="Q55" s="239"/>
      <c r="R55" s="239"/>
      <c r="S55" s="239"/>
      <c r="T55" s="239"/>
      <c r="U55" s="239"/>
      <c r="V55" s="239"/>
      <c r="W55" s="239"/>
      <c r="X55" s="239"/>
      <c r="Y55" s="239"/>
      <c r="Z55" s="239"/>
      <c r="AA55" s="239"/>
      <c r="AB55" s="239"/>
      <c r="AC55" s="239"/>
      <c r="AD55" s="239"/>
      <c r="AE55" s="239"/>
      <c r="AF55" s="239"/>
      <c r="AG55" s="398" t="s">
        <v>1583</v>
      </c>
      <c r="AH55" s="330"/>
      <c r="AI55" s="342" t="s">
        <v>1584</v>
      </c>
      <c r="AJ55" s="342" t="s">
        <v>1576</v>
      </c>
      <c r="AK55" s="240">
        <f>21243*0.15</f>
        <v>3186.45</v>
      </c>
      <c r="AL55" s="240">
        <v>14486620</v>
      </c>
      <c r="AM55" s="255">
        <v>5.25</v>
      </c>
      <c r="AN55" s="239"/>
      <c r="AO55" s="239"/>
      <c r="AP55" s="239"/>
      <c r="AQ55" s="239"/>
      <c r="AR55" s="239"/>
      <c r="AS55" s="239"/>
      <c r="AT55" s="239"/>
      <c r="AU55" s="239"/>
      <c r="AV55" s="239"/>
      <c r="AW55" s="239"/>
      <c r="AX55" s="239"/>
      <c r="AY55" s="239"/>
      <c r="AZ55" s="106" t="s">
        <v>1561</v>
      </c>
      <c r="BA55" s="239"/>
    </row>
    <row r="56" spans="1:53" ht="75" x14ac:dyDescent="0.25">
      <c r="A56" s="107"/>
      <c r="B56" s="107"/>
      <c r="C56" s="106"/>
      <c r="D56" s="107"/>
      <c r="E56" s="106"/>
      <c r="F56" s="106"/>
      <c r="G56" s="106"/>
      <c r="H56" s="106"/>
      <c r="I56" s="106"/>
      <c r="J56" s="106"/>
      <c r="K56" s="136"/>
      <c r="L56" s="238"/>
      <c r="M56" s="106"/>
      <c r="N56" s="239"/>
      <c r="O56" s="239"/>
      <c r="P56" s="318"/>
      <c r="Q56" s="239"/>
      <c r="R56" s="239"/>
      <c r="S56" s="239"/>
      <c r="T56" s="239"/>
      <c r="U56" s="239"/>
      <c r="V56" s="239"/>
      <c r="W56" s="271">
        <f>18433737886/1000</f>
        <v>18433737.886</v>
      </c>
      <c r="X56" s="239"/>
      <c r="Y56" s="239"/>
      <c r="Z56" s="239"/>
      <c r="AA56" s="239"/>
      <c r="AB56" s="239"/>
      <c r="AC56" s="239"/>
      <c r="AD56" s="239"/>
      <c r="AE56" s="239"/>
      <c r="AF56" s="239"/>
      <c r="AG56" s="398" t="s">
        <v>1585</v>
      </c>
      <c r="AH56" s="330">
        <v>2018000030092</v>
      </c>
      <c r="AI56" s="342" t="s">
        <v>1586</v>
      </c>
      <c r="AJ56" s="342" t="s">
        <v>1587</v>
      </c>
      <c r="AK56" s="240">
        <v>27454</v>
      </c>
      <c r="AL56" s="240">
        <f>18433737886/1000</f>
        <v>18433737.886</v>
      </c>
      <c r="AM56" s="255">
        <v>5</v>
      </c>
      <c r="AN56" s="239"/>
      <c r="AO56" s="239"/>
      <c r="AP56" s="239"/>
      <c r="AQ56" s="239"/>
      <c r="AR56" s="239"/>
      <c r="AS56" s="239"/>
      <c r="AT56" s="239"/>
      <c r="AU56" s="239"/>
      <c r="AV56" s="239"/>
      <c r="AW56" s="239"/>
      <c r="AX56" s="239"/>
      <c r="AY56" s="239"/>
      <c r="AZ56" s="106" t="s">
        <v>1561</v>
      </c>
      <c r="BA56" s="239"/>
    </row>
    <row r="57" spans="1:53" ht="60" x14ac:dyDescent="0.25">
      <c r="A57" s="107"/>
      <c r="B57" s="107"/>
      <c r="C57" s="106"/>
      <c r="D57" s="107"/>
      <c r="E57" s="106"/>
      <c r="F57" s="106"/>
      <c r="G57" s="106"/>
      <c r="H57" s="106"/>
      <c r="I57" s="106"/>
      <c r="J57" s="106"/>
      <c r="K57" s="136"/>
      <c r="L57" s="238"/>
      <c r="M57" s="106"/>
      <c r="N57" s="239"/>
      <c r="O57" s="239"/>
      <c r="P57" s="318"/>
      <c r="Q57" s="239"/>
      <c r="R57" s="239"/>
      <c r="S57" s="239"/>
      <c r="T57" s="239"/>
      <c r="U57" s="239"/>
      <c r="V57" s="271">
        <f>25798547/1000</f>
        <v>25798.546999999999</v>
      </c>
      <c r="W57" s="239"/>
      <c r="X57" s="239"/>
      <c r="Y57" s="239"/>
      <c r="Z57" s="239"/>
      <c r="AA57" s="239"/>
      <c r="AB57" s="239"/>
      <c r="AC57" s="239"/>
      <c r="AD57" s="239"/>
      <c r="AE57" s="239"/>
      <c r="AF57" s="239"/>
      <c r="AG57" s="398" t="s">
        <v>1588</v>
      </c>
      <c r="AH57" s="330">
        <v>2018000030013</v>
      </c>
      <c r="AI57" s="342" t="s">
        <v>1589</v>
      </c>
      <c r="AJ57" s="342" t="s">
        <v>1587</v>
      </c>
      <c r="AK57" s="240">
        <v>28717</v>
      </c>
      <c r="AL57" s="240">
        <f>25798547020/1000</f>
        <v>25798547.02</v>
      </c>
      <c r="AM57" s="255">
        <v>10</v>
      </c>
      <c r="AN57" s="239"/>
      <c r="AO57" s="239"/>
      <c r="AP57" s="239"/>
      <c r="AQ57" s="239"/>
      <c r="AR57" s="239"/>
      <c r="AS57" s="239"/>
      <c r="AT57" s="239"/>
      <c r="AU57" s="239"/>
      <c r="AV57" s="239"/>
      <c r="AW57" s="239"/>
      <c r="AX57" s="239"/>
      <c r="AY57" s="239"/>
      <c r="AZ57" s="106" t="s">
        <v>1561</v>
      </c>
      <c r="BA57" s="103"/>
    </row>
    <row r="58" spans="1:53" ht="60" x14ac:dyDescent="0.25">
      <c r="A58" s="107"/>
      <c r="B58" s="107"/>
      <c r="C58" s="106"/>
      <c r="D58" s="107"/>
      <c r="E58" s="106"/>
      <c r="F58" s="106"/>
      <c r="G58" s="106"/>
      <c r="H58" s="106"/>
      <c r="I58" s="106"/>
      <c r="J58" s="106"/>
      <c r="K58" s="136"/>
      <c r="L58" s="238"/>
      <c r="M58" s="106"/>
      <c r="N58" s="239"/>
      <c r="O58" s="239"/>
      <c r="P58" s="318"/>
      <c r="Q58" s="239"/>
      <c r="R58" s="239"/>
      <c r="S58" s="239"/>
      <c r="T58" s="239"/>
      <c r="U58" s="239"/>
      <c r="V58" s="239"/>
      <c r="W58" s="239"/>
      <c r="X58" s="239"/>
      <c r="Y58" s="239"/>
      <c r="Z58" s="239"/>
      <c r="AA58" s="239"/>
      <c r="AB58" s="239"/>
      <c r="AC58" s="239"/>
      <c r="AD58" s="239"/>
      <c r="AE58" s="239"/>
      <c r="AF58" s="239"/>
      <c r="AG58" s="398" t="s">
        <v>1590</v>
      </c>
      <c r="AH58" s="337"/>
      <c r="AI58" s="270" t="s">
        <v>1589</v>
      </c>
      <c r="AJ58" s="270" t="s">
        <v>1587</v>
      </c>
      <c r="AK58" s="338">
        <v>4500</v>
      </c>
      <c r="AL58" s="338">
        <f>1235385415/1000</f>
        <v>1235385.415</v>
      </c>
      <c r="AM58" s="270">
        <v>450</v>
      </c>
      <c r="AN58" s="239"/>
      <c r="AO58" s="239"/>
      <c r="AP58" s="239"/>
      <c r="AQ58" s="239"/>
      <c r="AR58" s="239"/>
      <c r="AS58" s="239"/>
      <c r="AT58" s="239"/>
      <c r="AU58" s="239"/>
      <c r="AV58" s="239"/>
      <c r="AW58" s="239"/>
      <c r="AX58" s="239"/>
      <c r="AY58" s="239"/>
      <c r="AZ58" s="106" t="s">
        <v>1499</v>
      </c>
      <c r="BA58" s="239"/>
    </row>
    <row r="59" spans="1:53" ht="105" x14ac:dyDescent="0.25">
      <c r="A59" s="107"/>
      <c r="B59" s="107"/>
      <c r="C59" s="106"/>
      <c r="D59" s="107"/>
      <c r="E59" s="106"/>
      <c r="F59" s="106"/>
      <c r="G59" s="106"/>
      <c r="H59" s="106"/>
      <c r="I59" s="106"/>
      <c r="J59" s="106"/>
      <c r="K59" s="136"/>
      <c r="L59" s="238"/>
      <c r="M59" s="106"/>
      <c r="N59" s="239"/>
      <c r="O59" s="239"/>
      <c r="P59" s="318"/>
      <c r="Q59" s="239"/>
      <c r="R59" s="239"/>
      <c r="S59" s="239"/>
      <c r="T59" s="239"/>
      <c r="U59" s="239"/>
      <c r="V59" s="239"/>
      <c r="W59" s="239"/>
      <c r="X59" s="239"/>
      <c r="Y59" s="239"/>
      <c r="Z59" s="239"/>
      <c r="AA59" s="239"/>
      <c r="AB59" s="239"/>
      <c r="AC59" s="239"/>
      <c r="AD59" s="239"/>
      <c r="AE59" s="239"/>
      <c r="AF59" s="239"/>
      <c r="AG59" s="398" t="s">
        <v>1591</v>
      </c>
      <c r="AH59" s="330">
        <v>20181719000153</v>
      </c>
      <c r="AI59" s="342" t="s">
        <v>1592</v>
      </c>
      <c r="AJ59" s="342" t="s">
        <v>874</v>
      </c>
      <c r="AK59" s="240">
        <v>33540</v>
      </c>
      <c r="AL59" s="240">
        <f>5626582263/1000</f>
        <v>5626582.2630000003</v>
      </c>
      <c r="AM59" s="255">
        <v>2.38</v>
      </c>
      <c r="AN59" s="239"/>
      <c r="AO59" s="239"/>
      <c r="AP59" s="239"/>
      <c r="AQ59" s="239"/>
      <c r="AR59" s="239"/>
      <c r="AS59" s="239"/>
      <c r="AT59" s="239"/>
      <c r="AU59" s="239"/>
      <c r="AV59" s="239"/>
      <c r="AW59" s="239"/>
      <c r="AX59" s="239"/>
      <c r="AY59" s="239"/>
      <c r="AZ59" s="106" t="s">
        <v>1561</v>
      </c>
      <c r="BA59" s="103"/>
    </row>
    <row r="60" spans="1:53" ht="75" x14ac:dyDescent="0.25">
      <c r="A60" s="107"/>
      <c r="B60" s="107"/>
      <c r="C60" s="106"/>
      <c r="D60" s="107"/>
      <c r="E60" s="106"/>
      <c r="F60" s="106"/>
      <c r="G60" s="106"/>
      <c r="H60" s="106"/>
      <c r="I60" s="106"/>
      <c r="J60" s="106"/>
      <c r="K60" s="136"/>
      <c r="L60" s="238"/>
      <c r="M60" s="106"/>
      <c r="N60" s="239"/>
      <c r="O60" s="239"/>
      <c r="P60" s="318"/>
      <c r="Q60" s="239"/>
      <c r="R60" s="239"/>
      <c r="S60" s="239"/>
      <c r="T60" s="239"/>
      <c r="U60" s="239"/>
      <c r="V60" s="239"/>
      <c r="W60" s="239"/>
      <c r="X60" s="239"/>
      <c r="Y60" s="239"/>
      <c r="Z60" s="239"/>
      <c r="AA60" s="239"/>
      <c r="AB60" s="239"/>
      <c r="AC60" s="239"/>
      <c r="AD60" s="239"/>
      <c r="AE60" s="239"/>
      <c r="AF60" s="239"/>
      <c r="AG60" s="398" t="s">
        <v>1593</v>
      </c>
      <c r="AH60" s="343">
        <v>20181719000152</v>
      </c>
      <c r="AI60" s="344" t="s">
        <v>1579</v>
      </c>
      <c r="AJ60" s="344" t="s">
        <v>874</v>
      </c>
      <c r="AK60" s="257">
        <v>20000</v>
      </c>
      <c r="AL60" s="257">
        <f>6582504972/1000</f>
        <v>6582504.9720000001</v>
      </c>
      <c r="AM60" s="258">
        <v>5.6</v>
      </c>
      <c r="AN60" s="239"/>
      <c r="AO60" s="239"/>
      <c r="AP60" s="239"/>
      <c r="AQ60" s="239"/>
      <c r="AR60" s="239"/>
      <c r="AS60" s="239"/>
      <c r="AT60" s="239"/>
      <c r="AU60" s="239"/>
      <c r="AV60" s="239"/>
      <c r="AW60" s="239"/>
      <c r="AX60" s="239"/>
      <c r="AY60" s="239"/>
      <c r="AZ60" s="106" t="s">
        <v>1594</v>
      </c>
      <c r="BA60" s="239"/>
    </row>
    <row r="61" spans="1:53" ht="75" x14ac:dyDescent="0.25">
      <c r="A61" s="107"/>
      <c r="B61" s="107"/>
      <c r="C61" s="106"/>
      <c r="D61" s="107"/>
      <c r="E61" s="106"/>
      <c r="F61" s="106"/>
      <c r="G61" s="106"/>
      <c r="H61" s="106"/>
      <c r="I61" s="106"/>
      <c r="J61" s="106"/>
      <c r="K61" s="136"/>
      <c r="L61" s="238"/>
      <c r="M61" s="106"/>
      <c r="N61" s="239"/>
      <c r="O61" s="239"/>
      <c r="P61" s="318"/>
      <c r="Q61" s="239"/>
      <c r="R61" s="239"/>
      <c r="S61" s="239"/>
      <c r="T61" s="239"/>
      <c r="U61" s="239"/>
      <c r="V61" s="271">
        <f>1503000000/1000</f>
        <v>1503000</v>
      </c>
      <c r="W61" s="239"/>
      <c r="X61" s="239"/>
      <c r="Y61" s="239"/>
      <c r="Z61" s="239"/>
      <c r="AA61" s="239"/>
      <c r="AB61" s="239"/>
      <c r="AC61" s="239"/>
      <c r="AD61" s="239"/>
      <c r="AE61" s="271">
        <f>1496999992/1000</f>
        <v>1496999.9920000001</v>
      </c>
      <c r="AF61" s="239"/>
      <c r="AG61" s="398" t="s">
        <v>1595</v>
      </c>
      <c r="AH61" s="259">
        <v>2017000030193</v>
      </c>
      <c r="AI61" s="344" t="s">
        <v>1596</v>
      </c>
      <c r="AJ61" s="344" t="s">
        <v>1582</v>
      </c>
      <c r="AK61" s="257">
        <v>58714</v>
      </c>
      <c r="AL61" s="257">
        <f>299999999/1000</f>
        <v>299999.99900000001</v>
      </c>
      <c r="AM61" s="258">
        <v>0.81200000000000006</v>
      </c>
      <c r="AN61" s="239"/>
      <c r="AO61" s="239"/>
      <c r="AP61" s="239"/>
      <c r="AQ61" s="239"/>
      <c r="AR61" s="239"/>
      <c r="AS61" s="239"/>
      <c r="AT61" s="239"/>
      <c r="AU61" s="239"/>
      <c r="AV61" s="239"/>
      <c r="AW61" s="239"/>
      <c r="AX61" s="239"/>
      <c r="AY61" s="239"/>
      <c r="AZ61" s="106" t="s">
        <v>1594</v>
      </c>
      <c r="BA61" s="239"/>
    </row>
    <row r="62" spans="1:53" ht="105" x14ac:dyDescent="0.25">
      <c r="A62" s="107"/>
      <c r="B62" s="107"/>
      <c r="C62" s="106"/>
      <c r="D62" s="107"/>
      <c r="E62" s="106"/>
      <c r="F62" s="106"/>
      <c r="G62" s="106"/>
      <c r="H62" s="106"/>
      <c r="I62" s="106"/>
      <c r="J62" s="106"/>
      <c r="K62" s="136"/>
      <c r="L62" s="238"/>
      <c r="M62" s="106"/>
      <c r="N62" s="239"/>
      <c r="O62" s="239"/>
      <c r="P62" s="318"/>
      <c r="Q62" s="239"/>
      <c r="R62" s="239"/>
      <c r="S62" s="239"/>
      <c r="T62" s="239"/>
      <c r="U62" s="239"/>
      <c r="V62" s="239"/>
      <c r="W62" s="239"/>
      <c r="X62" s="239"/>
      <c r="Y62" s="239"/>
      <c r="Z62" s="239"/>
      <c r="AA62" s="271">
        <f>4987251571/1000</f>
        <v>4987251.5710000005</v>
      </c>
      <c r="AB62" s="239"/>
      <c r="AC62" s="239"/>
      <c r="AD62" s="239"/>
      <c r="AE62" s="239"/>
      <c r="AF62" s="239"/>
      <c r="AG62" s="398" t="s">
        <v>1597</v>
      </c>
      <c r="AH62" s="330">
        <v>20181301011091</v>
      </c>
      <c r="AI62" s="342" t="s">
        <v>1579</v>
      </c>
      <c r="AJ62" s="342" t="s">
        <v>874</v>
      </c>
      <c r="AK62" s="240">
        <v>33653</v>
      </c>
      <c r="AL62" s="240">
        <f>4987251571/1000</f>
        <v>4987251.5710000005</v>
      </c>
      <c r="AM62" s="255">
        <v>3.9</v>
      </c>
      <c r="AN62" s="239"/>
      <c r="AO62" s="239"/>
      <c r="AP62" s="239"/>
      <c r="AQ62" s="239"/>
      <c r="AR62" s="239"/>
      <c r="AS62" s="239"/>
      <c r="AT62" s="239"/>
      <c r="AU62" s="239"/>
      <c r="AV62" s="239"/>
      <c r="AW62" s="239"/>
      <c r="AX62" s="239"/>
      <c r="AY62" s="239"/>
      <c r="AZ62" s="106" t="s">
        <v>1561</v>
      </c>
      <c r="BA62" s="103"/>
    </row>
    <row r="63" spans="1:53" ht="105" x14ac:dyDescent="0.25">
      <c r="A63" s="107"/>
      <c r="B63" s="107"/>
      <c r="C63" s="106"/>
      <c r="D63" s="107"/>
      <c r="E63" s="106"/>
      <c r="F63" s="106"/>
      <c r="G63" s="106"/>
      <c r="H63" s="106"/>
      <c r="I63" s="106"/>
      <c r="J63" s="106"/>
      <c r="K63" s="136"/>
      <c r="L63" s="238"/>
      <c r="M63" s="106"/>
      <c r="N63" s="239"/>
      <c r="O63" s="239"/>
      <c r="P63" s="318"/>
      <c r="Q63" s="239"/>
      <c r="R63" s="239"/>
      <c r="S63" s="239"/>
      <c r="T63" s="239"/>
      <c r="U63" s="239"/>
      <c r="V63" s="239"/>
      <c r="W63" s="271">
        <f>892039508/1000</f>
        <v>892039.50800000003</v>
      </c>
      <c r="X63" s="239"/>
      <c r="Y63" s="239"/>
      <c r="Z63" s="239"/>
      <c r="AA63" s="239"/>
      <c r="AB63" s="239"/>
      <c r="AC63" s="239"/>
      <c r="AD63" s="239"/>
      <c r="AE63" s="239"/>
      <c r="AF63" s="239"/>
      <c r="AG63" s="398" t="s">
        <v>1598</v>
      </c>
      <c r="AH63" s="343">
        <v>2018000030050</v>
      </c>
      <c r="AI63" s="344" t="s">
        <v>1599</v>
      </c>
      <c r="AJ63" s="344" t="s">
        <v>1576</v>
      </c>
      <c r="AK63" s="257">
        <v>3253</v>
      </c>
      <c r="AL63" s="257">
        <f>892039508/1000</f>
        <v>892039.50800000003</v>
      </c>
      <c r="AM63" s="260">
        <v>0.47499999999999998</v>
      </c>
      <c r="AN63" s="239"/>
      <c r="AO63" s="239"/>
      <c r="AP63" s="239"/>
      <c r="AQ63" s="239"/>
      <c r="AR63" s="239"/>
      <c r="AS63" s="239"/>
      <c r="AT63" s="239"/>
      <c r="AU63" s="239"/>
      <c r="AV63" s="239"/>
      <c r="AW63" s="239"/>
      <c r="AX63" s="239"/>
      <c r="AY63" s="239"/>
      <c r="AZ63" s="106" t="s">
        <v>1600</v>
      </c>
      <c r="BA63" s="239"/>
    </row>
    <row r="64" spans="1:53" ht="90" x14ac:dyDescent="0.25">
      <c r="A64" s="107"/>
      <c r="B64" s="107"/>
      <c r="C64" s="106"/>
      <c r="D64" s="107"/>
      <c r="E64" s="106"/>
      <c r="F64" s="106"/>
      <c r="G64" s="106"/>
      <c r="H64" s="106"/>
      <c r="I64" s="106"/>
      <c r="J64" s="106"/>
      <c r="K64" s="136"/>
      <c r="L64" s="238"/>
      <c r="M64" s="106"/>
      <c r="N64" s="239"/>
      <c r="O64" s="239"/>
      <c r="P64" s="318"/>
      <c r="Q64" s="239"/>
      <c r="R64" s="239"/>
      <c r="S64" s="239"/>
      <c r="T64" s="239"/>
      <c r="U64" s="239"/>
      <c r="V64" s="239"/>
      <c r="W64" s="239"/>
      <c r="X64" s="239"/>
      <c r="Y64" s="239"/>
      <c r="Z64" s="239"/>
      <c r="AA64" s="239"/>
      <c r="AB64" s="239"/>
      <c r="AC64" s="239"/>
      <c r="AD64" s="239"/>
      <c r="AE64" s="239"/>
      <c r="AF64" s="239"/>
      <c r="AG64" s="398" t="s">
        <v>1601</v>
      </c>
      <c r="AH64" s="337"/>
      <c r="AI64" s="270" t="s">
        <v>1602</v>
      </c>
      <c r="AJ64" s="270" t="s">
        <v>1587</v>
      </c>
      <c r="AK64" s="338">
        <v>88672</v>
      </c>
      <c r="AL64" s="338">
        <f>152144519/1000</f>
        <v>152144.519</v>
      </c>
      <c r="AM64" s="270"/>
      <c r="AN64" s="239"/>
      <c r="AO64" s="239"/>
      <c r="AP64" s="239"/>
      <c r="AQ64" s="239"/>
      <c r="AR64" s="239"/>
      <c r="AS64" s="239"/>
      <c r="AT64" s="239"/>
      <c r="AU64" s="239"/>
      <c r="AV64" s="239"/>
      <c r="AW64" s="239"/>
      <c r="AX64" s="239"/>
      <c r="AY64" s="239"/>
      <c r="AZ64" s="106" t="s">
        <v>1499</v>
      </c>
      <c r="BA64" s="103"/>
    </row>
    <row r="65" spans="1:53" ht="45" x14ac:dyDescent="0.25">
      <c r="A65" s="107"/>
      <c r="B65" s="107"/>
      <c r="C65" s="106"/>
      <c r="D65" s="107"/>
      <c r="E65" s="106"/>
      <c r="F65" s="106"/>
      <c r="G65" s="106"/>
      <c r="H65" s="106"/>
      <c r="I65" s="106"/>
      <c r="J65" s="106"/>
      <c r="K65" s="136"/>
      <c r="L65" s="238"/>
      <c r="M65" s="106"/>
      <c r="N65" s="239"/>
      <c r="O65" s="239"/>
      <c r="P65" s="318"/>
      <c r="Q65" s="239"/>
      <c r="R65" s="239"/>
      <c r="S65" s="239"/>
      <c r="T65" s="239"/>
      <c r="U65" s="239"/>
      <c r="V65" s="239"/>
      <c r="W65" s="239"/>
      <c r="X65" s="239"/>
      <c r="Y65" s="239"/>
      <c r="Z65" s="239"/>
      <c r="AA65" s="239"/>
      <c r="AB65" s="239"/>
      <c r="AC65" s="239"/>
      <c r="AD65" s="239"/>
      <c r="AE65" s="239"/>
      <c r="AF65" s="239"/>
      <c r="AG65" s="398" t="s">
        <v>1603</v>
      </c>
      <c r="AH65" s="343"/>
      <c r="AI65" s="344"/>
      <c r="AJ65" s="344"/>
      <c r="AK65" s="257"/>
      <c r="AL65" s="257"/>
      <c r="AM65" s="258"/>
      <c r="AN65" s="239"/>
      <c r="AO65" s="239"/>
      <c r="AP65" s="239"/>
      <c r="AQ65" s="239"/>
      <c r="AR65" s="239"/>
      <c r="AS65" s="239"/>
      <c r="AT65" s="239"/>
      <c r="AU65" s="239"/>
      <c r="AV65" s="239"/>
      <c r="AW65" s="239"/>
      <c r="AX65" s="239"/>
      <c r="AY65" s="239"/>
      <c r="AZ65" s="106" t="s">
        <v>1604</v>
      </c>
      <c r="BA65" s="239"/>
    </row>
    <row r="66" spans="1:53" ht="60" x14ac:dyDescent="0.25">
      <c r="A66" s="107"/>
      <c r="B66" s="107"/>
      <c r="C66" s="106"/>
      <c r="D66" s="107"/>
      <c r="E66" s="106"/>
      <c r="F66" s="106"/>
      <c r="G66" s="106"/>
      <c r="H66" s="106"/>
      <c r="I66" s="106"/>
      <c r="J66" s="106"/>
      <c r="K66" s="136"/>
      <c r="L66" s="238"/>
      <c r="M66" s="106"/>
      <c r="N66" s="239"/>
      <c r="O66" s="239"/>
      <c r="P66" s="318"/>
      <c r="Q66" s="239"/>
      <c r="R66" s="239"/>
      <c r="S66" s="239"/>
      <c r="T66" s="239"/>
      <c r="U66" s="239"/>
      <c r="V66" s="239"/>
      <c r="W66" s="239"/>
      <c r="X66" s="239"/>
      <c r="Y66" s="239"/>
      <c r="Z66" s="239"/>
      <c r="AA66" s="239"/>
      <c r="AB66" s="239"/>
      <c r="AC66" s="239"/>
      <c r="AD66" s="239"/>
      <c r="AE66" s="239"/>
      <c r="AF66" s="239"/>
      <c r="AG66" s="398" t="s">
        <v>1605</v>
      </c>
      <c r="AH66" s="330">
        <v>2017000030080</v>
      </c>
      <c r="AI66" s="342" t="s">
        <v>1486</v>
      </c>
      <c r="AJ66" s="342" t="s">
        <v>1587</v>
      </c>
      <c r="AK66" s="240">
        <v>50448</v>
      </c>
      <c r="AL66" s="240">
        <v>14358351.122</v>
      </c>
      <c r="AM66" s="255">
        <v>5</v>
      </c>
      <c r="AN66" s="239"/>
      <c r="AO66" s="239"/>
      <c r="AP66" s="239"/>
      <c r="AQ66" s="239"/>
      <c r="AR66" s="239"/>
      <c r="AS66" s="239"/>
      <c r="AT66" s="239"/>
      <c r="AU66" s="239"/>
      <c r="AV66" s="239"/>
      <c r="AW66" s="239"/>
      <c r="AX66" s="239"/>
      <c r="AY66" s="239"/>
      <c r="AZ66" s="106" t="s">
        <v>1561</v>
      </c>
      <c r="BA66" s="239"/>
    </row>
    <row r="67" spans="1:53" ht="90" x14ac:dyDescent="0.25">
      <c r="A67" s="107"/>
      <c r="B67" s="107"/>
      <c r="C67" s="106"/>
      <c r="D67" s="107"/>
      <c r="E67" s="106"/>
      <c r="F67" s="106"/>
      <c r="G67" s="106"/>
      <c r="H67" s="106"/>
      <c r="I67" s="106"/>
      <c r="J67" s="106"/>
      <c r="K67" s="136"/>
      <c r="L67" s="238"/>
      <c r="M67" s="106"/>
      <c r="N67" s="239"/>
      <c r="O67" s="239"/>
      <c r="P67" s="318"/>
      <c r="Q67" s="239"/>
      <c r="R67" s="239"/>
      <c r="S67" s="239"/>
      <c r="T67" s="239"/>
      <c r="U67" s="239"/>
      <c r="V67" s="239"/>
      <c r="W67" s="239"/>
      <c r="X67" s="239"/>
      <c r="Y67" s="239"/>
      <c r="Z67" s="239"/>
      <c r="AA67" s="239"/>
      <c r="AB67" s="239"/>
      <c r="AC67" s="239"/>
      <c r="AD67" s="239"/>
      <c r="AE67" s="239"/>
      <c r="AF67" s="239"/>
      <c r="AG67" s="398" t="s">
        <v>1606</v>
      </c>
      <c r="AH67" s="330"/>
      <c r="AI67" s="342"/>
      <c r="AJ67" s="342"/>
      <c r="AK67" s="240"/>
      <c r="AL67" s="240"/>
      <c r="AM67" s="255"/>
      <c r="AN67" s="239"/>
      <c r="AO67" s="239"/>
      <c r="AP67" s="239"/>
      <c r="AQ67" s="239"/>
      <c r="AR67" s="239"/>
      <c r="AS67" s="239"/>
      <c r="AT67" s="239"/>
      <c r="AU67" s="239"/>
      <c r="AV67" s="239"/>
      <c r="AW67" s="239"/>
      <c r="AX67" s="239"/>
      <c r="AY67" s="239"/>
      <c r="AZ67" s="106" t="s">
        <v>1561</v>
      </c>
      <c r="BA67" s="239"/>
    </row>
    <row r="68" spans="1:53" ht="90" x14ac:dyDescent="0.25">
      <c r="A68" s="107"/>
      <c r="B68" s="107"/>
      <c r="C68" s="106"/>
      <c r="D68" s="107"/>
      <c r="E68" s="106"/>
      <c r="F68" s="106"/>
      <c r="G68" s="106"/>
      <c r="H68" s="106"/>
      <c r="I68" s="106"/>
      <c r="J68" s="106"/>
      <c r="K68" s="136"/>
      <c r="L68" s="238"/>
      <c r="M68" s="106"/>
      <c r="N68" s="239"/>
      <c r="O68" s="239"/>
      <c r="P68" s="318"/>
      <c r="Q68" s="239"/>
      <c r="R68" s="239"/>
      <c r="S68" s="239"/>
      <c r="T68" s="239"/>
      <c r="U68" s="239"/>
      <c r="V68" s="239"/>
      <c r="W68" s="239"/>
      <c r="X68" s="239"/>
      <c r="Y68" s="239"/>
      <c r="Z68" s="239"/>
      <c r="AA68" s="239"/>
      <c r="AB68" s="239"/>
      <c r="AC68" s="239"/>
      <c r="AD68" s="239"/>
      <c r="AE68" s="239"/>
      <c r="AF68" s="239"/>
      <c r="AG68" s="398" t="s">
        <v>1607</v>
      </c>
      <c r="AH68" s="330">
        <v>2017000030084</v>
      </c>
      <c r="AI68" s="270" t="s">
        <v>1608</v>
      </c>
      <c r="AJ68" s="270" t="s">
        <v>874</v>
      </c>
      <c r="AK68" s="240">
        <f>93545*0.2</f>
        <v>18709</v>
      </c>
      <c r="AL68" s="240">
        <v>14530480</v>
      </c>
      <c r="AM68" s="255">
        <v>5.7</v>
      </c>
      <c r="AN68" s="239"/>
      <c r="AO68" s="239"/>
      <c r="AP68" s="239"/>
      <c r="AQ68" s="239"/>
      <c r="AR68" s="239"/>
      <c r="AS68" s="239"/>
      <c r="AT68" s="239"/>
      <c r="AU68" s="239"/>
      <c r="AV68" s="239"/>
      <c r="AW68" s="239"/>
      <c r="AX68" s="239"/>
      <c r="AY68" s="239"/>
      <c r="AZ68" s="106" t="s">
        <v>1577</v>
      </c>
      <c r="BA68" s="239"/>
    </row>
    <row r="69" spans="1:53" ht="45" x14ac:dyDescent="0.25">
      <c r="A69" s="107"/>
      <c r="B69" s="107"/>
      <c r="C69" s="106"/>
      <c r="D69" s="107"/>
      <c r="E69" s="106"/>
      <c r="F69" s="106"/>
      <c r="G69" s="106"/>
      <c r="H69" s="106"/>
      <c r="I69" s="106"/>
      <c r="J69" s="106"/>
      <c r="K69" s="136"/>
      <c r="L69" s="238"/>
      <c r="M69" s="106"/>
      <c r="N69" s="239"/>
      <c r="O69" s="239"/>
      <c r="P69" s="318"/>
      <c r="Q69" s="239"/>
      <c r="R69" s="239"/>
      <c r="S69" s="239"/>
      <c r="T69" s="239"/>
      <c r="U69" s="239"/>
      <c r="V69" s="239"/>
      <c r="W69" s="239"/>
      <c r="X69" s="239"/>
      <c r="Y69" s="239"/>
      <c r="Z69" s="239"/>
      <c r="AA69" s="239"/>
      <c r="AB69" s="239"/>
      <c r="AC69" s="239"/>
      <c r="AD69" s="239"/>
      <c r="AE69" s="239"/>
      <c r="AF69" s="239"/>
      <c r="AG69" s="398" t="s">
        <v>1609</v>
      </c>
      <c r="AH69" s="337">
        <v>2017000030172</v>
      </c>
      <c r="AI69" s="270" t="s">
        <v>1610</v>
      </c>
      <c r="AJ69" s="270" t="s">
        <v>1582</v>
      </c>
      <c r="AK69" s="261">
        <f>277540*0.15</f>
        <v>41631</v>
      </c>
      <c r="AL69" s="261">
        <v>3104054</v>
      </c>
      <c r="AM69" s="255">
        <v>1.05</v>
      </c>
      <c r="AN69" s="239"/>
      <c r="AO69" s="239"/>
      <c r="AP69" s="239"/>
      <c r="AQ69" s="239"/>
      <c r="AR69" s="239"/>
      <c r="AS69" s="239"/>
      <c r="AT69" s="239"/>
      <c r="AU69" s="239"/>
      <c r="AV69" s="239"/>
      <c r="AW69" s="239"/>
      <c r="AX69" s="239"/>
      <c r="AY69" s="239"/>
      <c r="AZ69" s="106" t="s">
        <v>1604</v>
      </c>
      <c r="BA69" s="239"/>
    </row>
    <row r="70" spans="1:53" ht="60" x14ac:dyDescent="0.25">
      <c r="A70" s="107"/>
      <c r="B70" s="107"/>
      <c r="C70" s="106"/>
      <c r="D70" s="107"/>
      <c r="E70" s="106"/>
      <c r="F70" s="106"/>
      <c r="G70" s="106"/>
      <c r="H70" s="106"/>
      <c r="I70" s="106"/>
      <c r="J70" s="106"/>
      <c r="K70" s="136"/>
      <c r="L70" s="238"/>
      <c r="M70" s="106"/>
      <c r="N70" s="239"/>
      <c r="O70" s="239"/>
      <c r="P70" s="318"/>
      <c r="Q70" s="239"/>
      <c r="R70" s="239"/>
      <c r="S70" s="239"/>
      <c r="T70" s="239"/>
      <c r="U70" s="239"/>
      <c r="V70" s="239"/>
      <c r="W70" s="239"/>
      <c r="X70" s="239"/>
      <c r="Y70" s="239"/>
      <c r="Z70" s="239"/>
      <c r="AA70" s="239"/>
      <c r="AB70" s="239"/>
      <c r="AC70" s="239"/>
      <c r="AD70" s="239"/>
      <c r="AE70" s="239"/>
      <c r="AF70" s="239"/>
      <c r="AG70" s="398" t="s">
        <v>1611</v>
      </c>
      <c r="AH70" s="330"/>
      <c r="AI70" s="342" t="s">
        <v>1612</v>
      </c>
      <c r="AJ70" s="342" t="s">
        <v>1475</v>
      </c>
      <c r="AK70" s="240">
        <v>31546</v>
      </c>
      <c r="AL70" s="240"/>
      <c r="AM70" s="255">
        <v>5.8</v>
      </c>
      <c r="AN70" s="239"/>
      <c r="AO70" s="239"/>
      <c r="AP70" s="239"/>
      <c r="AQ70" s="239"/>
      <c r="AR70" s="239"/>
      <c r="AS70" s="239"/>
      <c r="AT70" s="239"/>
      <c r="AU70" s="239"/>
      <c r="AV70" s="239"/>
      <c r="AW70" s="239"/>
      <c r="AX70" s="239"/>
      <c r="AY70" s="239"/>
      <c r="AZ70" s="106" t="s">
        <v>1561</v>
      </c>
      <c r="BA70" s="103"/>
    </row>
    <row r="71" spans="1:53" ht="105" x14ac:dyDescent="0.25">
      <c r="A71" s="107"/>
      <c r="B71" s="107"/>
      <c r="C71" s="106"/>
      <c r="D71" s="107"/>
      <c r="E71" s="106"/>
      <c r="F71" s="106"/>
      <c r="G71" s="106"/>
      <c r="H71" s="106"/>
      <c r="I71" s="106"/>
      <c r="J71" s="106"/>
      <c r="K71" s="136"/>
      <c r="L71" s="238"/>
      <c r="M71" s="106"/>
      <c r="N71" s="239"/>
      <c r="O71" s="239"/>
      <c r="P71" s="318"/>
      <c r="Q71" s="239"/>
      <c r="R71" s="239"/>
      <c r="S71" s="239"/>
      <c r="T71" s="239"/>
      <c r="U71" s="239"/>
      <c r="V71" s="239"/>
      <c r="W71" s="239"/>
      <c r="X71" s="239"/>
      <c r="Y71" s="239"/>
      <c r="Z71" s="239"/>
      <c r="AA71" s="239"/>
      <c r="AB71" s="239"/>
      <c r="AC71" s="239"/>
      <c r="AD71" s="239"/>
      <c r="AE71" s="239"/>
      <c r="AF71" s="239"/>
      <c r="AG71" s="398" t="s">
        <v>1613</v>
      </c>
      <c r="AH71" s="330">
        <v>2014000030044</v>
      </c>
      <c r="AI71" s="342" t="s">
        <v>1610</v>
      </c>
      <c r="AJ71" s="342" t="s">
        <v>1582</v>
      </c>
      <c r="AK71" s="240">
        <v>916657</v>
      </c>
      <c r="AL71" s="240">
        <v>2699941</v>
      </c>
      <c r="AM71" s="255">
        <v>0.32</v>
      </c>
      <c r="AN71" s="239"/>
      <c r="AO71" s="239"/>
      <c r="AP71" s="239"/>
      <c r="AQ71" s="239"/>
      <c r="AR71" s="239"/>
      <c r="AS71" s="239"/>
      <c r="AT71" s="239"/>
      <c r="AU71" s="239"/>
      <c r="AV71" s="239"/>
      <c r="AW71" s="239"/>
      <c r="AX71" s="239"/>
      <c r="AY71" s="239"/>
      <c r="AZ71" s="106" t="s">
        <v>1561</v>
      </c>
      <c r="BA71" s="103"/>
    </row>
    <row r="72" spans="1:53" ht="75.75" thickBot="1" x14ac:dyDescent="0.3">
      <c r="A72" s="107"/>
      <c r="B72" s="107"/>
      <c r="C72" s="106"/>
      <c r="D72" s="107"/>
      <c r="E72" s="106"/>
      <c r="F72" s="106"/>
      <c r="G72" s="106"/>
      <c r="H72" s="106"/>
      <c r="I72" s="106"/>
      <c r="J72" s="106"/>
      <c r="K72" s="136"/>
      <c r="L72" s="238"/>
      <c r="M72" s="106"/>
      <c r="N72" s="239"/>
      <c r="O72" s="239"/>
      <c r="P72" s="318"/>
      <c r="Q72" s="239"/>
      <c r="R72" s="239"/>
      <c r="S72" s="239"/>
      <c r="T72" s="239"/>
      <c r="U72" s="239"/>
      <c r="V72" s="239"/>
      <c r="W72" s="239"/>
      <c r="X72" s="239"/>
      <c r="Y72" s="239"/>
      <c r="Z72" s="239"/>
      <c r="AA72" s="239"/>
      <c r="AB72" s="239"/>
      <c r="AC72" s="239"/>
      <c r="AD72" s="239"/>
      <c r="AE72" s="239"/>
      <c r="AF72" s="239"/>
      <c r="AG72" s="398" t="s">
        <v>1614</v>
      </c>
      <c r="AH72" s="330"/>
      <c r="AI72" s="342" t="s">
        <v>1610</v>
      </c>
      <c r="AJ72" s="342" t="s">
        <v>1582</v>
      </c>
      <c r="AK72" s="240">
        <v>916657</v>
      </c>
      <c r="AL72" s="240">
        <f>2758450952/1000</f>
        <v>2758450.952</v>
      </c>
      <c r="AM72" s="255">
        <v>1.35</v>
      </c>
      <c r="AN72" s="239"/>
      <c r="AO72" s="239"/>
      <c r="AP72" s="239"/>
      <c r="AQ72" s="239"/>
      <c r="AR72" s="239"/>
      <c r="AS72" s="239"/>
      <c r="AT72" s="239"/>
      <c r="AU72" s="239"/>
      <c r="AV72" s="239"/>
      <c r="AW72" s="239"/>
      <c r="AX72" s="239"/>
      <c r="AY72" s="239"/>
      <c r="AZ72" s="106" t="s">
        <v>1561</v>
      </c>
      <c r="BA72" s="103"/>
    </row>
    <row r="73" spans="1:53" ht="135.75" thickBot="1" x14ac:dyDescent="0.3">
      <c r="A73" s="107"/>
      <c r="B73" s="107"/>
      <c r="C73" s="106"/>
      <c r="D73" s="107"/>
      <c r="E73" s="106"/>
      <c r="F73" s="106"/>
      <c r="G73" s="106"/>
      <c r="H73" s="106"/>
      <c r="I73" s="106"/>
      <c r="J73" s="106"/>
      <c r="K73" s="136"/>
      <c r="L73" s="238"/>
      <c r="M73" s="106"/>
      <c r="N73" s="239"/>
      <c r="O73" s="239"/>
      <c r="P73" s="318"/>
      <c r="Q73" s="239"/>
      <c r="R73" s="239"/>
      <c r="S73" s="239"/>
      <c r="T73" s="239"/>
      <c r="U73" s="239"/>
      <c r="V73" s="271">
        <f>5152400898/1000</f>
        <v>5152400.898</v>
      </c>
      <c r="W73" s="239"/>
      <c r="X73" s="239"/>
      <c r="Y73" s="239"/>
      <c r="Z73" s="239"/>
      <c r="AA73" s="239"/>
      <c r="AB73" s="239"/>
      <c r="AC73" s="239"/>
      <c r="AD73" s="239"/>
      <c r="AE73" s="271">
        <f>2993409230/1000</f>
        <v>2993409.23</v>
      </c>
      <c r="AF73" s="239"/>
      <c r="AG73" s="375" t="s">
        <v>1615</v>
      </c>
      <c r="AH73" s="345">
        <v>2018000030014</v>
      </c>
      <c r="AI73" s="346" t="s">
        <v>1616</v>
      </c>
      <c r="AJ73" s="342" t="s">
        <v>1617</v>
      </c>
      <c r="AK73" s="240">
        <v>84628</v>
      </c>
      <c r="AL73" s="240">
        <f>8145810128/1000</f>
        <v>8145810.1279999996</v>
      </c>
      <c r="AM73" s="255">
        <v>5.2</v>
      </c>
      <c r="AN73" s="239"/>
      <c r="AO73" s="239"/>
      <c r="AP73" s="239"/>
      <c r="AQ73" s="239"/>
      <c r="AR73" s="239"/>
      <c r="AS73" s="239"/>
      <c r="AT73" s="239"/>
      <c r="AU73" s="239"/>
      <c r="AV73" s="239"/>
      <c r="AW73" s="239"/>
      <c r="AX73" s="239"/>
      <c r="AY73" s="239"/>
      <c r="AZ73" s="106"/>
      <c r="BA73" s="103"/>
    </row>
    <row r="74" spans="1:53" ht="60.75" thickBot="1" x14ac:dyDescent="0.3">
      <c r="A74" s="107"/>
      <c r="B74" s="107"/>
      <c r="C74" s="106"/>
      <c r="D74" s="107"/>
      <c r="E74" s="106"/>
      <c r="F74" s="106"/>
      <c r="G74" s="106"/>
      <c r="H74" s="106"/>
      <c r="I74" s="106"/>
      <c r="J74" s="106"/>
      <c r="K74" s="136"/>
      <c r="L74" s="238"/>
      <c r="M74" s="106"/>
      <c r="N74" s="239"/>
      <c r="O74" s="239"/>
      <c r="P74" s="318"/>
      <c r="Q74" s="239"/>
      <c r="R74" s="239"/>
      <c r="S74" s="239"/>
      <c r="T74" s="239"/>
      <c r="U74" s="239"/>
      <c r="V74" s="239"/>
      <c r="W74" s="239"/>
      <c r="X74" s="239"/>
      <c r="Y74" s="271">
        <f>360775746/1000</f>
        <v>360775.74599999998</v>
      </c>
      <c r="Z74" s="239"/>
      <c r="AA74" s="239"/>
      <c r="AB74" s="239"/>
      <c r="AC74" s="239"/>
      <c r="AD74" s="239"/>
      <c r="AE74" s="271">
        <f>360000000/1000</f>
        <v>360000</v>
      </c>
      <c r="AF74" s="239"/>
      <c r="AG74" s="375" t="s">
        <v>1618</v>
      </c>
      <c r="AH74" s="347">
        <v>2018003190121</v>
      </c>
      <c r="AI74" s="342" t="s">
        <v>1619</v>
      </c>
      <c r="AJ74" s="342" t="s">
        <v>1576</v>
      </c>
      <c r="AK74" s="240"/>
      <c r="AL74" s="240">
        <f>720775746/1000</f>
        <v>720775.74600000004</v>
      </c>
      <c r="AM74" s="255"/>
      <c r="AN74" s="239"/>
      <c r="AO74" s="239"/>
      <c r="AP74" s="239"/>
      <c r="AQ74" s="239"/>
      <c r="AR74" s="239"/>
      <c r="AS74" s="239"/>
      <c r="AT74" s="239"/>
      <c r="AU74" s="239"/>
      <c r="AV74" s="239"/>
      <c r="AW74" s="239"/>
      <c r="AX74" s="239"/>
      <c r="AY74" s="239"/>
      <c r="AZ74" s="106"/>
      <c r="BA74" s="103"/>
    </row>
    <row r="75" spans="1:53" ht="45" x14ac:dyDescent="0.25">
      <c r="A75" s="107"/>
      <c r="B75" s="107"/>
      <c r="C75" s="106"/>
      <c r="D75" s="107"/>
      <c r="E75" s="106"/>
      <c r="F75" s="106"/>
      <c r="G75" s="106"/>
      <c r="H75" s="106"/>
      <c r="I75" s="106"/>
      <c r="J75" s="106"/>
      <c r="K75" s="136"/>
      <c r="L75" s="238"/>
      <c r="M75" s="106"/>
      <c r="N75" s="239"/>
      <c r="O75" s="239"/>
      <c r="P75" s="318"/>
      <c r="Q75" s="239"/>
      <c r="R75" s="239"/>
      <c r="S75" s="239"/>
      <c r="T75" s="239"/>
      <c r="U75" s="239"/>
      <c r="V75" s="239"/>
      <c r="W75" s="239"/>
      <c r="X75" s="239"/>
      <c r="Y75" s="239"/>
      <c r="Z75" s="239"/>
      <c r="AA75" s="239"/>
      <c r="AB75" s="239"/>
      <c r="AC75" s="239"/>
      <c r="AD75" s="239"/>
      <c r="AE75" s="239"/>
      <c r="AF75" s="239"/>
      <c r="AG75" s="398" t="s">
        <v>1620</v>
      </c>
      <c r="AH75" s="330">
        <v>2016000030019</v>
      </c>
      <c r="AI75" s="342" t="s">
        <v>1584</v>
      </c>
      <c r="AJ75" s="342" t="s">
        <v>1576</v>
      </c>
      <c r="AK75" s="240">
        <v>21243</v>
      </c>
      <c r="AL75" s="240">
        <v>13119506.231000001</v>
      </c>
      <c r="AM75" s="255">
        <v>6.2</v>
      </c>
      <c r="AN75" s="239"/>
      <c r="AO75" s="239"/>
      <c r="AP75" s="239"/>
      <c r="AQ75" s="239"/>
      <c r="AR75" s="239"/>
      <c r="AS75" s="239"/>
      <c r="AT75" s="239"/>
      <c r="AU75" s="239"/>
      <c r="AV75" s="239"/>
      <c r="AW75" s="239"/>
      <c r="AX75" s="239"/>
      <c r="AY75" s="239"/>
      <c r="AZ75" s="106" t="s">
        <v>1561</v>
      </c>
      <c r="BA75" s="103"/>
    </row>
    <row r="76" spans="1:53" ht="90" x14ac:dyDescent="0.25">
      <c r="A76" s="107"/>
      <c r="B76" s="107"/>
      <c r="C76" s="106"/>
      <c r="D76" s="107"/>
      <c r="E76" s="106"/>
      <c r="F76" s="106"/>
      <c r="G76" s="106"/>
      <c r="H76" s="106"/>
      <c r="I76" s="106"/>
      <c r="J76" s="106"/>
      <c r="K76" s="136"/>
      <c r="L76" s="238"/>
      <c r="M76" s="106"/>
      <c r="N76" s="239"/>
      <c r="O76" s="239"/>
      <c r="P76" s="318"/>
      <c r="Q76" s="239"/>
      <c r="R76" s="239"/>
      <c r="S76" s="239"/>
      <c r="T76" s="239"/>
      <c r="U76" s="239"/>
      <c r="V76" s="239"/>
      <c r="W76" s="239"/>
      <c r="X76" s="239"/>
      <c r="Y76" s="239"/>
      <c r="Z76" s="239"/>
      <c r="AA76" s="239"/>
      <c r="AB76" s="239"/>
      <c r="AC76" s="239"/>
      <c r="AD76" s="239"/>
      <c r="AE76" s="239"/>
      <c r="AF76" s="239"/>
      <c r="AG76" s="398" t="s">
        <v>1621</v>
      </c>
      <c r="AH76" s="330"/>
      <c r="AI76" s="342" t="s">
        <v>1622</v>
      </c>
      <c r="AJ76" s="342" t="s">
        <v>1623</v>
      </c>
      <c r="AK76" s="348">
        <v>21617</v>
      </c>
      <c r="AL76" s="348">
        <v>1299985.5889999999</v>
      </c>
      <c r="AM76" s="255">
        <v>1</v>
      </c>
      <c r="AN76" s="239"/>
      <c r="AO76" s="239"/>
      <c r="AP76" s="239"/>
      <c r="AQ76" s="239"/>
      <c r="AR76" s="239"/>
      <c r="AS76" s="239"/>
      <c r="AT76" s="239"/>
      <c r="AU76" s="239"/>
      <c r="AV76" s="239"/>
      <c r="AW76" s="239"/>
      <c r="AX76" s="239"/>
      <c r="AY76" s="239"/>
      <c r="AZ76" s="106"/>
      <c r="BA76" s="103"/>
    </row>
    <row r="77" spans="1:53" ht="135" x14ac:dyDescent="0.25">
      <c r="A77" s="197" t="s">
        <v>1245</v>
      </c>
      <c r="B77" s="197" t="s">
        <v>1449</v>
      </c>
      <c r="C77" s="195" t="s">
        <v>1624</v>
      </c>
      <c r="D77" s="195" t="s">
        <v>1625</v>
      </c>
      <c r="E77" s="195">
        <v>0</v>
      </c>
      <c r="F77" s="197" t="s">
        <v>2035</v>
      </c>
      <c r="G77" s="195" t="s">
        <v>2036</v>
      </c>
      <c r="H77" s="198" t="s">
        <v>1626</v>
      </c>
      <c r="I77" s="198" t="s">
        <v>1627</v>
      </c>
      <c r="J77" s="196">
        <v>10</v>
      </c>
      <c r="K77" s="196" t="s">
        <v>1441</v>
      </c>
      <c r="L77" s="215">
        <v>20</v>
      </c>
      <c r="M77" s="216">
        <v>4</v>
      </c>
      <c r="N77" s="222"/>
      <c r="O77" s="222"/>
      <c r="P77" s="326">
        <v>1449500</v>
      </c>
      <c r="Q77" s="222"/>
      <c r="R77" s="222"/>
      <c r="S77" s="222"/>
      <c r="T77" s="222"/>
      <c r="U77" s="222"/>
      <c r="V77" s="222"/>
      <c r="W77" s="222"/>
      <c r="X77" s="222"/>
      <c r="Y77" s="222"/>
      <c r="Z77" s="222"/>
      <c r="AA77" s="222"/>
      <c r="AB77" s="222"/>
      <c r="AC77" s="222"/>
      <c r="AD77" s="222"/>
      <c r="AE77" s="222"/>
      <c r="AF77" s="222"/>
      <c r="AG77" s="404"/>
      <c r="AH77" s="222"/>
      <c r="AI77" s="222"/>
      <c r="AJ77" s="241"/>
      <c r="AK77" s="222"/>
      <c r="AL77" s="222"/>
      <c r="AM77" s="222"/>
      <c r="AN77" s="222"/>
      <c r="AO77" s="222"/>
      <c r="AP77" s="222"/>
      <c r="AQ77" s="222"/>
      <c r="AR77" s="222"/>
      <c r="AS77" s="222"/>
      <c r="AT77" s="222"/>
      <c r="AU77" s="222"/>
      <c r="AV77" s="222"/>
      <c r="AW77" s="222"/>
      <c r="AX77" s="222"/>
      <c r="AY77" s="222"/>
      <c r="AZ77" s="222"/>
      <c r="BA77" s="222"/>
    </row>
    <row r="78" spans="1:53" ht="210" x14ac:dyDescent="0.25">
      <c r="A78" s="197" t="s">
        <v>1245</v>
      </c>
      <c r="B78" s="197" t="s">
        <v>1449</v>
      </c>
      <c r="C78" s="195" t="s">
        <v>1624</v>
      </c>
      <c r="D78" s="195" t="s">
        <v>1625</v>
      </c>
      <c r="E78" s="195">
        <v>0</v>
      </c>
      <c r="F78" s="197" t="s">
        <v>2035</v>
      </c>
      <c r="G78" s="195" t="s">
        <v>2036</v>
      </c>
      <c r="H78" s="196" t="s">
        <v>1628</v>
      </c>
      <c r="I78" s="197" t="s">
        <v>1629</v>
      </c>
      <c r="J78" s="196">
        <v>5</v>
      </c>
      <c r="K78" s="196" t="s">
        <v>1441</v>
      </c>
      <c r="L78" s="215">
        <v>3</v>
      </c>
      <c r="M78" s="241">
        <v>0</v>
      </c>
      <c r="N78" s="222"/>
      <c r="O78" s="222"/>
      <c r="P78" s="326">
        <v>0</v>
      </c>
      <c r="Q78" s="222"/>
      <c r="R78" s="222"/>
      <c r="S78" s="222"/>
      <c r="T78" s="222"/>
      <c r="U78" s="222"/>
      <c r="V78" s="220">
        <v>1474684</v>
      </c>
      <c r="W78" s="222"/>
      <c r="X78" s="222"/>
      <c r="Y78" s="220">
        <v>858025</v>
      </c>
      <c r="Z78" s="222"/>
      <c r="AA78" s="222"/>
      <c r="AB78" s="222"/>
      <c r="AC78" s="222"/>
      <c r="AD78" s="222"/>
      <c r="AE78" s="222"/>
      <c r="AF78" s="222"/>
      <c r="AG78" s="198" t="s">
        <v>1630</v>
      </c>
      <c r="AH78" s="323" t="s">
        <v>1631</v>
      </c>
      <c r="AI78" s="241" t="s">
        <v>1632</v>
      </c>
      <c r="AJ78" s="241" t="s">
        <v>1633</v>
      </c>
      <c r="AK78" s="281">
        <v>12064</v>
      </c>
      <c r="AL78" s="281">
        <v>2332709</v>
      </c>
      <c r="AM78" s="241">
        <v>3</v>
      </c>
      <c r="AN78" s="222"/>
      <c r="AO78" s="222"/>
      <c r="AP78" s="222"/>
      <c r="AQ78" s="222"/>
      <c r="AR78" s="222"/>
      <c r="AS78" s="222"/>
      <c r="AT78" s="222"/>
      <c r="AU78" s="222"/>
      <c r="AV78" s="222"/>
      <c r="AW78" s="222"/>
      <c r="AX78" s="222"/>
      <c r="AY78" s="222"/>
      <c r="AZ78" s="222"/>
      <c r="BA78" s="222"/>
    </row>
    <row r="79" spans="1:53" ht="120.75" thickBot="1" x14ac:dyDescent="0.3">
      <c r="A79" s="107"/>
      <c r="B79" s="107"/>
      <c r="C79" s="103"/>
      <c r="D79" s="103"/>
      <c r="E79" s="103"/>
      <c r="F79" s="310"/>
      <c r="G79" s="311"/>
      <c r="H79" s="106"/>
      <c r="I79" s="107"/>
      <c r="J79" s="106"/>
      <c r="K79" s="106"/>
      <c r="L79" s="223"/>
      <c r="M79" s="105"/>
      <c r="N79" s="239"/>
      <c r="O79" s="239"/>
      <c r="P79" s="316"/>
      <c r="Q79" s="239"/>
      <c r="R79" s="239"/>
      <c r="S79" s="239"/>
      <c r="T79" s="239"/>
      <c r="U79" s="239"/>
      <c r="V79" s="227">
        <v>1474683.504</v>
      </c>
      <c r="W79" s="239"/>
      <c r="X79" s="239"/>
      <c r="Y79" s="239"/>
      <c r="Z79" s="239"/>
      <c r="AA79" s="239"/>
      <c r="AB79" s="239"/>
      <c r="AC79" s="239"/>
      <c r="AD79" s="239"/>
      <c r="AE79" s="239"/>
      <c r="AF79" s="239"/>
      <c r="AG79" s="398" t="s">
        <v>1634</v>
      </c>
      <c r="AH79" s="330">
        <v>2017000030074</v>
      </c>
      <c r="AI79" s="270" t="s">
        <v>1635</v>
      </c>
      <c r="AJ79" s="270" t="s">
        <v>1576</v>
      </c>
      <c r="AK79" s="240">
        <v>9983</v>
      </c>
      <c r="AL79" s="240">
        <v>1474683.504</v>
      </c>
      <c r="AM79" s="255">
        <v>1</v>
      </c>
      <c r="AN79" s="274"/>
      <c r="AO79" s="274"/>
      <c r="AP79" s="239"/>
      <c r="AQ79" s="239"/>
      <c r="AR79" s="239"/>
      <c r="AS79" s="239"/>
      <c r="AT79" s="239"/>
      <c r="AU79" s="239"/>
      <c r="AV79" s="239"/>
      <c r="AW79" s="239"/>
      <c r="AX79" s="239"/>
      <c r="AY79" s="239"/>
      <c r="AZ79" s="106" t="s">
        <v>1636</v>
      </c>
      <c r="BA79" s="239"/>
    </row>
    <row r="80" spans="1:53" ht="90.75" thickBot="1" x14ac:dyDescent="0.3">
      <c r="A80" s="107"/>
      <c r="B80" s="107"/>
      <c r="C80" s="103"/>
      <c r="D80" s="103"/>
      <c r="E80" s="103"/>
      <c r="F80" s="107"/>
      <c r="G80" s="103"/>
      <c r="H80" s="106"/>
      <c r="I80" s="107"/>
      <c r="J80" s="106"/>
      <c r="K80" s="106"/>
      <c r="L80" s="223"/>
      <c r="M80" s="105"/>
      <c r="N80" s="239"/>
      <c r="O80" s="239"/>
      <c r="P80" s="316"/>
      <c r="Q80" s="239"/>
      <c r="R80" s="239"/>
      <c r="S80" s="239"/>
      <c r="T80" s="239"/>
      <c r="U80" s="239"/>
      <c r="V80" s="239"/>
      <c r="W80" s="239"/>
      <c r="X80" s="239"/>
      <c r="Y80" s="271">
        <f>858024891/1000</f>
        <v>858024.89099999995</v>
      </c>
      <c r="Z80" s="239"/>
      <c r="AA80" s="239"/>
      <c r="AB80" s="239"/>
      <c r="AC80" s="239"/>
      <c r="AD80" s="239"/>
      <c r="AE80" s="239"/>
      <c r="AF80" s="239"/>
      <c r="AG80" s="405" t="s">
        <v>1637</v>
      </c>
      <c r="AH80" s="349">
        <v>2018003190090</v>
      </c>
      <c r="AI80" s="239" t="s">
        <v>1436</v>
      </c>
      <c r="AJ80" s="105" t="s">
        <v>1434</v>
      </c>
      <c r="AK80" s="271">
        <v>2081</v>
      </c>
      <c r="AL80" s="271">
        <f>858024891/1000</f>
        <v>858024.89099999995</v>
      </c>
      <c r="AM80" s="105">
        <v>2</v>
      </c>
      <c r="AN80" s="239"/>
      <c r="AO80" s="239"/>
      <c r="AP80" s="239"/>
      <c r="AQ80" s="239"/>
      <c r="AR80" s="239"/>
      <c r="AS80" s="239"/>
      <c r="AT80" s="239"/>
      <c r="AU80" s="239"/>
      <c r="AV80" s="239"/>
      <c r="AW80" s="239"/>
      <c r="AX80" s="239"/>
      <c r="AY80" s="239"/>
      <c r="AZ80" s="239"/>
      <c r="BA80" s="239"/>
    </row>
    <row r="81" spans="1:53" ht="105" x14ac:dyDescent="0.25">
      <c r="A81" s="197" t="s">
        <v>1245</v>
      </c>
      <c r="B81" s="197" t="s">
        <v>1449</v>
      </c>
      <c r="C81" s="195" t="s">
        <v>1624</v>
      </c>
      <c r="D81" s="195" t="s">
        <v>1625</v>
      </c>
      <c r="E81" s="195">
        <v>0</v>
      </c>
      <c r="F81" s="197" t="s">
        <v>2035</v>
      </c>
      <c r="G81" s="195" t="s">
        <v>2036</v>
      </c>
      <c r="H81" s="196" t="s">
        <v>1638</v>
      </c>
      <c r="I81" s="197" t="s">
        <v>1639</v>
      </c>
      <c r="J81" s="196">
        <v>5</v>
      </c>
      <c r="K81" s="196" t="s">
        <v>1441</v>
      </c>
      <c r="L81" s="215">
        <v>4</v>
      </c>
      <c r="M81" s="241">
        <v>0</v>
      </c>
      <c r="N81" s="222"/>
      <c r="O81" s="222"/>
      <c r="P81" s="326">
        <v>0</v>
      </c>
      <c r="Q81" s="222"/>
      <c r="R81" s="222"/>
      <c r="S81" s="222"/>
      <c r="T81" s="222"/>
      <c r="U81" s="222"/>
      <c r="V81" s="222"/>
      <c r="W81" s="222"/>
      <c r="X81" s="222"/>
      <c r="Y81" s="222"/>
      <c r="Z81" s="222"/>
      <c r="AA81" s="222"/>
      <c r="AB81" s="222"/>
      <c r="AC81" s="222"/>
      <c r="AD81" s="222"/>
      <c r="AE81" s="222"/>
      <c r="AF81" s="222"/>
      <c r="AG81" s="198"/>
      <c r="AH81" s="222"/>
      <c r="AI81" s="222"/>
      <c r="AJ81" s="241"/>
      <c r="AK81" s="222"/>
      <c r="AL81" s="222"/>
      <c r="AM81" s="222"/>
      <c r="AN81" s="222"/>
      <c r="AO81" s="222"/>
      <c r="AP81" s="222"/>
      <c r="AQ81" s="222"/>
      <c r="AR81" s="222"/>
      <c r="AS81" s="222"/>
      <c r="AT81" s="222"/>
      <c r="AU81" s="222"/>
      <c r="AV81" s="222"/>
      <c r="AW81" s="222"/>
      <c r="AX81" s="222"/>
      <c r="AY81" s="222"/>
      <c r="AZ81" s="222"/>
      <c r="BA81" s="222"/>
    </row>
    <row r="82" spans="1:53" ht="150" x14ac:dyDescent="0.25">
      <c r="A82" s="197" t="s">
        <v>1245</v>
      </c>
      <c r="B82" s="197" t="s">
        <v>1449</v>
      </c>
      <c r="C82" s="196" t="s">
        <v>1640</v>
      </c>
      <c r="D82" s="197" t="s">
        <v>1641</v>
      </c>
      <c r="E82" s="196" t="s">
        <v>1505</v>
      </c>
      <c r="F82" s="198" t="s">
        <v>2037</v>
      </c>
      <c r="G82" s="196" t="s">
        <v>2038</v>
      </c>
      <c r="H82" s="196" t="s">
        <v>1642</v>
      </c>
      <c r="I82" s="196" t="s">
        <v>1643</v>
      </c>
      <c r="J82" s="196">
        <f>6255+1878</f>
        <v>8133</v>
      </c>
      <c r="K82" s="196" t="s">
        <v>1441</v>
      </c>
      <c r="L82" s="217">
        <v>5</v>
      </c>
      <c r="M82" s="241">
        <v>0</v>
      </c>
      <c r="N82" s="222"/>
      <c r="O82" s="222"/>
      <c r="P82" s="350">
        <v>0</v>
      </c>
      <c r="Q82" s="222"/>
      <c r="R82" s="222"/>
      <c r="S82" s="222"/>
      <c r="T82" s="222"/>
      <c r="U82" s="222"/>
      <c r="V82" s="222"/>
      <c r="W82" s="222"/>
      <c r="X82" s="222"/>
      <c r="Y82" s="222"/>
      <c r="Z82" s="222"/>
      <c r="AA82" s="222"/>
      <c r="AB82" s="222"/>
      <c r="AC82" s="222"/>
      <c r="AD82" s="222"/>
      <c r="AE82" s="222"/>
      <c r="AF82" s="222"/>
      <c r="AG82" s="198" t="s">
        <v>1644</v>
      </c>
      <c r="AH82" s="222"/>
      <c r="AI82" s="241" t="s">
        <v>1645</v>
      </c>
      <c r="AJ82" s="241" t="s">
        <v>1434</v>
      </c>
      <c r="AK82" s="281">
        <v>1654</v>
      </c>
      <c r="AL82" s="281">
        <v>875000</v>
      </c>
      <c r="AM82" s="241">
        <v>1</v>
      </c>
      <c r="AN82" s="222"/>
      <c r="AO82" s="222"/>
      <c r="AP82" s="222"/>
      <c r="AQ82" s="222"/>
      <c r="AR82" s="222"/>
      <c r="AS82" s="222"/>
      <c r="AT82" s="222"/>
      <c r="AU82" s="222"/>
      <c r="AV82" s="222"/>
      <c r="AW82" s="222"/>
      <c r="AX82" s="222"/>
      <c r="AY82" s="222"/>
      <c r="AZ82" s="222"/>
      <c r="BA82" s="222"/>
    </row>
    <row r="83" spans="1:53" ht="75" x14ac:dyDescent="0.25">
      <c r="A83" s="107"/>
      <c r="B83" s="107"/>
      <c r="C83" s="106"/>
      <c r="D83" s="107"/>
      <c r="E83" s="106"/>
      <c r="F83" s="104"/>
      <c r="G83" s="106"/>
      <c r="H83" s="106"/>
      <c r="I83" s="106"/>
      <c r="J83" s="106"/>
      <c r="K83" s="106"/>
      <c r="L83" s="238"/>
      <c r="M83" s="105"/>
      <c r="N83" s="239"/>
      <c r="O83" s="239"/>
      <c r="P83" s="351"/>
      <c r="Q83" s="239"/>
      <c r="R83" s="239"/>
      <c r="S83" s="239"/>
      <c r="T83" s="239"/>
      <c r="U83" s="239"/>
      <c r="V83" s="239"/>
      <c r="W83" s="239"/>
      <c r="X83" s="239"/>
      <c r="Y83" s="239"/>
      <c r="Z83" s="239"/>
      <c r="AA83" s="239"/>
      <c r="AB83" s="239"/>
      <c r="AC83" s="239"/>
      <c r="AD83" s="239"/>
      <c r="AE83" s="239"/>
      <c r="AF83" s="239"/>
      <c r="AG83" s="398" t="s">
        <v>1644</v>
      </c>
      <c r="AH83" s="337"/>
      <c r="AI83" s="270" t="s">
        <v>1645</v>
      </c>
      <c r="AJ83" s="270" t="s">
        <v>1434</v>
      </c>
      <c r="AK83" s="270">
        <v>1654</v>
      </c>
      <c r="AL83" s="338">
        <v>875000</v>
      </c>
      <c r="AM83" s="270">
        <v>1</v>
      </c>
      <c r="AN83" s="239"/>
      <c r="AO83" s="239"/>
      <c r="AP83" s="239"/>
      <c r="AQ83" s="239"/>
      <c r="AR83" s="239"/>
      <c r="AS83" s="239"/>
      <c r="AT83" s="239"/>
      <c r="AU83" s="239"/>
      <c r="AV83" s="239"/>
      <c r="AW83" s="239"/>
      <c r="AX83" s="239"/>
      <c r="AY83" s="239"/>
      <c r="AZ83" s="106" t="s">
        <v>1499</v>
      </c>
      <c r="BA83" s="239"/>
    </row>
    <row r="84" spans="1:53" ht="165" x14ac:dyDescent="0.25">
      <c r="A84" s="197" t="s">
        <v>1245</v>
      </c>
      <c r="B84" s="197" t="s">
        <v>1449</v>
      </c>
      <c r="C84" s="195" t="s">
        <v>1646</v>
      </c>
      <c r="D84" s="195" t="s">
        <v>1647</v>
      </c>
      <c r="E84" s="195" t="s">
        <v>1648</v>
      </c>
      <c r="F84" s="195" t="s">
        <v>2039</v>
      </c>
      <c r="G84" s="195" t="s">
        <v>2040</v>
      </c>
      <c r="H84" s="196" t="s">
        <v>1649</v>
      </c>
      <c r="I84" s="197" t="s">
        <v>1650</v>
      </c>
      <c r="J84" s="196" t="s">
        <v>1651</v>
      </c>
      <c r="K84" s="196" t="s">
        <v>1441</v>
      </c>
      <c r="L84" s="215">
        <v>15</v>
      </c>
      <c r="M84" s="241">
        <v>0</v>
      </c>
      <c r="N84" s="222"/>
      <c r="O84" s="222"/>
      <c r="P84" s="216">
        <v>0</v>
      </c>
      <c r="Q84" s="241">
        <v>0</v>
      </c>
      <c r="R84" s="241">
        <v>0</v>
      </c>
      <c r="S84" s="241">
        <v>0</v>
      </c>
      <c r="T84" s="241">
        <v>0</v>
      </c>
      <c r="U84" s="241">
        <v>0</v>
      </c>
      <c r="V84" s="281">
        <v>34825</v>
      </c>
      <c r="W84" s="281">
        <v>2120230</v>
      </c>
      <c r="X84" s="241">
        <v>0</v>
      </c>
      <c r="Y84" s="241">
        <v>0</v>
      </c>
      <c r="Z84" s="241">
        <v>0</v>
      </c>
      <c r="AA84" s="241">
        <v>0</v>
      </c>
      <c r="AB84" s="241">
        <v>0</v>
      </c>
      <c r="AC84" s="241">
        <v>0</v>
      </c>
      <c r="AD84" s="241">
        <v>0</v>
      </c>
      <c r="AE84" s="281">
        <v>712667</v>
      </c>
      <c r="AF84" s="241">
        <v>0</v>
      </c>
      <c r="AG84" s="198" t="s">
        <v>1652</v>
      </c>
      <c r="AH84" s="352">
        <v>2016000030033</v>
      </c>
      <c r="AI84" s="195" t="s">
        <v>1653</v>
      </c>
      <c r="AJ84" s="196" t="s">
        <v>1654</v>
      </c>
      <c r="AK84" s="262">
        <v>1003027</v>
      </c>
      <c r="AL84" s="262">
        <v>2867722.594</v>
      </c>
      <c r="AM84" s="241">
        <v>10</v>
      </c>
      <c r="AN84" s="222"/>
      <c r="AO84" s="222"/>
      <c r="AP84" s="222"/>
      <c r="AQ84" s="222"/>
      <c r="AR84" s="222"/>
      <c r="AS84" s="222"/>
      <c r="AT84" s="222"/>
      <c r="AU84" s="222"/>
      <c r="AV84" s="222"/>
      <c r="AW84" s="222"/>
      <c r="AX84" s="222"/>
      <c r="AY84" s="222"/>
      <c r="AZ84" s="196" t="s">
        <v>1604</v>
      </c>
      <c r="BA84" s="222"/>
    </row>
    <row r="85" spans="1:53" ht="150" x14ac:dyDescent="0.25">
      <c r="A85" s="107"/>
      <c r="B85" s="107"/>
      <c r="C85" s="103"/>
      <c r="D85" s="103"/>
      <c r="E85" s="103"/>
      <c r="F85" s="103"/>
      <c r="G85" s="103"/>
      <c r="H85" s="106"/>
      <c r="I85" s="107"/>
      <c r="J85" s="106"/>
      <c r="K85" s="136"/>
      <c r="L85" s="223"/>
      <c r="M85" s="105"/>
      <c r="N85" s="239"/>
      <c r="O85" s="239"/>
      <c r="P85" s="353"/>
      <c r="Q85" s="239"/>
      <c r="R85" s="239"/>
      <c r="S85" s="239"/>
      <c r="T85" s="239"/>
      <c r="U85" s="239"/>
      <c r="V85" s="354">
        <v>34825.267999999996</v>
      </c>
      <c r="W85" s="354">
        <v>2120229.8420000002</v>
      </c>
      <c r="X85" s="239"/>
      <c r="Y85" s="239"/>
      <c r="Z85" s="239"/>
      <c r="AA85" s="239"/>
      <c r="AB85" s="239"/>
      <c r="AC85" s="239"/>
      <c r="AD85" s="239"/>
      <c r="AE85" s="354">
        <v>712667.48400000005</v>
      </c>
      <c r="AF85" s="239"/>
      <c r="AG85" s="398" t="s">
        <v>1652</v>
      </c>
      <c r="AH85" s="337">
        <v>2016000030033</v>
      </c>
      <c r="AI85" s="270" t="s">
        <v>1653</v>
      </c>
      <c r="AJ85" s="270" t="s">
        <v>1654</v>
      </c>
      <c r="AK85" s="261">
        <v>1003027</v>
      </c>
      <c r="AL85" s="261">
        <v>2867722.594</v>
      </c>
      <c r="AM85" s="255">
        <v>10</v>
      </c>
      <c r="AN85" s="105" t="s">
        <v>554</v>
      </c>
      <c r="AO85" s="105" t="s">
        <v>554</v>
      </c>
      <c r="AP85" s="105" t="s">
        <v>554</v>
      </c>
      <c r="AQ85" s="239"/>
      <c r="AR85" s="239"/>
      <c r="AS85" s="239"/>
      <c r="AT85" s="239"/>
      <c r="AU85" s="239"/>
      <c r="AV85" s="239"/>
      <c r="AW85" s="239"/>
      <c r="AX85" s="239"/>
      <c r="AY85" s="239"/>
      <c r="AZ85" s="106" t="s">
        <v>1604</v>
      </c>
      <c r="BA85" s="239"/>
    </row>
    <row r="86" spans="1:53" ht="165" x14ac:dyDescent="0.25">
      <c r="A86" s="197" t="s">
        <v>1245</v>
      </c>
      <c r="B86" s="197" t="s">
        <v>1449</v>
      </c>
      <c r="C86" s="195" t="s">
        <v>1646</v>
      </c>
      <c r="D86" s="195" t="s">
        <v>1647</v>
      </c>
      <c r="E86" s="196">
        <v>0</v>
      </c>
      <c r="F86" s="195" t="s">
        <v>2039</v>
      </c>
      <c r="G86" s="195"/>
      <c r="H86" s="198" t="s">
        <v>1655</v>
      </c>
      <c r="I86" s="198" t="s">
        <v>1656</v>
      </c>
      <c r="J86" s="196">
        <v>0</v>
      </c>
      <c r="K86" s="196" t="s">
        <v>1441</v>
      </c>
      <c r="L86" s="215">
        <v>1</v>
      </c>
      <c r="M86" s="241">
        <v>0</v>
      </c>
      <c r="N86" s="222"/>
      <c r="O86" s="222"/>
      <c r="P86" s="320">
        <v>0</v>
      </c>
      <c r="Q86" s="222"/>
      <c r="R86" s="222"/>
      <c r="S86" s="222"/>
      <c r="T86" s="222"/>
      <c r="U86" s="222"/>
      <c r="V86" s="222"/>
      <c r="W86" s="222"/>
      <c r="X86" s="222"/>
      <c r="Y86" s="222"/>
      <c r="Z86" s="222"/>
      <c r="AA86" s="222"/>
      <c r="AB86" s="222"/>
      <c r="AC86" s="222"/>
      <c r="AD86" s="222"/>
      <c r="AE86" s="222"/>
      <c r="AF86" s="222"/>
      <c r="AG86" s="198"/>
      <c r="AH86" s="222"/>
      <c r="AI86" s="222"/>
      <c r="AJ86" s="241"/>
      <c r="AK86" s="222"/>
      <c r="AL86" s="222"/>
      <c r="AM86" s="222"/>
      <c r="AN86" s="222"/>
      <c r="AO86" s="222"/>
      <c r="AP86" s="222"/>
      <c r="AQ86" s="222"/>
      <c r="AR86" s="222"/>
      <c r="AS86" s="222"/>
      <c r="AT86" s="222"/>
      <c r="AU86" s="222"/>
      <c r="AV86" s="222"/>
      <c r="AW86" s="222"/>
      <c r="AX86" s="222"/>
      <c r="AY86" s="222"/>
      <c r="AZ86" s="222"/>
      <c r="BA86" s="222"/>
    </row>
    <row r="87" spans="1:53" ht="120" x14ac:dyDescent="0.25">
      <c r="A87" s="197" t="s">
        <v>1245</v>
      </c>
      <c r="B87" s="197" t="s">
        <v>1449</v>
      </c>
      <c r="C87" s="196" t="s">
        <v>1657</v>
      </c>
      <c r="D87" s="197" t="s">
        <v>1658</v>
      </c>
      <c r="E87" s="196">
        <v>0</v>
      </c>
      <c r="F87" s="195" t="s">
        <v>2039</v>
      </c>
      <c r="G87" s="195"/>
      <c r="H87" s="196" t="s">
        <v>1659</v>
      </c>
      <c r="I87" s="196" t="s">
        <v>1660</v>
      </c>
      <c r="J87" s="196">
        <v>0</v>
      </c>
      <c r="K87" s="196" t="s">
        <v>1661</v>
      </c>
      <c r="L87" s="215">
        <v>1</v>
      </c>
      <c r="M87" s="196">
        <v>1</v>
      </c>
      <c r="N87" s="222"/>
      <c r="O87" s="222"/>
      <c r="P87" s="320">
        <v>38400</v>
      </c>
      <c r="Q87" s="222"/>
      <c r="R87" s="222"/>
      <c r="S87" s="222"/>
      <c r="T87" s="222"/>
      <c r="U87" s="222"/>
      <c r="V87" s="222"/>
      <c r="W87" s="222"/>
      <c r="X87" s="222"/>
      <c r="Y87" s="222"/>
      <c r="Z87" s="222"/>
      <c r="AA87" s="222"/>
      <c r="AB87" s="222"/>
      <c r="AC87" s="222"/>
      <c r="AD87" s="222"/>
      <c r="AE87" s="222"/>
      <c r="AF87" s="222"/>
      <c r="AG87" s="198" t="s">
        <v>1662</v>
      </c>
      <c r="AH87" s="222"/>
      <c r="AI87" s="241" t="s">
        <v>1663</v>
      </c>
      <c r="AJ87" s="196" t="s">
        <v>1664</v>
      </c>
      <c r="AK87" s="216">
        <v>1391836</v>
      </c>
      <c r="AL87" s="355">
        <f>+AL88</f>
        <v>0</v>
      </c>
      <c r="AM87" s="241">
        <f>+AM88</f>
        <v>0</v>
      </c>
      <c r="AN87" s="222"/>
      <c r="AO87" s="222"/>
      <c r="AP87" s="222"/>
      <c r="AQ87" s="222"/>
      <c r="AR87" s="222"/>
      <c r="AS87" s="222"/>
      <c r="AT87" s="222"/>
      <c r="AU87" s="222"/>
      <c r="AV87" s="222"/>
      <c r="AW87" s="222"/>
      <c r="AX87" s="222"/>
      <c r="AY87" s="222"/>
      <c r="AZ87" s="222"/>
      <c r="BA87" s="222"/>
    </row>
    <row r="88" spans="1:53" ht="120" x14ac:dyDescent="0.25">
      <c r="A88" s="107"/>
      <c r="B88" s="107"/>
      <c r="C88" s="106"/>
      <c r="D88" s="107"/>
      <c r="E88" s="106"/>
      <c r="F88" s="103"/>
      <c r="G88" s="103"/>
      <c r="H88" s="106"/>
      <c r="I88" s="106"/>
      <c r="J88" s="106"/>
      <c r="K88" s="106"/>
      <c r="L88" s="223"/>
      <c r="M88" s="106"/>
      <c r="N88" s="239"/>
      <c r="O88" s="239"/>
      <c r="P88" s="324"/>
      <c r="Q88" s="239"/>
      <c r="R88" s="239"/>
      <c r="S88" s="239"/>
      <c r="T88" s="239"/>
      <c r="U88" s="239"/>
      <c r="V88" s="239"/>
      <c r="W88" s="239"/>
      <c r="X88" s="239"/>
      <c r="Y88" s="239"/>
      <c r="Z88" s="239"/>
      <c r="AA88" s="239"/>
      <c r="AB88" s="239"/>
      <c r="AC88" s="239"/>
      <c r="AD88" s="239"/>
      <c r="AE88" s="239"/>
      <c r="AF88" s="239"/>
      <c r="AG88" s="398" t="s">
        <v>1662</v>
      </c>
      <c r="AH88" s="330"/>
      <c r="AI88" s="342" t="s">
        <v>1663</v>
      </c>
      <c r="AJ88" s="270" t="s">
        <v>1664</v>
      </c>
      <c r="AK88" s="240">
        <v>1391836</v>
      </c>
      <c r="AL88" s="356"/>
      <c r="AM88" s="239"/>
      <c r="AN88" s="239"/>
      <c r="AO88" s="239"/>
      <c r="AP88" s="239"/>
      <c r="AQ88" s="239"/>
      <c r="AR88" s="239"/>
      <c r="AS88" s="239"/>
      <c r="AT88" s="239"/>
      <c r="AU88" s="239"/>
      <c r="AV88" s="239"/>
      <c r="AW88" s="239"/>
      <c r="AX88" s="239"/>
      <c r="AY88" s="239"/>
      <c r="AZ88" s="103" t="s">
        <v>1665</v>
      </c>
      <c r="BA88" s="239"/>
    </row>
    <row r="89" spans="1:53" ht="150" x14ac:dyDescent="0.25">
      <c r="A89" s="197" t="s">
        <v>1245</v>
      </c>
      <c r="B89" s="197" t="s">
        <v>1449</v>
      </c>
      <c r="C89" s="196" t="s">
        <v>1666</v>
      </c>
      <c r="D89" s="195" t="s">
        <v>1667</v>
      </c>
      <c r="E89" s="196">
        <v>0</v>
      </c>
      <c r="F89" s="197" t="s">
        <v>2041</v>
      </c>
      <c r="G89" s="197" t="s">
        <v>2042</v>
      </c>
      <c r="H89" s="196" t="s">
        <v>1668</v>
      </c>
      <c r="I89" s="197" t="s">
        <v>1669</v>
      </c>
      <c r="J89" s="196">
        <v>0</v>
      </c>
      <c r="K89" s="196" t="s">
        <v>1441</v>
      </c>
      <c r="L89" s="215">
        <v>20</v>
      </c>
      <c r="M89" s="196">
        <v>5</v>
      </c>
      <c r="N89" s="222"/>
      <c r="O89" s="222"/>
      <c r="P89" s="320">
        <v>1562500</v>
      </c>
      <c r="Q89" s="220">
        <v>946547</v>
      </c>
      <c r="R89" s="222"/>
      <c r="S89" s="222"/>
      <c r="T89" s="222"/>
      <c r="U89" s="222"/>
      <c r="V89" s="220">
        <v>1909151</v>
      </c>
      <c r="W89" s="222"/>
      <c r="X89" s="222"/>
      <c r="Y89" s="222"/>
      <c r="Z89" s="222"/>
      <c r="AA89" s="222"/>
      <c r="AB89" s="222"/>
      <c r="AC89" s="222"/>
      <c r="AD89" s="222"/>
      <c r="AE89" s="222"/>
      <c r="AF89" s="222"/>
      <c r="AG89" s="198" t="s">
        <v>1670</v>
      </c>
      <c r="AH89" s="221" t="s">
        <v>1671</v>
      </c>
      <c r="AI89" s="195" t="s">
        <v>1672</v>
      </c>
      <c r="AJ89" s="196" t="s">
        <v>1673</v>
      </c>
      <c r="AK89" s="216">
        <v>503359</v>
      </c>
      <c r="AL89" s="216">
        <v>5932605</v>
      </c>
      <c r="AM89" s="315">
        <v>15</v>
      </c>
      <c r="AN89" s="222"/>
      <c r="AO89" s="222"/>
      <c r="AP89" s="222"/>
      <c r="AQ89" s="222"/>
      <c r="AR89" s="222"/>
      <c r="AS89" s="222"/>
      <c r="AT89" s="222"/>
      <c r="AU89" s="222"/>
      <c r="AV89" s="222"/>
      <c r="AW89" s="222"/>
      <c r="AX89" s="222"/>
      <c r="AY89" s="222"/>
      <c r="AZ89" s="222"/>
      <c r="BA89" s="222"/>
    </row>
    <row r="90" spans="1:53" ht="45" x14ac:dyDescent="0.25">
      <c r="A90" s="107"/>
      <c r="B90" s="107"/>
      <c r="C90" s="106"/>
      <c r="D90" s="103"/>
      <c r="E90" s="106"/>
      <c r="F90" s="107"/>
      <c r="G90" s="107"/>
      <c r="H90" s="106"/>
      <c r="I90" s="107"/>
      <c r="J90" s="106"/>
      <c r="K90" s="106"/>
      <c r="L90" s="238"/>
      <c r="M90" s="106"/>
      <c r="N90" s="239"/>
      <c r="O90" s="239"/>
      <c r="P90" s="324"/>
      <c r="Q90" s="239"/>
      <c r="R90" s="239"/>
      <c r="S90" s="239"/>
      <c r="T90" s="239"/>
      <c r="U90" s="239"/>
      <c r="V90" s="239"/>
      <c r="W90" s="239"/>
      <c r="X90" s="239"/>
      <c r="Y90" s="239"/>
      <c r="Z90" s="239"/>
      <c r="AA90" s="239"/>
      <c r="AB90" s="239"/>
      <c r="AC90" s="239"/>
      <c r="AD90" s="239"/>
      <c r="AE90" s="239"/>
      <c r="AF90" s="239"/>
      <c r="AG90" s="398" t="s">
        <v>1674</v>
      </c>
      <c r="AH90" s="330"/>
      <c r="AI90" s="270" t="s">
        <v>1608</v>
      </c>
      <c r="AJ90" s="342" t="s">
        <v>874</v>
      </c>
      <c r="AK90" s="240">
        <v>52970</v>
      </c>
      <c r="AL90" s="240">
        <v>600000</v>
      </c>
      <c r="AM90" s="255">
        <v>1</v>
      </c>
      <c r="AN90" s="239"/>
      <c r="AO90" s="239"/>
      <c r="AP90" s="239"/>
      <c r="AQ90" s="239"/>
      <c r="AR90" s="239"/>
      <c r="AS90" s="239"/>
      <c r="AT90" s="239"/>
      <c r="AU90" s="239"/>
      <c r="AV90" s="239"/>
      <c r="AW90" s="239"/>
      <c r="AX90" s="239"/>
      <c r="AY90" s="239"/>
      <c r="AZ90" s="106" t="s">
        <v>1561</v>
      </c>
      <c r="BA90" s="239"/>
    </row>
    <row r="91" spans="1:53" ht="45" x14ac:dyDescent="0.25">
      <c r="A91" s="107"/>
      <c r="B91" s="107"/>
      <c r="C91" s="106"/>
      <c r="D91" s="103"/>
      <c r="E91" s="106"/>
      <c r="F91" s="107"/>
      <c r="G91" s="107"/>
      <c r="H91" s="106"/>
      <c r="I91" s="107"/>
      <c r="J91" s="106"/>
      <c r="K91" s="106"/>
      <c r="L91" s="238"/>
      <c r="M91" s="106"/>
      <c r="N91" s="239"/>
      <c r="O91" s="239"/>
      <c r="P91" s="324"/>
      <c r="Q91" s="239"/>
      <c r="R91" s="239"/>
      <c r="S91" s="239"/>
      <c r="T91" s="239"/>
      <c r="U91" s="239"/>
      <c r="V91" s="239"/>
      <c r="W91" s="239"/>
      <c r="X91" s="239"/>
      <c r="Y91" s="239"/>
      <c r="Z91" s="239"/>
      <c r="AA91" s="239"/>
      <c r="AB91" s="239"/>
      <c r="AC91" s="239"/>
      <c r="AD91" s="239"/>
      <c r="AE91" s="239"/>
      <c r="AF91" s="239"/>
      <c r="AG91" s="398" t="s">
        <v>1675</v>
      </c>
      <c r="AH91" s="330"/>
      <c r="AI91" s="270" t="s">
        <v>1676</v>
      </c>
      <c r="AJ91" s="342" t="s">
        <v>874</v>
      </c>
      <c r="AK91" s="240">
        <v>4583</v>
      </c>
      <c r="AL91" s="240">
        <v>579005</v>
      </c>
      <c r="AM91" s="255">
        <v>1</v>
      </c>
      <c r="AN91" s="239"/>
      <c r="AO91" s="239"/>
      <c r="AP91" s="239"/>
      <c r="AQ91" s="239"/>
      <c r="AR91" s="239"/>
      <c r="AS91" s="239"/>
      <c r="AT91" s="239"/>
      <c r="AU91" s="239"/>
      <c r="AV91" s="239"/>
      <c r="AW91" s="239"/>
      <c r="AX91" s="239"/>
      <c r="AY91" s="239"/>
      <c r="AZ91" s="106" t="s">
        <v>1561</v>
      </c>
      <c r="BA91" s="239"/>
    </row>
    <row r="92" spans="1:53" ht="45" x14ac:dyDescent="0.25">
      <c r="A92" s="107"/>
      <c r="B92" s="107"/>
      <c r="C92" s="106"/>
      <c r="D92" s="103"/>
      <c r="E92" s="106"/>
      <c r="F92" s="107"/>
      <c r="G92" s="107"/>
      <c r="H92" s="106"/>
      <c r="I92" s="107"/>
      <c r="J92" s="106"/>
      <c r="K92" s="106"/>
      <c r="L92" s="238"/>
      <c r="M92" s="106"/>
      <c r="N92" s="239"/>
      <c r="O92" s="239"/>
      <c r="P92" s="324"/>
      <c r="Q92" s="239"/>
      <c r="R92" s="239"/>
      <c r="S92" s="239"/>
      <c r="T92" s="239"/>
      <c r="U92" s="239"/>
      <c r="V92" s="239"/>
      <c r="W92" s="239"/>
      <c r="X92" s="239"/>
      <c r="Y92" s="239"/>
      <c r="Z92" s="239"/>
      <c r="AA92" s="239"/>
      <c r="AB92" s="239"/>
      <c r="AC92" s="239"/>
      <c r="AD92" s="239"/>
      <c r="AE92" s="239"/>
      <c r="AF92" s="239"/>
      <c r="AG92" s="398" t="s">
        <v>1677</v>
      </c>
      <c r="AH92" s="330"/>
      <c r="AI92" s="270" t="s">
        <v>1678</v>
      </c>
      <c r="AJ92" s="342" t="s">
        <v>1679</v>
      </c>
      <c r="AK92" s="240">
        <v>104713</v>
      </c>
      <c r="AL92" s="240">
        <v>123050.213</v>
      </c>
      <c r="AM92" s="255">
        <v>1</v>
      </c>
      <c r="AN92" s="239"/>
      <c r="AO92" s="239"/>
      <c r="AP92" s="239"/>
      <c r="AQ92" s="239"/>
      <c r="AR92" s="239"/>
      <c r="AS92" s="239"/>
      <c r="AT92" s="239"/>
      <c r="AU92" s="239"/>
      <c r="AV92" s="239"/>
      <c r="AW92" s="239"/>
      <c r="AX92" s="239"/>
      <c r="AY92" s="239"/>
      <c r="AZ92" s="106" t="s">
        <v>1561</v>
      </c>
      <c r="BA92" s="103"/>
    </row>
    <row r="93" spans="1:53" ht="45" x14ac:dyDescent="0.25">
      <c r="A93" s="107"/>
      <c r="B93" s="107"/>
      <c r="C93" s="106"/>
      <c r="D93" s="103"/>
      <c r="E93" s="106"/>
      <c r="F93" s="107"/>
      <c r="G93" s="107"/>
      <c r="H93" s="106"/>
      <c r="I93" s="107"/>
      <c r="J93" s="106"/>
      <c r="K93" s="106"/>
      <c r="L93" s="238"/>
      <c r="M93" s="106"/>
      <c r="N93" s="239"/>
      <c r="O93" s="239"/>
      <c r="P93" s="324"/>
      <c r="Q93" s="239"/>
      <c r="R93" s="239"/>
      <c r="S93" s="239"/>
      <c r="T93" s="239"/>
      <c r="U93" s="239"/>
      <c r="V93" s="239"/>
      <c r="W93" s="239"/>
      <c r="X93" s="239"/>
      <c r="Y93" s="239"/>
      <c r="Z93" s="239"/>
      <c r="AA93" s="239"/>
      <c r="AB93" s="239"/>
      <c r="AC93" s="239"/>
      <c r="AD93" s="239"/>
      <c r="AE93" s="239"/>
      <c r="AF93" s="239"/>
      <c r="AG93" s="398" t="s">
        <v>1680</v>
      </c>
      <c r="AH93" s="330"/>
      <c r="AI93" s="270" t="s">
        <v>1681</v>
      </c>
      <c r="AJ93" s="342" t="s">
        <v>874</v>
      </c>
      <c r="AK93" s="240">
        <f>(18656+32225)*0.15</f>
        <v>7632.15</v>
      </c>
      <c r="AL93" s="240">
        <v>540000</v>
      </c>
      <c r="AM93" s="255">
        <v>1</v>
      </c>
      <c r="AN93" s="239"/>
      <c r="AO93" s="239"/>
      <c r="AP93" s="239"/>
      <c r="AQ93" s="239"/>
      <c r="AR93" s="239"/>
      <c r="AS93" s="239"/>
      <c r="AT93" s="239"/>
      <c r="AU93" s="239"/>
      <c r="AV93" s="239"/>
      <c r="AW93" s="239"/>
      <c r="AX93" s="239"/>
      <c r="AY93" s="239"/>
      <c r="AZ93" s="106" t="s">
        <v>1561</v>
      </c>
      <c r="BA93" s="239"/>
    </row>
    <row r="94" spans="1:53" ht="45" x14ac:dyDescent="0.25">
      <c r="A94" s="200"/>
      <c r="B94" s="200"/>
      <c r="C94" s="199"/>
      <c r="D94" s="201"/>
      <c r="E94" s="199"/>
      <c r="F94" s="200"/>
      <c r="G94" s="200"/>
      <c r="H94" s="199"/>
      <c r="I94" s="200"/>
      <c r="J94" s="199"/>
      <c r="K94" s="199"/>
      <c r="L94" s="238"/>
      <c r="M94" s="199"/>
      <c r="N94" s="269"/>
      <c r="O94" s="269"/>
      <c r="P94" s="357"/>
      <c r="Q94" s="269"/>
      <c r="R94" s="269"/>
      <c r="S94" s="269"/>
      <c r="T94" s="269"/>
      <c r="U94" s="269"/>
      <c r="V94" s="269"/>
      <c r="W94" s="269"/>
      <c r="X94" s="269"/>
      <c r="Y94" s="269"/>
      <c r="Z94" s="269"/>
      <c r="AA94" s="269"/>
      <c r="AB94" s="269"/>
      <c r="AC94" s="269"/>
      <c r="AD94" s="269"/>
      <c r="AE94" s="269"/>
      <c r="AF94" s="269"/>
      <c r="AG94" s="406" t="s">
        <v>1682</v>
      </c>
      <c r="AH94" s="334"/>
      <c r="AI94" s="358" t="s">
        <v>1683</v>
      </c>
      <c r="AJ94" s="359" t="s">
        <v>1684</v>
      </c>
      <c r="AK94" s="263">
        <f>35059*0.2</f>
        <v>7011.8</v>
      </c>
      <c r="AL94" s="263">
        <v>250000</v>
      </c>
      <c r="AM94" s="264">
        <v>1</v>
      </c>
      <c r="AN94" s="269"/>
      <c r="AO94" s="269"/>
      <c r="AP94" s="269"/>
      <c r="AQ94" s="269"/>
      <c r="AR94" s="269"/>
      <c r="AS94" s="269"/>
      <c r="AT94" s="269"/>
      <c r="AU94" s="269"/>
      <c r="AV94" s="269"/>
      <c r="AW94" s="269"/>
      <c r="AX94" s="269"/>
      <c r="AY94" s="269"/>
      <c r="AZ94" s="199" t="s">
        <v>1561</v>
      </c>
      <c r="BA94" s="269"/>
    </row>
    <row r="95" spans="1:53" ht="75" x14ac:dyDescent="0.25">
      <c r="A95" s="107"/>
      <c r="B95" s="107"/>
      <c r="C95" s="106"/>
      <c r="D95" s="103"/>
      <c r="E95" s="106"/>
      <c r="F95" s="107"/>
      <c r="G95" s="107"/>
      <c r="H95" s="106"/>
      <c r="I95" s="107"/>
      <c r="J95" s="106"/>
      <c r="K95" s="106"/>
      <c r="L95" s="223"/>
      <c r="M95" s="106"/>
      <c r="N95" s="239"/>
      <c r="O95" s="239"/>
      <c r="P95" s="324"/>
      <c r="Q95" s="239"/>
      <c r="R95" s="239"/>
      <c r="S95" s="239"/>
      <c r="T95" s="239"/>
      <c r="U95" s="239"/>
      <c r="V95" s="271">
        <f>1909151392/1000</f>
        <v>1909151.392</v>
      </c>
      <c r="W95" s="239"/>
      <c r="X95" s="239"/>
      <c r="Y95" s="239"/>
      <c r="Z95" s="239"/>
      <c r="AA95" s="239"/>
      <c r="AB95" s="239"/>
      <c r="AC95" s="239"/>
      <c r="AD95" s="239"/>
      <c r="AE95" s="239"/>
      <c r="AF95" s="239"/>
      <c r="AG95" s="398" t="s">
        <v>1685</v>
      </c>
      <c r="AH95" s="259">
        <v>2018000030040</v>
      </c>
      <c r="AI95" s="360"/>
      <c r="AJ95" s="344"/>
      <c r="AK95" s="257">
        <v>192892</v>
      </c>
      <c r="AL95" s="257">
        <f>1909151392/1000</f>
        <v>1909151.392</v>
      </c>
      <c r="AM95" s="258">
        <v>1</v>
      </c>
      <c r="AN95" s="239"/>
      <c r="AO95" s="239"/>
      <c r="AP95" s="239"/>
      <c r="AQ95" s="239"/>
      <c r="AR95" s="239"/>
      <c r="AS95" s="239"/>
      <c r="AT95" s="239"/>
      <c r="AU95" s="239"/>
      <c r="AV95" s="239"/>
      <c r="AW95" s="239"/>
      <c r="AX95" s="239"/>
      <c r="AY95" s="239"/>
      <c r="AZ95" s="106"/>
      <c r="BA95" s="239"/>
    </row>
    <row r="96" spans="1:53" ht="90" x14ac:dyDescent="0.25">
      <c r="A96" s="107"/>
      <c r="B96" s="107"/>
      <c r="C96" s="106"/>
      <c r="D96" s="103"/>
      <c r="E96" s="106"/>
      <c r="F96" s="107"/>
      <c r="G96" s="107"/>
      <c r="H96" s="106"/>
      <c r="I96" s="107"/>
      <c r="J96" s="106"/>
      <c r="K96" s="106"/>
      <c r="L96" s="223"/>
      <c r="M96" s="106"/>
      <c r="N96" s="239"/>
      <c r="O96" s="239"/>
      <c r="P96" s="324"/>
      <c r="Q96" s="239"/>
      <c r="R96" s="239"/>
      <c r="S96" s="239"/>
      <c r="T96" s="239"/>
      <c r="U96" s="239"/>
      <c r="V96" s="239"/>
      <c r="W96" s="239"/>
      <c r="X96" s="239"/>
      <c r="Y96" s="239"/>
      <c r="Z96" s="239"/>
      <c r="AA96" s="239"/>
      <c r="AB96" s="239"/>
      <c r="AC96" s="239"/>
      <c r="AD96" s="239"/>
      <c r="AE96" s="239"/>
      <c r="AF96" s="239"/>
      <c r="AG96" s="398" t="s">
        <v>1686</v>
      </c>
      <c r="AH96" s="259">
        <v>2018003190044</v>
      </c>
      <c r="AI96" s="360" t="s">
        <v>1687</v>
      </c>
      <c r="AJ96" s="344" t="s">
        <v>1434</v>
      </c>
      <c r="AK96" s="257">
        <v>35160</v>
      </c>
      <c r="AL96" s="257">
        <f>154851130/1000</f>
        <v>154851.13</v>
      </c>
      <c r="AM96" s="258">
        <v>1</v>
      </c>
      <c r="AN96" s="239"/>
      <c r="AO96" s="239"/>
      <c r="AP96" s="239"/>
      <c r="AQ96" s="239"/>
      <c r="AR96" s="239"/>
      <c r="AS96" s="239"/>
      <c r="AT96" s="239"/>
      <c r="AU96" s="239"/>
      <c r="AV96" s="239"/>
      <c r="AW96" s="239"/>
      <c r="AX96" s="239"/>
      <c r="AY96" s="239"/>
      <c r="AZ96" s="106"/>
      <c r="BA96" s="239"/>
    </row>
    <row r="97" spans="1:53" ht="105" x14ac:dyDescent="0.25">
      <c r="A97" s="200"/>
      <c r="B97" s="200"/>
      <c r="C97" s="199"/>
      <c r="D97" s="201"/>
      <c r="E97" s="199"/>
      <c r="F97" s="200"/>
      <c r="G97" s="200"/>
      <c r="H97" s="199"/>
      <c r="I97" s="200"/>
      <c r="J97" s="199"/>
      <c r="K97" s="199"/>
      <c r="L97" s="238"/>
      <c r="M97" s="199"/>
      <c r="N97" s="269"/>
      <c r="O97" s="269"/>
      <c r="P97" s="357"/>
      <c r="Q97" s="361">
        <f>525499689/1000</f>
        <v>525499.68900000001</v>
      </c>
      <c r="R97" s="269"/>
      <c r="S97" s="269"/>
      <c r="T97" s="269"/>
      <c r="U97" s="269"/>
      <c r="V97" s="269"/>
      <c r="W97" s="269"/>
      <c r="X97" s="269"/>
      <c r="Y97" s="269"/>
      <c r="Z97" s="269"/>
      <c r="AA97" s="269"/>
      <c r="AB97" s="269"/>
      <c r="AC97" s="269"/>
      <c r="AD97" s="269"/>
      <c r="AE97" s="269"/>
      <c r="AF97" s="269"/>
      <c r="AG97" s="406" t="s">
        <v>1688</v>
      </c>
      <c r="AH97" s="334"/>
      <c r="AI97" s="358" t="s">
        <v>1538</v>
      </c>
      <c r="AJ97" s="359" t="s">
        <v>1539</v>
      </c>
      <c r="AK97" s="263">
        <v>10643</v>
      </c>
      <c r="AL97" s="263">
        <f>525499689/1000</f>
        <v>525499.68900000001</v>
      </c>
      <c r="AM97" s="264">
        <v>1</v>
      </c>
      <c r="AN97" s="269"/>
      <c r="AO97" s="269"/>
      <c r="AP97" s="269"/>
      <c r="AQ97" s="269"/>
      <c r="AR97" s="269"/>
      <c r="AS97" s="269"/>
      <c r="AT97" s="269"/>
      <c r="AU97" s="269"/>
      <c r="AV97" s="269"/>
      <c r="AW97" s="269"/>
      <c r="AX97" s="269"/>
      <c r="AY97" s="269"/>
      <c r="AZ97" s="199" t="s">
        <v>1561</v>
      </c>
      <c r="BA97" s="269"/>
    </row>
    <row r="98" spans="1:53" ht="75" x14ac:dyDescent="0.25">
      <c r="A98" s="107"/>
      <c r="B98" s="107"/>
      <c r="C98" s="106"/>
      <c r="D98" s="103"/>
      <c r="E98" s="106"/>
      <c r="F98" s="107"/>
      <c r="G98" s="107"/>
      <c r="H98" s="106"/>
      <c r="I98" s="107"/>
      <c r="J98" s="106"/>
      <c r="K98" s="106"/>
      <c r="L98" s="223"/>
      <c r="M98" s="106"/>
      <c r="N98" s="239"/>
      <c r="O98" s="239"/>
      <c r="P98" s="324"/>
      <c r="Q98" s="271">
        <f>130499952/1000</f>
        <v>130499.952</v>
      </c>
      <c r="R98" s="239"/>
      <c r="S98" s="239"/>
      <c r="T98" s="239"/>
      <c r="U98" s="239"/>
      <c r="V98" s="239"/>
      <c r="W98" s="239"/>
      <c r="X98" s="239"/>
      <c r="Y98" s="239"/>
      <c r="Z98" s="239"/>
      <c r="AA98" s="239"/>
      <c r="AB98" s="239"/>
      <c r="AC98" s="239"/>
      <c r="AD98" s="239"/>
      <c r="AE98" s="239"/>
      <c r="AF98" s="239"/>
      <c r="AG98" s="406" t="s">
        <v>1689</v>
      </c>
      <c r="AH98" s="334"/>
      <c r="AI98" s="358" t="s">
        <v>1690</v>
      </c>
      <c r="AJ98" s="359" t="s">
        <v>1551</v>
      </c>
      <c r="AK98" s="263"/>
      <c r="AL98" s="263">
        <f>130499952/1000</f>
        <v>130499.952</v>
      </c>
      <c r="AM98" s="264">
        <v>1</v>
      </c>
      <c r="AN98" s="239"/>
      <c r="AO98" s="239"/>
      <c r="AP98" s="239"/>
      <c r="AQ98" s="239"/>
      <c r="AR98" s="239"/>
      <c r="AS98" s="239"/>
      <c r="AT98" s="239"/>
      <c r="AU98" s="239"/>
      <c r="AV98" s="239"/>
      <c r="AW98" s="239"/>
      <c r="AX98" s="239"/>
      <c r="AY98" s="239"/>
      <c r="AZ98" s="199" t="s">
        <v>1561</v>
      </c>
      <c r="BA98" s="239"/>
    </row>
    <row r="99" spans="1:53" ht="90" x14ac:dyDescent="0.25">
      <c r="A99" s="107"/>
      <c r="B99" s="107"/>
      <c r="C99" s="106"/>
      <c r="D99" s="103"/>
      <c r="E99" s="106"/>
      <c r="F99" s="107"/>
      <c r="G99" s="107"/>
      <c r="H99" s="106"/>
      <c r="I99" s="107"/>
      <c r="J99" s="106"/>
      <c r="K99" s="106"/>
      <c r="L99" s="223"/>
      <c r="M99" s="106"/>
      <c r="N99" s="239"/>
      <c r="O99" s="239"/>
      <c r="P99" s="324"/>
      <c r="Q99" s="271">
        <f>132300065/1000</f>
        <v>132300.065</v>
      </c>
      <c r="R99" s="239"/>
      <c r="S99" s="239"/>
      <c r="T99" s="239"/>
      <c r="U99" s="239"/>
      <c r="V99" s="239"/>
      <c r="W99" s="239"/>
      <c r="X99" s="239"/>
      <c r="Y99" s="239"/>
      <c r="Z99" s="239"/>
      <c r="AA99" s="239"/>
      <c r="AB99" s="239"/>
      <c r="AC99" s="239"/>
      <c r="AD99" s="239"/>
      <c r="AE99" s="239"/>
      <c r="AF99" s="239"/>
      <c r="AG99" s="406" t="s">
        <v>1691</v>
      </c>
      <c r="AH99" s="334"/>
      <c r="AI99" s="358" t="s">
        <v>1692</v>
      </c>
      <c r="AJ99" s="359" t="s">
        <v>1460</v>
      </c>
      <c r="AK99" s="263"/>
      <c r="AL99" s="263">
        <f>132300065/1000</f>
        <v>132300.065</v>
      </c>
      <c r="AM99" s="264">
        <v>1</v>
      </c>
      <c r="AN99" s="239"/>
      <c r="AO99" s="239"/>
      <c r="AP99" s="239"/>
      <c r="AQ99" s="239"/>
      <c r="AR99" s="239"/>
      <c r="AS99" s="239"/>
      <c r="AT99" s="239"/>
      <c r="AU99" s="239"/>
      <c r="AV99" s="239"/>
      <c r="AW99" s="239"/>
      <c r="AX99" s="239"/>
      <c r="AY99" s="239"/>
      <c r="AZ99" s="106" t="s">
        <v>1561</v>
      </c>
      <c r="BA99" s="239"/>
    </row>
    <row r="100" spans="1:53" ht="60" x14ac:dyDescent="0.25">
      <c r="A100" s="202"/>
      <c r="B100" s="202"/>
      <c r="C100" s="203"/>
      <c r="D100" s="204"/>
      <c r="E100" s="203"/>
      <c r="F100" s="202"/>
      <c r="G100" s="202"/>
      <c r="H100" s="203"/>
      <c r="I100" s="202"/>
      <c r="J100" s="203"/>
      <c r="K100" s="203"/>
      <c r="L100" s="265"/>
      <c r="M100" s="203"/>
      <c r="N100" s="362"/>
      <c r="O100" s="362"/>
      <c r="P100" s="363"/>
      <c r="Q100" s="364"/>
      <c r="R100" s="362"/>
      <c r="S100" s="362"/>
      <c r="T100" s="362"/>
      <c r="U100" s="362"/>
      <c r="V100" s="362"/>
      <c r="W100" s="362"/>
      <c r="X100" s="362"/>
      <c r="Y100" s="362"/>
      <c r="Z100" s="362"/>
      <c r="AA100" s="362"/>
      <c r="AB100" s="362"/>
      <c r="AC100" s="362"/>
      <c r="AD100" s="362"/>
      <c r="AE100" s="362"/>
      <c r="AF100" s="362"/>
      <c r="AG100" s="398" t="s">
        <v>1693</v>
      </c>
      <c r="AH100" s="337">
        <v>2018003190048</v>
      </c>
      <c r="AI100" s="270" t="s">
        <v>1694</v>
      </c>
      <c r="AJ100" s="270" t="s">
        <v>1471</v>
      </c>
      <c r="AK100" s="270">
        <v>56947</v>
      </c>
      <c r="AL100" s="338">
        <f>158247152/1000</f>
        <v>158247.152</v>
      </c>
      <c r="AM100" s="365">
        <v>1</v>
      </c>
      <c r="AN100" s="362"/>
      <c r="AO100" s="362"/>
      <c r="AP100" s="362"/>
      <c r="AQ100" s="362"/>
      <c r="AR100" s="362"/>
      <c r="AS100" s="362"/>
      <c r="AT100" s="362"/>
      <c r="AU100" s="362"/>
      <c r="AV100" s="362"/>
      <c r="AW100" s="362"/>
      <c r="AX100" s="362"/>
      <c r="AY100" s="362"/>
      <c r="AZ100" s="267" t="s">
        <v>1695</v>
      </c>
      <c r="BA100" s="362"/>
    </row>
    <row r="101" spans="1:53" ht="45" x14ac:dyDescent="0.25">
      <c r="A101" s="202"/>
      <c r="B101" s="202"/>
      <c r="C101" s="203"/>
      <c r="D101" s="204"/>
      <c r="E101" s="203"/>
      <c r="F101" s="202"/>
      <c r="G101" s="202"/>
      <c r="H101" s="203"/>
      <c r="I101" s="202"/>
      <c r="J101" s="203"/>
      <c r="K101" s="203"/>
      <c r="L101" s="265"/>
      <c r="M101" s="203"/>
      <c r="N101" s="362"/>
      <c r="O101" s="362"/>
      <c r="P101" s="363"/>
      <c r="Q101" s="364">
        <f>158247152/1000</f>
        <v>158247.152</v>
      </c>
      <c r="R101" s="362"/>
      <c r="S101" s="362"/>
      <c r="T101" s="362"/>
      <c r="U101" s="362"/>
      <c r="V101" s="362"/>
      <c r="W101" s="362"/>
      <c r="X101" s="362"/>
      <c r="Y101" s="362"/>
      <c r="Z101" s="362"/>
      <c r="AA101" s="362"/>
      <c r="AB101" s="362"/>
      <c r="AC101" s="362"/>
      <c r="AD101" s="362"/>
      <c r="AE101" s="362"/>
      <c r="AF101" s="362"/>
      <c r="AG101" s="398" t="s">
        <v>1696</v>
      </c>
      <c r="AH101" s="330">
        <v>2018000030040</v>
      </c>
      <c r="AI101" s="270" t="s">
        <v>1697</v>
      </c>
      <c r="AJ101" s="342" t="s">
        <v>1698</v>
      </c>
      <c r="AK101" s="240">
        <f>(36205+47525)*0.15</f>
        <v>12559.5</v>
      </c>
      <c r="AL101" s="240">
        <v>300000</v>
      </c>
      <c r="AM101" s="255">
        <v>1</v>
      </c>
      <c r="AN101" s="362"/>
      <c r="AO101" s="362"/>
      <c r="AP101" s="362"/>
      <c r="AQ101" s="362"/>
      <c r="AR101" s="362"/>
      <c r="AS101" s="362"/>
      <c r="AT101" s="362"/>
      <c r="AU101" s="362"/>
      <c r="AV101" s="362"/>
      <c r="AW101" s="362"/>
      <c r="AX101" s="362"/>
      <c r="AY101" s="362"/>
      <c r="AZ101" s="267" t="s">
        <v>1699</v>
      </c>
      <c r="BA101" s="362"/>
    </row>
    <row r="102" spans="1:53" ht="30" x14ac:dyDescent="0.25">
      <c r="A102" s="202"/>
      <c r="B102" s="202"/>
      <c r="C102" s="203"/>
      <c r="D102" s="204"/>
      <c r="E102" s="203"/>
      <c r="F102" s="202"/>
      <c r="G102" s="202"/>
      <c r="H102" s="203"/>
      <c r="I102" s="202"/>
      <c r="J102" s="203"/>
      <c r="K102" s="203"/>
      <c r="L102" s="265"/>
      <c r="M102" s="203"/>
      <c r="N102" s="362"/>
      <c r="O102" s="362"/>
      <c r="P102" s="363"/>
      <c r="Q102" s="364"/>
      <c r="R102" s="362"/>
      <c r="S102" s="362"/>
      <c r="T102" s="362"/>
      <c r="U102" s="362"/>
      <c r="V102" s="362"/>
      <c r="W102" s="362"/>
      <c r="X102" s="362"/>
      <c r="Y102" s="362"/>
      <c r="Z102" s="362"/>
      <c r="AA102" s="362"/>
      <c r="AB102" s="362"/>
      <c r="AC102" s="362"/>
      <c r="AD102" s="362"/>
      <c r="AE102" s="362"/>
      <c r="AF102" s="362"/>
      <c r="AG102" s="398" t="s">
        <v>1700</v>
      </c>
      <c r="AH102" s="330">
        <v>2018000030040</v>
      </c>
      <c r="AI102" s="270" t="s">
        <v>1683</v>
      </c>
      <c r="AJ102" s="342" t="s">
        <v>1684</v>
      </c>
      <c r="AK102" s="240">
        <f>35059*0.2</f>
        <v>7011.8</v>
      </c>
      <c r="AL102" s="240">
        <v>250000</v>
      </c>
      <c r="AM102" s="255">
        <v>1</v>
      </c>
      <c r="AN102" s="362"/>
      <c r="AO102" s="362"/>
      <c r="AP102" s="362"/>
      <c r="AQ102" s="362"/>
      <c r="AR102" s="362"/>
      <c r="AS102" s="362"/>
      <c r="AT102" s="362"/>
      <c r="AU102" s="362"/>
      <c r="AV102" s="362"/>
      <c r="AW102" s="362"/>
      <c r="AX102" s="362"/>
      <c r="AY102" s="362"/>
      <c r="AZ102" s="267" t="s">
        <v>1699</v>
      </c>
      <c r="BA102" s="362"/>
    </row>
    <row r="103" spans="1:53" ht="45" x14ac:dyDescent="0.25">
      <c r="A103" s="202"/>
      <c r="B103" s="202"/>
      <c r="C103" s="203"/>
      <c r="D103" s="204"/>
      <c r="E103" s="203"/>
      <c r="F103" s="202"/>
      <c r="G103" s="202"/>
      <c r="H103" s="203"/>
      <c r="I103" s="202"/>
      <c r="J103" s="203"/>
      <c r="K103" s="203"/>
      <c r="L103" s="265"/>
      <c r="M103" s="203"/>
      <c r="N103" s="362"/>
      <c r="O103" s="362"/>
      <c r="P103" s="363"/>
      <c r="Q103" s="364"/>
      <c r="R103" s="362"/>
      <c r="S103" s="362"/>
      <c r="T103" s="362"/>
      <c r="U103" s="362"/>
      <c r="V103" s="362"/>
      <c r="W103" s="362"/>
      <c r="X103" s="362"/>
      <c r="Y103" s="362"/>
      <c r="Z103" s="362"/>
      <c r="AA103" s="362"/>
      <c r="AB103" s="362"/>
      <c r="AC103" s="362"/>
      <c r="AD103" s="362"/>
      <c r="AE103" s="362"/>
      <c r="AF103" s="362"/>
      <c r="AG103" s="394" t="s">
        <v>1701</v>
      </c>
      <c r="AH103" s="234">
        <v>2018000030040</v>
      </c>
      <c r="AI103" s="233" t="s">
        <v>1702</v>
      </c>
      <c r="AJ103" s="235" t="s">
        <v>874</v>
      </c>
      <c r="AK103" s="227">
        <f>18656*0.2</f>
        <v>3731.2000000000003</v>
      </c>
      <c r="AL103" s="227">
        <v>80000</v>
      </c>
      <c r="AM103" s="229">
        <v>1</v>
      </c>
      <c r="AN103" s="362"/>
      <c r="AO103" s="362"/>
      <c r="AP103" s="362"/>
      <c r="AQ103" s="362"/>
      <c r="AR103" s="362"/>
      <c r="AS103" s="362"/>
      <c r="AT103" s="362"/>
      <c r="AU103" s="362"/>
      <c r="AV103" s="362"/>
      <c r="AW103" s="362"/>
      <c r="AX103" s="362"/>
      <c r="AY103" s="362"/>
      <c r="AZ103" s="267" t="s">
        <v>1699</v>
      </c>
      <c r="BA103" s="362"/>
    </row>
    <row r="104" spans="1:53" ht="45" x14ac:dyDescent="0.25">
      <c r="A104" s="107"/>
      <c r="B104" s="107"/>
      <c r="C104" s="106"/>
      <c r="D104" s="103"/>
      <c r="E104" s="106"/>
      <c r="F104" s="107"/>
      <c r="G104" s="107"/>
      <c r="H104" s="106"/>
      <c r="I104" s="107"/>
      <c r="J104" s="106"/>
      <c r="K104" s="106"/>
      <c r="L104" s="223"/>
      <c r="M104" s="106"/>
      <c r="N104" s="239"/>
      <c r="O104" s="239"/>
      <c r="P104" s="324"/>
      <c r="Q104" s="239"/>
      <c r="R104" s="239"/>
      <c r="S104" s="239"/>
      <c r="T104" s="239"/>
      <c r="U104" s="239"/>
      <c r="V104" s="239"/>
      <c r="W104" s="239"/>
      <c r="X104" s="239"/>
      <c r="Y104" s="239"/>
      <c r="Z104" s="239"/>
      <c r="AA104" s="239"/>
      <c r="AB104" s="239"/>
      <c r="AC104" s="239"/>
      <c r="AD104" s="239"/>
      <c r="AE104" s="239"/>
      <c r="AF104" s="239"/>
      <c r="AG104" s="394" t="s">
        <v>1703</v>
      </c>
      <c r="AH104" s="234">
        <v>2018000030040</v>
      </c>
      <c r="AI104" s="233" t="s">
        <v>1704</v>
      </c>
      <c r="AJ104" s="235" t="s">
        <v>1434</v>
      </c>
      <c r="AK104" s="227">
        <f>37522*0.2</f>
        <v>7504.4000000000005</v>
      </c>
      <c r="AL104" s="227">
        <v>200000</v>
      </c>
      <c r="AM104" s="229">
        <v>1</v>
      </c>
      <c r="AN104" s="239"/>
      <c r="AO104" s="239"/>
      <c r="AP104" s="239"/>
      <c r="AQ104" s="239"/>
      <c r="AR104" s="239"/>
      <c r="AS104" s="239"/>
      <c r="AT104" s="239"/>
      <c r="AU104" s="239"/>
      <c r="AV104" s="239"/>
      <c r="AW104" s="239"/>
      <c r="AX104" s="239"/>
      <c r="AY104" s="239"/>
      <c r="AZ104" s="267" t="s">
        <v>1699</v>
      </c>
      <c r="BA104" s="239"/>
    </row>
    <row r="105" spans="1:53" ht="156" x14ac:dyDescent="0.25">
      <c r="A105" s="205" t="s">
        <v>1245</v>
      </c>
      <c r="B105" s="205" t="s">
        <v>1449</v>
      </c>
      <c r="C105" s="206" t="s">
        <v>1705</v>
      </c>
      <c r="D105" s="205" t="s">
        <v>1706</v>
      </c>
      <c r="E105" s="206">
        <v>27000</v>
      </c>
      <c r="F105" s="206" t="s">
        <v>2043</v>
      </c>
      <c r="G105" s="206" t="s">
        <v>2044</v>
      </c>
      <c r="H105" s="206" t="s">
        <v>1707</v>
      </c>
      <c r="I105" s="206" t="s">
        <v>1708</v>
      </c>
      <c r="J105" s="206">
        <v>0</v>
      </c>
      <c r="K105" s="206" t="s">
        <v>1441</v>
      </c>
      <c r="L105" s="218">
        <v>3</v>
      </c>
      <c r="M105" s="206">
        <v>1</v>
      </c>
      <c r="N105" s="268"/>
      <c r="O105" s="268"/>
      <c r="P105" s="366">
        <v>3333334</v>
      </c>
      <c r="Q105" s="268"/>
      <c r="R105" s="268"/>
      <c r="S105" s="268"/>
      <c r="T105" s="268"/>
      <c r="U105" s="268"/>
      <c r="V105" s="268"/>
      <c r="W105" s="367">
        <v>6441885</v>
      </c>
      <c r="X105" s="268"/>
      <c r="Y105" s="268"/>
      <c r="Z105" s="268"/>
      <c r="AA105" s="268"/>
      <c r="AB105" s="268"/>
      <c r="AC105" s="268"/>
      <c r="AD105" s="268"/>
      <c r="AE105" s="268"/>
      <c r="AF105" s="268"/>
      <c r="AG105" s="407" t="s">
        <v>1709</v>
      </c>
      <c r="AH105" s="368" t="s">
        <v>1710</v>
      </c>
      <c r="AI105" s="268" t="s">
        <v>1711</v>
      </c>
      <c r="AJ105" s="369" t="s">
        <v>1712</v>
      </c>
      <c r="AK105" s="370">
        <v>48388</v>
      </c>
      <c r="AL105" s="370">
        <v>7469629</v>
      </c>
      <c r="AM105" s="369">
        <v>3</v>
      </c>
      <c r="AN105" s="268"/>
      <c r="AO105" s="268"/>
      <c r="AP105" s="268"/>
      <c r="AQ105" s="268"/>
      <c r="AR105" s="268"/>
      <c r="AS105" s="268"/>
      <c r="AT105" s="268"/>
      <c r="AU105" s="268"/>
      <c r="AV105" s="268"/>
      <c r="AW105" s="268"/>
      <c r="AX105" s="268"/>
      <c r="AY105" s="268"/>
      <c r="AZ105" s="268"/>
      <c r="BA105" s="268"/>
    </row>
    <row r="106" spans="1:53" ht="60" x14ac:dyDescent="0.25">
      <c r="A106" s="200"/>
      <c r="B106" s="200"/>
      <c r="C106" s="199"/>
      <c r="D106" s="200"/>
      <c r="E106" s="199"/>
      <c r="F106" s="199"/>
      <c r="G106" s="199"/>
      <c r="H106" s="199"/>
      <c r="I106" s="199"/>
      <c r="J106" s="199"/>
      <c r="K106" s="199"/>
      <c r="L106" s="238"/>
      <c r="M106" s="199"/>
      <c r="N106" s="269"/>
      <c r="O106" s="269"/>
      <c r="P106" s="357"/>
      <c r="Q106" s="269"/>
      <c r="R106" s="269"/>
      <c r="S106" s="269"/>
      <c r="T106" s="269"/>
      <c r="U106" s="269"/>
      <c r="V106" s="269"/>
      <c r="W106" s="269"/>
      <c r="X106" s="269"/>
      <c r="Y106" s="269"/>
      <c r="Z106" s="269"/>
      <c r="AA106" s="269"/>
      <c r="AB106" s="269"/>
      <c r="AC106" s="269"/>
      <c r="AD106" s="269"/>
      <c r="AE106" s="269"/>
      <c r="AF106" s="269"/>
      <c r="AG106" s="406" t="s">
        <v>1713</v>
      </c>
      <c r="AH106" s="334">
        <v>2013000030068</v>
      </c>
      <c r="AI106" s="358" t="s">
        <v>1488</v>
      </c>
      <c r="AJ106" s="359" t="s">
        <v>1623</v>
      </c>
      <c r="AK106" s="371">
        <v>32000</v>
      </c>
      <c r="AL106" s="371"/>
      <c r="AM106" s="255">
        <v>1</v>
      </c>
      <c r="AN106" s="335"/>
      <c r="AO106" s="335"/>
      <c r="AP106" s="269"/>
      <c r="AQ106" s="269"/>
      <c r="AR106" s="269"/>
      <c r="AS106" s="269"/>
      <c r="AT106" s="269"/>
      <c r="AU106" s="269"/>
      <c r="AV106" s="269"/>
      <c r="AW106" s="269"/>
      <c r="AX106" s="269"/>
      <c r="AY106" s="269"/>
      <c r="AZ106" s="269"/>
      <c r="BA106" s="106" t="s">
        <v>1636</v>
      </c>
    </row>
    <row r="107" spans="1:53" ht="45" x14ac:dyDescent="0.25">
      <c r="A107" s="107"/>
      <c r="B107" s="107"/>
      <c r="C107" s="106"/>
      <c r="D107" s="107"/>
      <c r="E107" s="106"/>
      <c r="F107" s="106"/>
      <c r="G107" s="106"/>
      <c r="H107" s="106"/>
      <c r="I107" s="106"/>
      <c r="J107" s="106"/>
      <c r="K107" s="106"/>
      <c r="L107" s="223"/>
      <c r="M107" s="106"/>
      <c r="N107" s="239"/>
      <c r="O107" s="239"/>
      <c r="P107" s="324"/>
      <c r="Q107" s="239"/>
      <c r="R107" s="239"/>
      <c r="S107" s="239"/>
      <c r="T107" s="239"/>
      <c r="U107" s="239"/>
      <c r="V107" s="239"/>
      <c r="W107" s="239"/>
      <c r="X107" s="239"/>
      <c r="Y107" s="239"/>
      <c r="Z107" s="239"/>
      <c r="AA107" s="239"/>
      <c r="AB107" s="239"/>
      <c r="AC107" s="239"/>
      <c r="AD107" s="239"/>
      <c r="AE107" s="239"/>
      <c r="AF107" s="239"/>
      <c r="AG107" s="398" t="s">
        <v>1714</v>
      </c>
      <c r="AH107" s="330">
        <v>2017003190309</v>
      </c>
      <c r="AI107" s="342" t="s">
        <v>1622</v>
      </c>
      <c r="AJ107" s="342" t="s">
        <v>1623</v>
      </c>
      <c r="AK107" s="261">
        <v>850</v>
      </c>
      <c r="AL107" s="348">
        <v>1027743.722</v>
      </c>
      <c r="AM107" s="255">
        <v>1</v>
      </c>
      <c r="AN107" s="274"/>
      <c r="AO107" s="274"/>
      <c r="AP107" s="239"/>
      <c r="AQ107" s="239"/>
      <c r="AR107" s="239"/>
      <c r="AS107" s="239"/>
      <c r="AT107" s="239"/>
      <c r="AU107" s="239"/>
      <c r="AV107" s="239"/>
      <c r="AW107" s="239"/>
      <c r="AX107" s="239"/>
      <c r="AY107" s="239"/>
      <c r="AZ107" s="239"/>
      <c r="BA107" s="106" t="s">
        <v>1715</v>
      </c>
    </row>
    <row r="108" spans="1:53" ht="120" x14ac:dyDescent="0.25">
      <c r="A108" s="107"/>
      <c r="B108" s="107"/>
      <c r="C108" s="106"/>
      <c r="D108" s="107"/>
      <c r="E108" s="106"/>
      <c r="F108" s="106"/>
      <c r="G108" s="106"/>
      <c r="H108" s="106"/>
      <c r="I108" s="106"/>
      <c r="J108" s="106"/>
      <c r="K108" s="106"/>
      <c r="L108" s="223"/>
      <c r="M108" s="106"/>
      <c r="N108" s="239"/>
      <c r="O108" s="239"/>
      <c r="P108" s="324"/>
      <c r="Q108" s="239"/>
      <c r="R108" s="239"/>
      <c r="S108" s="239"/>
      <c r="T108" s="239"/>
      <c r="U108" s="239"/>
      <c r="V108" s="239"/>
      <c r="W108" s="271">
        <f>6441885320/1000</f>
        <v>6441885.3200000003</v>
      </c>
      <c r="X108" s="239"/>
      <c r="Y108" s="239"/>
      <c r="Z108" s="239"/>
      <c r="AA108" s="239"/>
      <c r="AB108" s="239"/>
      <c r="AC108" s="239"/>
      <c r="AD108" s="239"/>
      <c r="AE108" s="239"/>
      <c r="AF108" s="239"/>
      <c r="AG108" s="398" t="s">
        <v>1716</v>
      </c>
      <c r="AH108" s="272">
        <v>2018000030011</v>
      </c>
      <c r="AI108" s="242" t="s">
        <v>1717</v>
      </c>
      <c r="AJ108" s="174" t="s">
        <v>874</v>
      </c>
      <c r="AK108" s="273">
        <v>15538</v>
      </c>
      <c r="AL108" s="273">
        <f>6441885320/1000</f>
        <v>6441885.3200000003</v>
      </c>
      <c r="AM108" s="255">
        <v>1</v>
      </c>
      <c r="AN108" s="274"/>
      <c r="AO108" s="274"/>
      <c r="AP108" s="239"/>
      <c r="AQ108" s="239"/>
      <c r="AR108" s="239"/>
      <c r="AS108" s="239"/>
      <c r="AT108" s="239"/>
      <c r="AU108" s="239"/>
      <c r="AV108" s="239"/>
      <c r="AW108" s="239"/>
      <c r="AX108" s="239"/>
      <c r="AY108" s="239"/>
      <c r="AZ108" s="106" t="s">
        <v>1594</v>
      </c>
      <c r="BA108" s="239"/>
    </row>
    <row r="109" spans="1:53" ht="150" x14ac:dyDescent="0.25">
      <c r="A109" s="207" t="s">
        <v>1245</v>
      </c>
      <c r="B109" s="207" t="s">
        <v>1449</v>
      </c>
      <c r="C109" s="208" t="s">
        <v>1718</v>
      </c>
      <c r="D109" s="207" t="s">
        <v>1719</v>
      </c>
      <c r="E109" s="208">
        <v>20</v>
      </c>
      <c r="F109" s="312" t="s">
        <v>2045</v>
      </c>
      <c r="G109" s="312" t="s">
        <v>2046</v>
      </c>
      <c r="H109" s="206" t="s">
        <v>1720</v>
      </c>
      <c r="I109" s="206" t="s">
        <v>1721</v>
      </c>
      <c r="J109" s="206">
        <v>0</v>
      </c>
      <c r="K109" s="208" t="s">
        <v>1441</v>
      </c>
      <c r="L109" s="275">
        <v>4</v>
      </c>
      <c r="M109" s="208">
        <v>1</v>
      </c>
      <c r="N109" s="276"/>
      <c r="O109" s="276"/>
      <c r="P109" s="372">
        <v>175003268</v>
      </c>
      <c r="Q109" s="276"/>
      <c r="R109" s="276"/>
      <c r="S109" s="276"/>
      <c r="T109" s="276"/>
      <c r="U109" s="276"/>
      <c r="V109" s="276"/>
      <c r="W109" s="276"/>
      <c r="X109" s="276"/>
      <c r="Y109" s="276"/>
      <c r="Z109" s="276"/>
      <c r="AA109" s="276"/>
      <c r="AB109" s="276"/>
      <c r="AC109" s="276"/>
      <c r="AD109" s="276"/>
      <c r="AE109" s="276"/>
      <c r="AF109" s="276"/>
      <c r="AG109" s="408" t="s">
        <v>1722</v>
      </c>
      <c r="AH109" s="373" t="s">
        <v>1723</v>
      </c>
      <c r="AI109" s="208" t="s">
        <v>1724</v>
      </c>
      <c r="AJ109" s="250" t="s">
        <v>1725</v>
      </c>
      <c r="AK109" s="339">
        <v>539599</v>
      </c>
      <c r="AL109" s="339">
        <v>17692921</v>
      </c>
      <c r="AM109" s="374">
        <v>3</v>
      </c>
      <c r="AN109" s="276"/>
      <c r="AO109" s="276"/>
      <c r="AP109" s="276"/>
      <c r="AQ109" s="276"/>
      <c r="AR109" s="276"/>
      <c r="AS109" s="276"/>
      <c r="AT109" s="276"/>
      <c r="AU109" s="276"/>
      <c r="AV109" s="276"/>
      <c r="AW109" s="276"/>
      <c r="AX109" s="276"/>
      <c r="AY109" s="276"/>
      <c r="AZ109" s="276"/>
      <c r="BA109" s="276"/>
    </row>
    <row r="110" spans="1:53" ht="45.75" thickBot="1" x14ac:dyDescent="0.3">
      <c r="A110" s="107"/>
      <c r="B110" s="107"/>
      <c r="C110" s="199"/>
      <c r="D110" s="200"/>
      <c r="E110" s="199"/>
      <c r="F110" s="201"/>
      <c r="G110" s="201"/>
      <c r="H110" s="199"/>
      <c r="I110" s="199"/>
      <c r="J110" s="199"/>
      <c r="K110" s="106"/>
      <c r="L110" s="277"/>
      <c r="M110" s="106"/>
      <c r="N110" s="239"/>
      <c r="O110" s="239"/>
      <c r="P110" s="324"/>
      <c r="Q110" s="239"/>
      <c r="R110" s="239"/>
      <c r="S110" s="239"/>
      <c r="T110" s="239"/>
      <c r="U110" s="239"/>
      <c r="V110" s="239"/>
      <c r="W110" s="239"/>
      <c r="X110" s="239"/>
      <c r="Y110" s="239"/>
      <c r="Z110" s="239"/>
      <c r="AA110" s="239"/>
      <c r="AB110" s="239"/>
      <c r="AC110" s="239"/>
      <c r="AD110" s="239"/>
      <c r="AE110" s="239"/>
      <c r="AF110" s="239"/>
      <c r="AG110" s="398" t="s">
        <v>1726</v>
      </c>
      <c r="AH110" s="330">
        <v>2017003190219</v>
      </c>
      <c r="AI110" s="270" t="s">
        <v>1727</v>
      </c>
      <c r="AJ110" s="270" t="s">
        <v>1725</v>
      </c>
      <c r="AK110" s="348">
        <v>130299</v>
      </c>
      <c r="AL110" s="348">
        <v>714428.74100000004</v>
      </c>
      <c r="AM110" s="255">
        <v>1</v>
      </c>
      <c r="AN110" s="239"/>
      <c r="AO110" s="239"/>
      <c r="AP110" s="239"/>
      <c r="AQ110" s="239"/>
      <c r="AR110" s="239"/>
      <c r="AS110" s="239"/>
      <c r="AT110" s="239"/>
      <c r="AU110" s="239"/>
      <c r="AV110" s="239"/>
      <c r="AW110" s="239"/>
      <c r="AX110" s="239"/>
      <c r="AY110" s="239"/>
      <c r="AZ110" s="106" t="s">
        <v>1561</v>
      </c>
      <c r="BA110" s="239"/>
    </row>
    <row r="111" spans="1:53" ht="30.75" thickBot="1" x14ac:dyDescent="0.3">
      <c r="A111" s="107"/>
      <c r="B111" s="107"/>
      <c r="C111" s="199"/>
      <c r="D111" s="200"/>
      <c r="E111" s="199"/>
      <c r="F111" s="201"/>
      <c r="G111" s="201"/>
      <c r="H111" s="199"/>
      <c r="I111" s="199"/>
      <c r="J111" s="199"/>
      <c r="K111" s="106"/>
      <c r="L111" s="277"/>
      <c r="M111" s="106"/>
      <c r="N111" s="239"/>
      <c r="O111" s="239"/>
      <c r="P111" s="324"/>
      <c r="Q111" s="239"/>
      <c r="R111" s="239"/>
      <c r="S111" s="239"/>
      <c r="T111" s="239"/>
      <c r="U111" s="239"/>
      <c r="V111" s="239"/>
      <c r="W111" s="239"/>
      <c r="X111" s="239"/>
      <c r="Y111" s="239"/>
      <c r="Z111" s="239"/>
      <c r="AA111" s="239"/>
      <c r="AB111" s="239"/>
      <c r="AC111" s="239"/>
      <c r="AD111" s="239"/>
      <c r="AE111" s="239"/>
      <c r="AF111" s="239"/>
      <c r="AG111" s="375" t="s">
        <v>1728</v>
      </c>
      <c r="AH111" s="274"/>
      <c r="AI111" s="174" t="s">
        <v>1436</v>
      </c>
      <c r="AJ111" s="174" t="s">
        <v>1434</v>
      </c>
      <c r="AK111" s="174"/>
      <c r="AL111" s="331">
        <f>3494944099/1000</f>
        <v>3494944.0989999999</v>
      </c>
      <c r="AM111" s="376">
        <v>1</v>
      </c>
      <c r="AN111" s="239"/>
      <c r="AO111" s="239"/>
      <c r="AP111" s="239"/>
      <c r="AQ111" s="239"/>
      <c r="AR111" s="239"/>
      <c r="AS111" s="239"/>
      <c r="AT111" s="239"/>
      <c r="AU111" s="239"/>
      <c r="AV111" s="239"/>
      <c r="AW111" s="239"/>
      <c r="AX111" s="239"/>
      <c r="AY111" s="239"/>
      <c r="AZ111" s="239"/>
      <c r="BA111" s="239"/>
    </row>
    <row r="112" spans="1:53" ht="105" x14ac:dyDescent="0.25">
      <c r="A112" s="107"/>
      <c r="B112" s="107"/>
      <c r="C112" s="199"/>
      <c r="D112" s="200"/>
      <c r="E112" s="199"/>
      <c r="F112" s="201"/>
      <c r="G112" s="201"/>
      <c r="H112" s="199"/>
      <c r="I112" s="199"/>
      <c r="J112" s="199"/>
      <c r="K112" s="106"/>
      <c r="L112" s="277"/>
      <c r="M112" s="106"/>
      <c r="N112" s="239"/>
      <c r="O112" s="239"/>
      <c r="P112" s="324"/>
      <c r="Q112" s="239"/>
      <c r="R112" s="239"/>
      <c r="S112" s="239"/>
      <c r="T112" s="239"/>
      <c r="U112" s="239"/>
      <c r="V112" s="239"/>
      <c r="W112" s="239"/>
      <c r="X112" s="239"/>
      <c r="Y112" s="239"/>
      <c r="Z112" s="239"/>
      <c r="AA112" s="239"/>
      <c r="AB112" s="239"/>
      <c r="AC112" s="239"/>
      <c r="AD112" s="239"/>
      <c r="AE112" s="239"/>
      <c r="AF112" s="239"/>
      <c r="AG112" s="406" t="s">
        <v>1729</v>
      </c>
      <c r="AH112" s="334">
        <v>2018000030032</v>
      </c>
      <c r="AI112" s="358" t="s">
        <v>1488</v>
      </c>
      <c r="AJ112" s="359" t="s">
        <v>1730</v>
      </c>
      <c r="AK112" s="263">
        <v>409300</v>
      </c>
      <c r="AL112" s="263">
        <f>13482920875/1000</f>
        <v>13482920.875</v>
      </c>
      <c r="AM112" s="264">
        <v>1</v>
      </c>
      <c r="AN112" s="239"/>
      <c r="AO112" s="239"/>
      <c r="AP112" s="239"/>
      <c r="AQ112" s="239"/>
      <c r="AR112" s="239"/>
      <c r="AS112" s="239"/>
      <c r="AT112" s="239"/>
      <c r="AU112" s="239"/>
      <c r="AV112" s="239"/>
      <c r="AW112" s="239"/>
      <c r="AX112" s="239"/>
      <c r="AY112" s="239"/>
      <c r="AZ112" s="239"/>
      <c r="BA112" s="239"/>
    </row>
    <row r="113" spans="1:53" x14ac:dyDescent="0.25">
      <c r="A113" s="107"/>
      <c r="B113" s="107"/>
      <c r="C113" s="199"/>
      <c r="D113" s="200"/>
      <c r="E113" s="199"/>
      <c r="F113" s="201"/>
      <c r="G113" s="201"/>
      <c r="H113" s="199"/>
      <c r="I113" s="199"/>
      <c r="J113" s="199"/>
      <c r="K113" s="106"/>
      <c r="L113" s="277"/>
      <c r="M113" s="106"/>
      <c r="N113" s="239"/>
      <c r="O113" s="239"/>
      <c r="P113" s="324"/>
      <c r="Q113" s="239"/>
      <c r="R113" s="239"/>
      <c r="S113" s="239"/>
      <c r="T113" s="239"/>
      <c r="U113" s="239"/>
      <c r="V113" s="239"/>
      <c r="W113" s="239"/>
      <c r="X113" s="239"/>
      <c r="Y113" s="239"/>
      <c r="Z113" s="239"/>
      <c r="AA113" s="239"/>
      <c r="AB113" s="239"/>
      <c r="AC113" s="239"/>
      <c r="AD113" s="239"/>
      <c r="AE113" s="239"/>
      <c r="AF113" s="239"/>
      <c r="AG113" s="111" t="s">
        <v>1731</v>
      </c>
      <c r="AH113" s="274"/>
      <c r="AI113" s="274"/>
      <c r="AJ113" s="174"/>
      <c r="AK113" s="274"/>
      <c r="AL113" s="274"/>
      <c r="AM113" s="274"/>
      <c r="AN113" s="239"/>
      <c r="AO113" s="239"/>
      <c r="AP113" s="239"/>
      <c r="AQ113" s="239"/>
      <c r="AR113" s="239"/>
      <c r="AS113" s="239"/>
      <c r="AT113" s="239"/>
      <c r="AU113" s="239"/>
      <c r="AV113" s="239"/>
      <c r="AW113" s="239"/>
      <c r="AX113" s="239"/>
      <c r="AY113" s="239"/>
      <c r="AZ113" s="239"/>
      <c r="BA113" s="239"/>
    </row>
    <row r="114" spans="1:53" ht="135" x14ac:dyDescent="0.25">
      <c r="A114" s="209" t="s">
        <v>1245</v>
      </c>
      <c r="B114" s="209" t="s">
        <v>1449</v>
      </c>
      <c r="C114" s="210" t="s">
        <v>1732</v>
      </c>
      <c r="D114" s="210" t="s">
        <v>1733</v>
      </c>
      <c r="E114" s="210" t="s">
        <v>1734</v>
      </c>
      <c r="F114" s="209" t="s">
        <v>2047</v>
      </c>
      <c r="G114" s="210" t="s">
        <v>2048</v>
      </c>
      <c r="H114" s="211" t="s">
        <v>1735</v>
      </c>
      <c r="I114" s="209" t="s">
        <v>1736</v>
      </c>
      <c r="J114" s="211" t="s">
        <v>1505</v>
      </c>
      <c r="K114" s="211" t="s">
        <v>1441</v>
      </c>
      <c r="L114" s="217">
        <v>3</v>
      </c>
      <c r="M114" s="211">
        <v>1</v>
      </c>
      <c r="N114" s="278"/>
      <c r="O114" s="278"/>
      <c r="P114" s="377">
        <v>1166667</v>
      </c>
      <c r="Q114" s="378">
        <v>211524</v>
      </c>
      <c r="R114" s="278"/>
      <c r="S114" s="278"/>
      <c r="T114" s="278"/>
      <c r="U114" s="278"/>
      <c r="V114" s="278"/>
      <c r="W114" s="278"/>
      <c r="X114" s="278"/>
      <c r="Y114" s="278"/>
      <c r="Z114" s="278"/>
      <c r="AA114" s="278"/>
      <c r="AB114" s="278"/>
      <c r="AC114" s="278"/>
      <c r="AD114" s="278"/>
      <c r="AE114" s="278"/>
      <c r="AF114" s="278"/>
      <c r="AG114" s="409" t="s">
        <v>1737</v>
      </c>
      <c r="AH114" s="379">
        <v>2018003190101</v>
      </c>
      <c r="AI114" s="210" t="s">
        <v>1738</v>
      </c>
      <c r="AJ114" s="211" t="s">
        <v>1664</v>
      </c>
      <c r="AK114" s="380">
        <v>1330666</v>
      </c>
      <c r="AL114" s="380">
        <v>135467</v>
      </c>
      <c r="AM114" s="381">
        <v>7</v>
      </c>
      <c r="AN114" s="278"/>
      <c r="AO114" s="278"/>
      <c r="AP114" s="278"/>
      <c r="AQ114" s="278"/>
      <c r="AR114" s="278"/>
      <c r="AS114" s="278"/>
      <c r="AT114" s="278"/>
      <c r="AU114" s="278"/>
      <c r="AV114" s="278"/>
      <c r="AW114" s="278"/>
      <c r="AX114" s="278"/>
      <c r="AY114" s="278"/>
      <c r="AZ114" s="278"/>
      <c r="BA114" s="278"/>
    </row>
    <row r="115" spans="1:53" ht="120" x14ac:dyDescent="0.25">
      <c r="A115" s="203"/>
      <c r="B115" s="203"/>
      <c r="C115" s="267"/>
      <c r="D115" s="267"/>
      <c r="E115" s="267"/>
      <c r="F115" s="313"/>
      <c r="G115" s="314"/>
      <c r="H115" s="203"/>
      <c r="I115" s="203"/>
      <c r="J115" s="203"/>
      <c r="K115" s="203"/>
      <c r="L115" s="265"/>
      <c r="M115" s="203"/>
      <c r="N115" s="382"/>
      <c r="O115" s="382"/>
      <c r="P115" s="383"/>
      <c r="Q115" s="384">
        <f>211523900/1000</f>
        <v>211523.9</v>
      </c>
      <c r="R115" s="382"/>
      <c r="S115" s="382"/>
      <c r="T115" s="382"/>
      <c r="U115" s="382"/>
      <c r="V115" s="382"/>
      <c r="W115" s="382"/>
      <c r="X115" s="382"/>
      <c r="Y115" s="382"/>
      <c r="Z115" s="382"/>
      <c r="AA115" s="382"/>
      <c r="AB115" s="382"/>
      <c r="AC115" s="382"/>
      <c r="AD115" s="382"/>
      <c r="AE115" s="382"/>
      <c r="AF115" s="382"/>
      <c r="AG115" s="410" t="s">
        <v>1737</v>
      </c>
      <c r="AH115" s="319">
        <v>2018003190101</v>
      </c>
      <c r="AI115" s="203" t="s">
        <v>1739</v>
      </c>
      <c r="AJ115" s="203" t="s">
        <v>1664</v>
      </c>
      <c r="AK115" s="384">
        <v>1330666</v>
      </c>
      <c r="AL115" s="384">
        <f>135466730/1000</f>
        <v>135466.73000000001</v>
      </c>
      <c r="AM115" s="382">
        <v>7</v>
      </c>
      <c r="AN115" s="382"/>
      <c r="AO115" s="382"/>
      <c r="AP115" s="382"/>
      <c r="AQ115" s="382"/>
      <c r="AR115" s="382"/>
      <c r="AS115" s="382"/>
      <c r="AT115" s="382"/>
      <c r="AU115" s="382"/>
      <c r="AV115" s="382"/>
      <c r="AW115" s="382"/>
      <c r="AX115" s="382"/>
      <c r="AY115" s="382"/>
      <c r="AZ115" s="203" t="s">
        <v>1740</v>
      </c>
      <c r="BA115" s="382"/>
    </row>
    <row r="116" spans="1:53" ht="150" x14ac:dyDescent="0.25">
      <c r="A116" s="197" t="s">
        <v>1245</v>
      </c>
      <c r="B116" s="197" t="s">
        <v>1449</v>
      </c>
      <c r="C116" s="212"/>
      <c r="D116" s="212"/>
      <c r="E116" s="212"/>
      <c r="F116" s="197" t="s">
        <v>2047</v>
      </c>
      <c r="G116" s="212"/>
      <c r="H116" s="196" t="s">
        <v>1741</v>
      </c>
      <c r="I116" s="197" t="s">
        <v>1742</v>
      </c>
      <c r="J116" s="196">
        <v>0</v>
      </c>
      <c r="K116" s="196" t="s">
        <v>1441</v>
      </c>
      <c r="L116" s="252">
        <v>1</v>
      </c>
      <c r="M116" s="252">
        <v>0.34</v>
      </c>
      <c r="N116" s="222"/>
      <c r="O116" s="222"/>
      <c r="P116" s="320">
        <v>1166667</v>
      </c>
      <c r="Q116" s="222"/>
      <c r="R116" s="222"/>
      <c r="S116" s="222"/>
      <c r="T116" s="222"/>
      <c r="U116" s="222"/>
      <c r="V116" s="222"/>
      <c r="W116" s="222"/>
      <c r="X116" s="222"/>
      <c r="Y116" s="222"/>
      <c r="Z116" s="222"/>
      <c r="AA116" s="222"/>
      <c r="AB116" s="222"/>
      <c r="AC116" s="222"/>
      <c r="AD116" s="222"/>
      <c r="AE116" s="222"/>
      <c r="AF116" s="222"/>
      <c r="AG116" s="198" t="s">
        <v>1743</v>
      </c>
      <c r="AH116" s="222"/>
      <c r="AI116" s="241" t="s">
        <v>1663</v>
      </c>
      <c r="AJ116" s="196" t="s">
        <v>1664</v>
      </c>
      <c r="AK116" s="216">
        <v>1330666</v>
      </c>
      <c r="AL116" s="241">
        <f>+AL117</f>
        <v>0</v>
      </c>
      <c r="AM116" s="241">
        <f>+AM117</f>
        <v>0</v>
      </c>
      <c r="AN116" s="222"/>
      <c r="AO116" s="222"/>
      <c r="AP116" s="222"/>
      <c r="AQ116" s="222"/>
      <c r="AR116" s="222"/>
      <c r="AS116" s="222"/>
      <c r="AT116" s="222"/>
      <c r="AU116" s="222"/>
      <c r="AV116" s="222"/>
      <c r="AW116" s="222"/>
      <c r="AX116" s="222"/>
      <c r="AY116" s="222"/>
      <c r="AZ116" s="222"/>
      <c r="BA116" s="222"/>
    </row>
    <row r="117" spans="1:53" ht="150" x14ac:dyDescent="0.25">
      <c r="A117" s="107"/>
      <c r="B117" s="107"/>
      <c r="C117" s="213"/>
      <c r="D117" s="213"/>
      <c r="E117" s="213"/>
      <c r="F117" s="107"/>
      <c r="G117" s="213"/>
      <c r="H117" s="106"/>
      <c r="I117" s="107"/>
      <c r="J117" s="106"/>
      <c r="K117" s="106"/>
      <c r="L117" s="280"/>
      <c r="M117" s="280"/>
      <c r="N117" s="239"/>
      <c r="O117" s="239"/>
      <c r="P117" s="324"/>
      <c r="Q117" s="239"/>
      <c r="R117" s="239"/>
      <c r="S117" s="239"/>
      <c r="T117" s="239"/>
      <c r="U117" s="239"/>
      <c r="V117" s="239"/>
      <c r="W117" s="239"/>
      <c r="X117" s="239"/>
      <c r="Y117" s="239"/>
      <c r="Z117" s="239"/>
      <c r="AA117" s="239"/>
      <c r="AB117" s="239"/>
      <c r="AC117" s="239"/>
      <c r="AD117" s="239"/>
      <c r="AE117" s="239"/>
      <c r="AF117" s="239"/>
      <c r="AG117" s="406" t="s">
        <v>1743</v>
      </c>
      <c r="AH117" s="334"/>
      <c r="AI117" s="358" t="s">
        <v>1663</v>
      </c>
      <c r="AJ117" s="358" t="s">
        <v>1664</v>
      </c>
      <c r="AK117" s="371">
        <v>1330666</v>
      </c>
      <c r="AL117" s="371"/>
      <c r="AM117" s="358"/>
      <c r="AN117" s="239"/>
      <c r="AO117" s="239"/>
      <c r="AP117" s="239"/>
      <c r="AQ117" s="239"/>
      <c r="AR117" s="239"/>
      <c r="AS117" s="239"/>
      <c r="AT117" s="239"/>
      <c r="AU117" s="239"/>
      <c r="AV117" s="239"/>
      <c r="AW117" s="239"/>
      <c r="AX117" s="239"/>
      <c r="AY117" s="239"/>
      <c r="AZ117" s="106" t="s">
        <v>1744</v>
      </c>
      <c r="BA117" s="239"/>
    </row>
    <row r="118" spans="1:53" ht="240" x14ac:dyDescent="0.25">
      <c r="A118" s="197" t="s">
        <v>1245</v>
      </c>
      <c r="B118" s="197" t="s">
        <v>1449</v>
      </c>
      <c r="C118" s="210" t="s">
        <v>1745</v>
      </c>
      <c r="D118" s="210" t="s">
        <v>1746</v>
      </c>
      <c r="E118" s="210" t="s">
        <v>1747</v>
      </c>
      <c r="F118" s="195" t="s">
        <v>2049</v>
      </c>
      <c r="G118" s="210" t="s">
        <v>2050</v>
      </c>
      <c r="H118" s="197" t="s">
        <v>1748</v>
      </c>
      <c r="I118" s="197" t="s">
        <v>1749</v>
      </c>
      <c r="J118" s="196">
        <v>0</v>
      </c>
      <c r="K118" s="196" t="s">
        <v>1441</v>
      </c>
      <c r="L118" s="215">
        <v>40</v>
      </c>
      <c r="M118" s="241">
        <v>10</v>
      </c>
      <c r="N118" s="222"/>
      <c r="O118" s="222"/>
      <c r="P118" s="326">
        <v>175000</v>
      </c>
      <c r="Q118" s="220">
        <v>565136</v>
      </c>
      <c r="R118" s="222"/>
      <c r="S118" s="222"/>
      <c r="T118" s="222"/>
      <c r="U118" s="222"/>
      <c r="V118" s="220">
        <v>7138800</v>
      </c>
      <c r="W118" s="220">
        <v>3230394</v>
      </c>
      <c r="X118" s="222"/>
      <c r="Y118" s="220">
        <v>672449</v>
      </c>
      <c r="Z118" s="222"/>
      <c r="AA118" s="222"/>
      <c r="AB118" s="222"/>
      <c r="AC118" s="222"/>
      <c r="AD118" s="222"/>
      <c r="AE118" s="220">
        <v>898120</v>
      </c>
      <c r="AF118" s="222"/>
      <c r="AG118" s="411" t="s">
        <v>1750</v>
      </c>
      <c r="AH118" s="221" t="s">
        <v>1751</v>
      </c>
      <c r="AI118" s="195" t="s">
        <v>1752</v>
      </c>
      <c r="AJ118" s="196" t="s">
        <v>1753</v>
      </c>
      <c r="AK118" s="216">
        <v>22264</v>
      </c>
      <c r="AL118" s="216">
        <v>51545435</v>
      </c>
      <c r="AM118" s="216">
        <v>18</v>
      </c>
      <c r="AN118" s="222"/>
      <c r="AO118" s="222"/>
      <c r="AP118" s="222"/>
      <c r="AQ118" s="222"/>
      <c r="AR118" s="222"/>
      <c r="AS118" s="222"/>
      <c r="AT118" s="222"/>
      <c r="AU118" s="222"/>
      <c r="AV118" s="222"/>
      <c r="AW118" s="222"/>
      <c r="AX118" s="222"/>
      <c r="AY118" s="222"/>
      <c r="AZ118" s="222"/>
      <c r="BA118" s="222"/>
    </row>
    <row r="119" spans="1:53" ht="60" x14ac:dyDescent="0.25">
      <c r="A119" s="107"/>
      <c r="B119" s="107"/>
      <c r="C119" s="213"/>
      <c r="D119" s="213"/>
      <c r="E119" s="213"/>
      <c r="F119" s="103"/>
      <c r="G119" s="213"/>
      <c r="H119" s="107"/>
      <c r="I119" s="107"/>
      <c r="J119" s="106"/>
      <c r="K119" s="136"/>
      <c r="L119" s="223"/>
      <c r="M119" s="105"/>
      <c r="N119" s="239"/>
      <c r="O119" s="239"/>
      <c r="P119" s="318"/>
      <c r="Q119" s="239"/>
      <c r="R119" s="239"/>
      <c r="S119" s="239"/>
      <c r="T119" s="239"/>
      <c r="U119" s="239"/>
      <c r="V119" s="239"/>
      <c r="W119" s="239"/>
      <c r="X119" s="239"/>
      <c r="Y119" s="239"/>
      <c r="Z119" s="239"/>
      <c r="AA119" s="239"/>
      <c r="AB119" s="239"/>
      <c r="AC119" s="239"/>
      <c r="AD119" s="239"/>
      <c r="AE119" s="239"/>
      <c r="AF119" s="239"/>
      <c r="AG119" s="398" t="s">
        <v>1754</v>
      </c>
      <c r="AH119" s="330">
        <v>2017003190126</v>
      </c>
      <c r="AI119" s="270" t="s">
        <v>1755</v>
      </c>
      <c r="AJ119" s="342" t="s">
        <v>1576</v>
      </c>
      <c r="AK119" s="348">
        <v>4000</v>
      </c>
      <c r="AL119" s="348">
        <v>599250</v>
      </c>
      <c r="AM119" s="385">
        <v>1</v>
      </c>
      <c r="AN119" s="239"/>
      <c r="AO119" s="239"/>
      <c r="AP119" s="239"/>
      <c r="AQ119" s="239"/>
      <c r="AR119" s="239"/>
      <c r="AS119" s="239"/>
      <c r="AT119" s="239"/>
      <c r="AU119" s="239"/>
      <c r="AV119" s="239"/>
      <c r="AW119" s="239"/>
      <c r="AX119" s="239"/>
      <c r="AY119" s="239"/>
      <c r="AZ119" s="106" t="s">
        <v>1499</v>
      </c>
      <c r="BA119" s="239"/>
    </row>
    <row r="120" spans="1:53" ht="60" x14ac:dyDescent="0.25">
      <c r="A120" s="107"/>
      <c r="B120" s="107"/>
      <c r="C120" s="213"/>
      <c r="D120" s="213"/>
      <c r="E120" s="213"/>
      <c r="F120" s="103"/>
      <c r="G120" s="213"/>
      <c r="H120" s="107"/>
      <c r="I120" s="107"/>
      <c r="J120" s="106"/>
      <c r="K120" s="136"/>
      <c r="L120" s="223"/>
      <c r="M120" s="105"/>
      <c r="N120" s="239"/>
      <c r="O120" s="239"/>
      <c r="P120" s="318"/>
      <c r="Q120" s="239"/>
      <c r="R120" s="239"/>
      <c r="S120" s="239"/>
      <c r="T120" s="239"/>
      <c r="U120" s="239"/>
      <c r="V120" s="239"/>
      <c r="W120" s="239"/>
      <c r="X120" s="239"/>
      <c r="Y120" s="239"/>
      <c r="Z120" s="239"/>
      <c r="AA120" s="239"/>
      <c r="AB120" s="239"/>
      <c r="AC120" s="239"/>
      <c r="AD120" s="239"/>
      <c r="AE120" s="239"/>
      <c r="AF120" s="239"/>
      <c r="AG120" s="398" t="s">
        <v>1756</v>
      </c>
      <c r="AH120" s="330">
        <v>2017003190124</v>
      </c>
      <c r="AI120" s="270" t="s">
        <v>1757</v>
      </c>
      <c r="AJ120" s="342" t="s">
        <v>1576</v>
      </c>
      <c r="AK120" s="348">
        <v>3200</v>
      </c>
      <c r="AL120" s="348">
        <v>544000</v>
      </c>
      <c r="AM120" s="385">
        <v>1</v>
      </c>
      <c r="AN120" s="239"/>
      <c r="AO120" s="239"/>
      <c r="AP120" s="239"/>
      <c r="AQ120" s="239"/>
      <c r="AR120" s="239"/>
      <c r="AS120" s="239"/>
      <c r="AT120" s="239"/>
      <c r="AU120" s="239"/>
      <c r="AV120" s="239"/>
      <c r="AW120" s="239"/>
      <c r="AX120" s="239"/>
      <c r="AY120" s="239"/>
      <c r="AZ120" s="106" t="s">
        <v>1499</v>
      </c>
      <c r="BA120" s="239"/>
    </row>
    <row r="121" spans="1:53" ht="75" x14ac:dyDescent="0.25">
      <c r="A121" s="107"/>
      <c r="B121" s="107"/>
      <c r="C121" s="213"/>
      <c r="D121" s="213"/>
      <c r="E121" s="213"/>
      <c r="F121" s="103"/>
      <c r="G121" s="213"/>
      <c r="H121" s="107"/>
      <c r="I121" s="107"/>
      <c r="J121" s="106"/>
      <c r="K121" s="136"/>
      <c r="L121" s="223"/>
      <c r="M121" s="105"/>
      <c r="N121" s="239"/>
      <c r="O121" s="239"/>
      <c r="P121" s="318"/>
      <c r="Q121" s="239"/>
      <c r="R121" s="239"/>
      <c r="S121" s="239"/>
      <c r="T121" s="239"/>
      <c r="U121" s="239"/>
      <c r="V121" s="271">
        <f>3970494319/1000</f>
        <v>3970494.3190000001</v>
      </c>
      <c r="W121" s="239"/>
      <c r="X121" s="239"/>
      <c r="Y121" s="239"/>
      <c r="Z121" s="239"/>
      <c r="AA121" s="239"/>
      <c r="AB121" s="239"/>
      <c r="AC121" s="239"/>
      <c r="AD121" s="239"/>
      <c r="AE121" s="239"/>
      <c r="AF121" s="239"/>
      <c r="AG121" s="398" t="s">
        <v>1758</v>
      </c>
      <c r="AH121" s="330">
        <v>2018000030112</v>
      </c>
      <c r="AI121" s="270" t="s">
        <v>1759</v>
      </c>
      <c r="AJ121" s="270" t="s">
        <v>1760</v>
      </c>
      <c r="AK121" s="270">
        <v>6474</v>
      </c>
      <c r="AL121" s="338">
        <f>3970494319/1000</f>
        <v>3970494.3190000001</v>
      </c>
      <c r="AM121" s="386">
        <v>1</v>
      </c>
      <c r="AN121" s="239"/>
      <c r="AO121" s="239"/>
      <c r="AP121" s="239"/>
      <c r="AQ121" s="239"/>
      <c r="AR121" s="239"/>
      <c r="AS121" s="239"/>
      <c r="AT121" s="239"/>
      <c r="AU121" s="239"/>
      <c r="AV121" s="239"/>
      <c r="AW121" s="239"/>
      <c r="AX121" s="239"/>
      <c r="AY121" s="239"/>
      <c r="AZ121" s="106" t="s">
        <v>1761</v>
      </c>
      <c r="BA121" s="239"/>
    </row>
    <row r="122" spans="1:53" ht="120" x14ac:dyDescent="0.25">
      <c r="A122" s="107"/>
      <c r="B122" s="107"/>
      <c r="C122" s="213"/>
      <c r="D122" s="213"/>
      <c r="E122" s="213"/>
      <c r="F122" s="103"/>
      <c r="G122" s="213"/>
      <c r="H122" s="107"/>
      <c r="I122" s="107"/>
      <c r="J122" s="106"/>
      <c r="K122" s="136"/>
      <c r="L122" s="223"/>
      <c r="M122" s="105"/>
      <c r="N122" s="239"/>
      <c r="O122" s="239"/>
      <c r="P122" s="318"/>
      <c r="Q122" s="239"/>
      <c r="R122" s="239"/>
      <c r="S122" s="239"/>
      <c r="T122" s="239"/>
      <c r="U122" s="239"/>
      <c r="V122" s="286">
        <f>1481922950/1000</f>
        <v>1481922.95</v>
      </c>
      <c r="W122" s="239"/>
      <c r="X122" s="239"/>
      <c r="Y122" s="239"/>
      <c r="Z122" s="239"/>
      <c r="AA122" s="239"/>
      <c r="AB122" s="239"/>
      <c r="AC122" s="239"/>
      <c r="AD122" s="239"/>
      <c r="AE122" s="239"/>
      <c r="AF122" s="239"/>
      <c r="AG122" s="398" t="s">
        <v>1762</v>
      </c>
      <c r="AH122" s="330">
        <v>2018000030001</v>
      </c>
      <c r="AI122" s="270" t="s">
        <v>1635</v>
      </c>
      <c r="AJ122" s="270" t="s">
        <v>1587</v>
      </c>
      <c r="AK122" s="270">
        <v>118</v>
      </c>
      <c r="AL122" s="338">
        <f>1491922950/1000</f>
        <v>1491922.95</v>
      </c>
      <c r="AM122" s="386">
        <v>1</v>
      </c>
      <c r="AN122" s="239"/>
      <c r="AO122" s="239"/>
      <c r="AP122" s="239"/>
      <c r="AQ122" s="239"/>
      <c r="AR122" s="239"/>
      <c r="AS122" s="239"/>
      <c r="AT122" s="239"/>
      <c r="AU122" s="239"/>
      <c r="AV122" s="239"/>
      <c r="AW122" s="239"/>
      <c r="AX122" s="239"/>
      <c r="AY122" s="239"/>
      <c r="AZ122" s="106" t="s">
        <v>1761</v>
      </c>
      <c r="BA122" s="103"/>
    </row>
    <row r="123" spans="1:53" ht="120" x14ac:dyDescent="0.25">
      <c r="A123" s="107"/>
      <c r="B123" s="107"/>
      <c r="C123" s="213"/>
      <c r="D123" s="213"/>
      <c r="E123" s="213"/>
      <c r="F123" s="103"/>
      <c r="G123" s="213"/>
      <c r="H123" s="107"/>
      <c r="I123" s="107"/>
      <c r="J123" s="106"/>
      <c r="K123" s="136"/>
      <c r="L123" s="223"/>
      <c r="M123" s="105"/>
      <c r="N123" s="239"/>
      <c r="O123" s="239"/>
      <c r="P123" s="318"/>
      <c r="Q123" s="239"/>
      <c r="R123" s="239"/>
      <c r="S123" s="239"/>
      <c r="T123" s="239"/>
      <c r="U123" s="239"/>
      <c r="V123" s="286">
        <f>1686382897/1000</f>
        <v>1686382.8970000001</v>
      </c>
      <c r="W123" s="239"/>
      <c r="X123" s="239"/>
      <c r="Y123" s="239"/>
      <c r="Z123" s="239"/>
      <c r="AA123" s="239"/>
      <c r="AB123" s="239"/>
      <c r="AC123" s="239"/>
      <c r="AD123" s="239"/>
      <c r="AE123" s="286">
        <f>15000000/1000</f>
        <v>15000</v>
      </c>
      <c r="AF123" s="239"/>
      <c r="AG123" s="398" t="s">
        <v>1763</v>
      </c>
      <c r="AH123" s="330">
        <v>2018000030025</v>
      </c>
      <c r="AI123" s="270" t="s">
        <v>1488</v>
      </c>
      <c r="AJ123" s="270" t="s">
        <v>1730</v>
      </c>
      <c r="AK123" s="270">
        <v>199</v>
      </c>
      <c r="AL123" s="338">
        <f>1686382897/1000</f>
        <v>1686382.8970000001</v>
      </c>
      <c r="AM123" s="386">
        <v>1</v>
      </c>
      <c r="AN123" s="239"/>
      <c r="AO123" s="239"/>
      <c r="AP123" s="239"/>
      <c r="AQ123" s="239"/>
      <c r="AR123" s="239"/>
      <c r="AS123" s="239"/>
      <c r="AT123" s="239"/>
      <c r="AU123" s="239"/>
      <c r="AV123" s="239"/>
      <c r="AW123" s="239"/>
      <c r="AX123" s="239"/>
      <c r="AY123" s="239"/>
      <c r="AZ123" s="106" t="s">
        <v>1761</v>
      </c>
      <c r="BA123" s="239"/>
    </row>
    <row r="124" spans="1:53" ht="90" x14ac:dyDescent="0.25">
      <c r="A124" s="107"/>
      <c r="B124" s="107"/>
      <c r="C124" s="213"/>
      <c r="D124" s="213"/>
      <c r="E124" s="213"/>
      <c r="F124" s="103"/>
      <c r="G124" s="213"/>
      <c r="H124" s="107"/>
      <c r="I124" s="107"/>
      <c r="J124" s="106"/>
      <c r="K124" s="136"/>
      <c r="L124" s="223"/>
      <c r="M124" s="105"/>
      <c r="N124" s="239"/>
      <c r="O124" s="239"/>
      <c r="P124" s="318"/>
      <c r="Q124" s="239"/>
      <c r="R124" s="239"/>
      <c r="S124" s="239"/>
      <c r="T124" s="239"/>
      <c r="U124" s="239"/>
      <c r="V124" s="239"/>
      <c r="W124" s="239"/>
      <c r="X124" s="239"/>
      <c r="Y124" s="239"/>
      <c r="Z124" s="239"/>
      <c r="AA124" s="239"/>
      <c r="AB124" s="239"/>
      <c r="AC124" s="239"/>
      <c r="AD124" s="239"/>
      <c r="AE124" s="239"/>
      <c r="AF124" s="239"/>
      <c r="AG124" s="398" t="s">
        <v>1764</v>
      </c>
      <c r="AH124" s="330">
        <v>20181301011098</v>
      </c>
      <c r="AI124" s="270" t="s">
        <v>1765</v>
      </c>
      <c r="AJ124" s="270" t="s">
        <v>1684</v>
      </c>
      <c r="AK124" s="270">
        <v>359</v>
      </c>
      <c r="AL124" s="270">
        <v>392.4</v>
      </c>
      <c r="AM124" s="386">
        <v>1</v>
      </c>
      <c r="AN124" s="239"/>
      <c r="AO124" s="239"/>
      <c r="AP124" s="239"/>
      <c r="AQ124" s="239"/>
      <c r="AR124" s="239"/>
      <c r="AS124" s="239"/>
      <c r="AT124" s="239"/>
      <c r="AU124" s="239"/>
      <c r="AV124" s="239"/>
      <c r="AW124" s="239"/>
      <c r="AX124" s="239"/>
      <c r="AY124" s="239"/>
      <c r="AZ124" s="106" t="s">
        <v>1761</v>
      </c>
      <c r="BA124" s="239"/>
    </row>
    <row r="125" spans="1:53" ht="90" x14ac:dyDescent="0.25">
      <c r="A125" s="107"/>
      <c r="B125" s="107"/>
      <c r="C125" s="213"/>
      <c r="D125" s="213"/>
      <c r="E125" s="213"/>
      <c r="F125" s="103"/>
      <c r="G125" s="213"/>
      <c r="H125" s="107"/>
      <c r="I125" s="107"/>
      <c r="J125" s="106"/>
      <c r="K125" s="136"/>
      <c r="L125" s="223"/>
      <c r="M125" s="105"/>
      <c r="N125" s="239"/>
      <c r="O125" s="239"/>
      <c r="P125" s="318"/>
      <c r="Q125" s="239"/>
      <c r="R125" s="239"/>
      <c r="S125" s="239"/>
      <c r="T125" s="239"/>
      <c r="U125" s="239"/>
      <c r="V125" s="239"/>
      <c r="W125" s="239"/>
      <c r="X125" s="239"/>
      <c r="Y125" s="239"/>
      <c r="Z125" s="239"/>
      <c r="AA125" s="239"/>
      <c r="AB125" s="239"/>
      <c r="AC125" s="239"/>
      <c r="AD125" s="239"/>
      <c r="AE125" s="239"/>
      <c r="AF125" s="239"/>
      <c r="AG125" s="398" t="s">
        <v>1766</v>
      </c>
      <c r="AH125" s="330">
        <v>20181301011044</v>
      </c>
      <c r="AI125" s="270" t="s">
        <v>1765</v>
      </c>
      <c r="AJ125" s="270" t="s">
        <v>1684</v>
      </c>
      <c r="AK125" s="270">
        <v>20</v>
      </c>
      <c r="AL125" s="270">
        <v>555.63</v>
      </c>
      <c r="AM125" s="386">
        <v>1</v>
      </c>
      <c r="AN125" s="239"/>
      <c r="AO125" s="239"/>
      <c r="AP125" s="239"/>
      <c r="AQ125" s="239"/>
      <c r="AR125" s="239"/>
      <c r="AS125" s="239"/>
      <c r="AT125" s="239"/>
      <c r="AU125" s="239"/>
      <c r="AV125" s="239"/>
      <c r="AW125" s="239"/>
      <c r="AX125" s="239"/>
      <c r="AY125" s="239"/>
      <c r="AZ125" s="106" t="s">
        <v>1761</v>
      </c>
      <c r="BA125" s="239"/>
    </row>
    <row r="126" spans="1:53" ht="90" x14ac:dyDescent="0.25">
      <c r="A126" s="107"/>
      <c r="B126" s="107"/>
      <c r="C126" s="213"/>
      <c r="D126" s="213"/>
      <c r="E126" s="213"/>
      <c r="F126" s="103"/>
      <c r="G126" s="213"/>
      <c r="H126" s="107"/>
      <c r="I126" s="107"/>
      <c r="J126" s="106"/>
      <c r="K126" s="136"/>
      <c r="L126" s="223"/>
      <c r="M126" s="105"/>
      <c r="N126" s="239"/>
      <c r="O126" s="239"/>
      <c r="P126" s="318"/>
      <c r="Q126" s="239"/>
      <c r="R126" s="239"/>
      <c r="S126" s="239"/>
      <c r="T126" s="239"/>
      <c r="U126" s="239"/>
      <c r="V126" s="239"/>
      <c r="W126" s="239"/>
      <c r="X126" s="239"/>
      <c r="Y126" s="239"/>
      <c r="Z126" s="239"/>
      <c r="AA126" s="239"/>
      <c r="AB126" s="239"/>
      <c r="AC126" s="239"/>
      <c r="AD126" s="239"/>
      <c r="AE126" s="239"/>
      <c r="AF126" s="239"/>
      <c r="AG126" s="398" t="s">
        <v>1767</v>
      </c>
      <c r="AH126" s="330">
        <v>20181301011003</v>
      </c>
      <c r="AI126" s="270" t="s">
        <v>1765</v>
      </c>
      <c r="AJ126" s="270" t="s">
        <v>1684</v>
      </c>
      <c r="AK126" s="270">
        <v>19</v>
      </c>
      <c r="AL126" s="338">
        <f>537652945/1000</f>
        <v>537652.94499999995</v>
      </c>
      <c r="AM126" s="386">
        <v>1</v>
      </c>
      <c r="AN126" s="239"/>
      <c r="AO126" s="239"/>
      <c r="AP126" s="239"/>
      <c r="AQ126" s="239"/>
      <c r="AR126" s="239"/>
      <c r="AS126" s="239"/>
      <c r="AT126" s="239"/>
      <c r="AU126" s="239"/>
      <c r="AV126" s="239"/>
      <c r="AW126" s="239"/>
      <c r="AX126" s="239"/>
      <c r="AY126" s="239"/>
      <c r="AZ126" s="106" t="s">
        <v>1761</v>
      </c>
      <c r="BA126" s="239"/>
    </row>
    <row r="127" spans="1:53" ht="75" x14ac:dyDescent="0.25">
      <c r="A127" s="107"/>
      <c r="B127" s="107"/>
      <c r="C127" s="213"/>
      <c r="D127" s="213"/>
      <c r="E127" s="213"/>
      <c r="F127" s="103"/>
      <c r="G127" s="213"/>
      <c r="H127" s="107"/>
      <c r="I127" s="107"/>
      <c r="J127" s="106"/>
      <c r="K127" s="136"/>
      <c r="L127" s="223"/>
      <c r="M127" s="105"/>
      <c r="N127" s="239"/>
      <c r="O127" s="239"/>
      <c r="P127" s="318"/>
      <c r="Q127" s="239"/>
      <c r="R127" s="239"/>
      <c r="S127" s="239"/>
      <c r="T127" s="239"/>
      <c r="U127" s="239"/>
      <c r="V127" s="239"/>
      <c r="W127" s="271">
        <f>883296651/1000</f>
        <v>883296.65099999995</v>
      </c>
      <c r="X127" s="239"/>
      <c r="Y127" s="239"/>
      <c r="Z127" s="239"/>
      <c r="AA127" s="239"/>
      <c r="AB127" s="239"/>
      <c r="AC127" s="239"/>
      <c r="AD127" s="239"/>
      <c r="AE127" s="271">
        <f>883120009/1000</f>
        <v>883120.00899999996</v>
      </c>
      <c r="AF127" s="239"/>
      <c r="AG127" s="398" t="s">
        <v>1768</v>
      </c>
      <c r="AH127" s="337">
        <v>2018000030163</v>
      </c>
      <c r="AI127" s="270" t="s">
        <v>1769</v>
      </c>
      <c r="AJ127" s="270" t="s">
        <v>1460</v>
      </c>
      <c r="AK127" s="270">
        <v>567</v>
      </c>
      <c r="AL127" s="338">
        <f>1766416660/1000</f>
        <v>1766416.66</v>
      </c>
      <c r="AM127" s="386">
        <v>1</v>
      </c>
      <c r="AN127" s="239"/>
      <c r="AO127" s="239"/>
      <c r="AP127" s="239"/>
      <c r="AQ127" s="239"/>
      <c r="AR127" s="239"/>
      <c r="AS127" s="239"/>
      <c r="AT127" s="239"/>
      <c r="AU127" s="239"/>
      <c r="AV127" s="239"/>
      <c r="AW127" s="239"/>
      <c r="AX127" s="239"/>
      <c r="AY127" s="239"/>
      <c r="AZ127" s="106" t="s">
        <v>1761</v>
      </c>
      <c r="BA127" s="239"/>
    </row>
    <row r="128" spans="1:53" ht="75" x14ac:dyDescent="0.25">
      <c r="A128" s="107"/>
      <c r="B128" s="107"/>
      <c r="C128" s="213"/>
      <c r="D128" s="213"/>
      <c r="E128" s="213"/>
      <c r="F128" s="103"/>
      <c r="G128" s="213"/>
      <c r="H128" s="107"/>
      <c r="I128" s="107"/>
      <c r="J128" s="106"/>
      <c r="K128" s="136"/>
      <c r="L128" s="223"/>
      <c r="M128" s="105"/>
      <c r="N128" s="239"/>
      <c r="O128" s="239"/>
      <c r="P128" s="318"/>
      <c r="Q128" s="239"/>
      <c r="R128" s="239"/>
      <c r="S128" s="239"/>
      <c r="T128" s="239"/>
      <c r="U128" s="239"/>
      <c r="V128" s="239"/>
      <c r="W128" s="239"/>
      <c r="X128" s="239"/>
      <c r="Y128" s="239"/>
      <c r="Z128" s="239"/>
      <c r="AA128" s="239"/>
      <c r="AB128" s="239"/>
      <c r="AC128" s="239"/>
      <c r="AD128" s="239"/>
      <c r="AE128" s="239"/>
      <c r="AF128" s="239"/>
      <c r="AG128" s="398" t="s">
        <v>1770</v>
      </c>
      <c r="AH128" s="270"/>
      <c r="AI128" s="270" t="s">
        <v>1771</v>
      </c>
      <c r="AJ128" s="270" t="s">
        <v>1772</v>
      </c>
      <c r="AK128" s="270">
        <v>3582</v>
      </c>
      <c r="AL128" s="270">
        <v>6215</v>
      </c>
      <c r="AM128" s="386">
        <v>1</v>
      </c>
      <c r="AN128" s="239"/>
      <c r="AO128" s="239"/>
      <c r="AP128" s="239"/>
      <c r="AQ128" s="239"/>
      <c r="AR128" s="239"/>
      <c r="AS128" s="239"/>
      <c r="AT128" s="239"/>
      <c r="AU128" s="239"/>
      <c r="AV128" s="239"/>
      <c r="AW128" s="239"/>
      <c r="AX128" s="239"/>
      <c r="AY128" s="239"/>
      <c r="AZ128" s="106" t="s">
        <v>1761</v>
      </c>
      <c r="BA128" s="239"/>
    </row>
    <row r="129" spans="1:53" ht="60" x14ac:dyDescent="0.25">
      <c r="A129" s="107"/>
      <c r="B129" s="107"/>
      <c r="C129" s="213"/>
      <c r="D129" s="213"/>
      <c r="E129" s="213"/>
      <c r="F129" s="103"/>
      <c r="G129" s="213"/>
      <c r="H129" s="107"/>
      <c r="I129" s="107"/>
      <c r="J129" s="106"/>
      <c r="K129" s="136"/>
      <c r="L129" s="223"/>
      <c r="M129" s="105"/>
      <c r="N129" s="239"/>
      <c r="O129" s="239"/>
      <c r="P129" s="318"/>
      <c r="Q129" s="239"/>
      <c r="R129" s="239"/>
      <c r="S129" s="239"/>
      <c r="T129" s="239"/>
      <c r="U129" s="239"/>
      <c r="V129" s="239"/>
      <c r="W129" s="239"/>
      <c r="X129" s="239"/>
      <c r="Y129" s="239"/>
      <c r="Z129" s="239"/>
      <c r="AA129" s="239"/>
      <c r="AB129" s="239"/>
      <c r="AC129" s="239"/>
      <c r="AD129" s="239"/>
      <c r="AE129" s="239"/>
      <c r="AF129" s="239"/>
      <c r="AG129" s="398" t="s">
        <v>1773</v>
      </c>
      <c r="AH129" s="270"/>
      <c r="AI129" s="270" t="s">
        <v>1774</v>
      </c>
      <c r="AJ129" s="270" t="s">
        <v>1775</v>
      </c>
      <c r="AK129" s="270">
        <v>2518</v>
      </c>
      <c r="AL129" s="270">
        <v>972.45</v>
      </c>
      <c r="AM129" s="386">
        <v>1</v>
      </c>
      <c r="AN129" s="239"/>
      <c r="AO129" s="239"/>
      <c r="AP129" s="239"/>
      <c r="AQ129" s="239"/>
      <c r="AR129" s="239"/>
      <c r="AS129" s="239"/>
      <c r="AT129" s="239"/>
      <c r="AU129" s="239"/>
      <c r="AV129" s="239"/>
      <c r="AW129" s="239"/>
      <c r="AX129" s="239"/>
      <c r="AY129" s="239"/>
      <c r="AZ129" s="106" t="s">
        <v>1761</v>
      </c>
      <c r="BA129" s="239"/>
    </row>
    <row r="130" spans="1:53" ht="60" x14ac:dyDescent="0.25">
      <c r="A130" s="107"/>
      <c r="B130" s="107"/>
      <c r="C130" s="213"/>
      <c r="D130" s="213"/>
      <c r="E130" s="213"/>
      <c r="F130" s="103"/>
      <c r="G130" s="213"/>
      <c r="H130" s="107"/>
      <c r="I130" s="107"/>
      <c r="J130" s="106"/>
      <c r="K130" s="136"/>
      <c r="L130" s="223"/>
      <c r="M130" s="105"/>
      <c r="N130" s="239"/>
      <c r="O130" s="239"/>
      <c r="P130" s="318"/>
      <c r="Q130" s="239"/>
      <c r="R130" s="239"/>
      <c r="S130" s="239"/>
      <c r="T130" s="239"/>
      <c r="U130" s="239"/>
      <c r="V130" s="239"/>
      <c r="W130" s="239"/>
      <c r="X130" s="239"/>
      <c r="Y130" s="239"/>
      <c r="Z130" s="239"/>
      <c r="AA130" s="239"/>
      <c r="AB130" s="239"/>
      <c r="AC130" s="239"/>
      <c r="AD130" s="239"/>
      <c r="AE130" s="239"/>
      <c r="AF130" s="239"/>
      <c r="AG130" s="398" t="s">
        <v>1776</v>
      </c>
      <c r="AH130" s="270"/>
      <c r="AI130" s="270" t="s">
        <v>1777</v>
      </c>
      <c r="AJ130" s="270" t="s">
        <v>1551</v>
      </c>
      <c r="AK130" s="270">
        <v>205</v>
      </c>
      <c r="AL130" s="338">
        <f>1195095019/1000</f>
        <v>1195095.0190000001</v>
      </c>
      <c r="AM130" s="386">
        <v>1</v>
      </c>
      <c r="AN130" s="239"/>
      <c r="AO130" s="239"/>
      <c r="AP130" s="239"/>
      <c r="AQ130" s="239"/>
      <c r="AR130" s="239"/>
      <c r="AS130" s="239"/>
      <c r="AT130" s="239"/>
      <c r="AU130" s="239"/>
      <c r="AV130" s="239"/>
      <c r="AW130" s="239"/>
      <c r="AX130" s="239"/>
      <c r="AY130" s="239"/>
      <c r="AZ130" s="106" t="s">
        <v>1761</v>
      </c>
      <c r="BA130" s="239"/>
    </row>
    <row r="131" spans="1:53" ht="90" x14ac:dyDescent="0.25">
      <c r="A131" s="107"/>
      <c r="B131" s="107"/>
      <c r="C131" s="213"/>
      <c r="D131" s="213"/>
      <c r="E131" s="213"/>
      <c r="F131" s="103"/>
      <c r="G131" s="213"/>
      <c r="H131" s="107"/>
      <c r="I131" s="107"/>
      <c r="J131" s="106"/>
      <c r="K131" s="136"/>
      <c r="L131" s="223"/>
      <c r="M131" s="105"/>
      <c r="N131" s="239"/>
      <c r="O131" s="239"/>
      <c r="P131" s="318"/>
      <c r="Q131" s="239"/>
      <c r="R131" s="239"/>
      <c r="S131" s="239"/>
      <c r="T131" s="239"/>
      <c r="U131" s="239"/>
      <c r="V131" s="239"/>
      <c r="W131" s="271">
        <f>2347097785/1000</f>
        <v>2347097.7850000001</v>
      </c>
      <c r="X131" s="239"/>
      <c r="Y131" s="239"/>
      <c r="Z131" s="239"/>
      <c r="AA131" s="239"/>
      <c r="AB131" s="239"/>
      <c r="AC131" s="239"/>
      <c r="AD131" s="239"/>
      <c r="AE131" s="239"/>
      <c r="AF131" s="239"/>
      <c r="AG131" s="398" t="s">
        <v>1778</v>
      </c>
      <c r="AH131" s="337">
        <v>2018000030157</v>
      </c>
      <c r="AI131" s="270" t="s">
        <v>1777</v>
      </c>
      <c r="AJ131" s="270" t="s">
        <v>1551</v>
      </c>
      <c r="AK131" s="270">
        <v>285</v>
      </c>
      <c r="AL131" s="338">
        <f>2347097785/1000</f>
        <v>2347097.7850000001</v>
      </c>
      <c r="AM131" s="386">
        <v>1</v>
      </c>
      <c r="AN131" s="239"/>
      <c r="AO131" s="239"/>
      <c r="AP131" s="239"/>
      <c r="AQ131" s="239"/>
      <c r="AR131" s="239"/>
      <c r="AS131" s="239"/>
      <c r="AT131" s="239"/>
      <c r="AU131" s="239"/>
      <c r="AV131" s="239"/>
      <c r="AW131" s="239"/>
      <c r="AX131" s="239"/>
      <c r="AY131" s="239"/>
      <c r="AZ131" s="106" t="s">
        <v>1761</v>
      </c>
      <c r="BA131" s="239"/>
    </row>
    <row r="132" spans="1:53" ht="60" x14ac:dyDescent="0.25">
      <c r="A132" s="107"/>
      <c r="B132" s="107"/>
      <c r="C132" s="213"/>
      <c r="D132" s="213"/>
      <c r="E132" s="213"/>
      <c r="F132" s="103"/>
      <c r="G132" s="213"/>
      <c r="H132" s="107"/>
      <c r="I132" s="107"/>
      <c r="J132" s="106"/>
      <c r="K132" s="136"/>
      <c r="L132" s="223"/>
      <c r="M132" s="105"/>
      <c r="N132" s="239"/>
      <c r="O132" s="239"/>
      <c r="P132" s="318"/>
      <c r="Q132" s="239"/>
      <c r="R132" s="239"/>
      <c r="S132" s="239"/>
      <c r="T132" s="239"/>
      <c r="U132" s="239"/>
      <c r="V132" s="239"/>
      <c r="W132" s="239"/>
      <c r="X132" s="239"/>
      <c r="Y132" s="239"/>
      <c r="Z132" s="239"/>
      <c r="AA132" s="239"/>
      <c r="AB132" s="239"/>
      <c r="AC132" s="239"/>
      <c r="AD132" s="239"/>
      <c r="AE132" s="239"/>
      <c r="AF132" s="239"/>
      <c r="AG132" s="398" t="s">
        <v>1779</v>
      </c>
      <c r="AH132" s="270"/>
      <c r="AI132" s="270" t="s">
        <v>1777</v>
      </c>
      <c r="AJ132" s="270" t="s">
        <v>1551</v>
      </c>
      <c r="AK132" s="270">
        <v>439</v>
      </c>
      <c r="AL132" s="270"/>
      <c r="AM132" s="386">
        <v>1</v>
      </c>
      <c r="AN132" s="239"/>
      <c r="AO132" s="239"/>
      <c r="AP132" s="239"/>
      <c r="AQ132" s="239"/>
      <c r="AR132" s="239"/>
      <c r="AS132" s="239"/>
      <c r="AT132" s="239"/>
      <c r="AU132" s="239"/>
      <c r="AV132" s="239"/>
      <c r="AW132" s="239"/>
      <c r="AX132" s="239"/>
      <c r="AY132" s="239"/>
      <c r="AZ132" s="106" t="s">
        <v>1761</v>
      </c>
      <c r="BA132" s="239"/>
    </row>
    <row r="133" spans="1:53" ht="75" x14ac:dyDescent="0.25">
      <c r="A133" s="107"/>
      <c r="B133" s="107"/>
      <c r="C133" s="213"/>
      <c r="D133" s="213"/>
      <c r="E133" s="213"/>
      <c r="F133" s="103"/>
      <c r="G133" s="213"/>
      <c r="H133" s="107"/>
      <c r="I133" s="107"/>
      <c r="J133" s="106"/>
      <c r="K133" s="136"/>
      <c r="L133" s="223"/>
      <c r="M133" s="105"/>
      <c r="N133" s="239"/>
      <c r="O133" s="239"/>
      <c r="P133" s="318"/>
      <c r="Q133" s="271">
        <f>565135866/1000</f>
        <v>565135.86600000004</v>
      </c>
      <c r="R133" s="239"/>
      <c r="S133" s="239"/>
      <c r="T133" s="239"/>
      <c r="U133" s="239"/>
      <c r="V133" s="239"/>
      <c r="W133" s="239"/>
      <c r="X133" s="239"/>
      <c r="Y133" s="239"/>
      <c r="Z133" s="239"/>
      <c r="AA133" s="239"/>
      <c r="AB133" s="239"/>
      <c r="AC133" s="239"/>
      <c r="AD133" s="239"/>
      <c r="AE133" s="239"/>
      <c r="AF133" s="239"/>
      <c r="AG133" s="398" t="s">
        <v>1780</v>
      </c>
      <c r="AH133" s="337">
        <v>2018003190106</v>
      </c>
      <c r="AI133" s="270" t="s">
        <v>1589</v>
      </c>
      <c r="AJ133" s="270" t="s">
        <v>1587</v>
      </c>
      <c r="AK133" s="270">
        <v>279</v>
      </c>
      <c r="AL133" s="338">
        <f>565135866/1000</f>
        <v>565135.86600000004</v>
      </c>
      <c r="AM133" s="386">
        <v>1</v>
      </c>
      <c r="AN133" s="239"/>
      <c r="AO133" s="239"/>
      <c r="AP133" s="239"/>
      <c r="AQ133" s="239"/>
      <c r="AR133" s="239"/>
      <c r="AS133" s="239"/>
      <c r="AT133" s="239"/>
      <c r="AU133" s="239"/>
      <c r="AV133" s="239"/>
      <c r="AW133" s="239"/>
      <c r="AX133" s="239"/>
      <c r="AY133" s="239"/>
      <c r="AZ133" s="106" t="s">
        <v>1761</v>
      </c>
      <c r="BA133" s="239"/>
    </row>
    <row r="134" spans="1:53" ht="45" x14ac:dyDescent="0.25">
      <c r="A134" s="107"/>
      <c r="B134" s="107"/>
      <c r="C134" s="213"/>
      <c r="D134" s="213"/>
      <c r="E134" s="213"/>
      <c r="F134" s="103"/>
      <c r="G134" s="213"/>
      <c r="H134" s="107"/>
      <c r="I134" s="107"/>
      <c r="J134" s="106"/>
      <c r="K134" s="136"/>
      <c r="L134" s="223"/>
      <c r="M134" s="105"/>
      <c r="N134" s="239"/>
      <c r="O134" s="239"/>
      <c r="P134" s="318"/>
      <c r="Q134" s="239"/>
      <c r="R134" s="239"/>
      <c r="S134" s="239"/>
      <c r="T134" s="239"/>
      <c r="U134" s="239"/>
      <c r="V134" s="239"/>
      <c r="W134" s="239"/>
      <c r="X134" s="239"/>
      <c r="Y134" s="239"/>
      <c r="Z134" s="239"/>
      <c r="AA134" s="239"/>
      <c r="AB134" s="239"/>
      <c r="AC134" s="239"/>
      <c r="AD134" s="239"/>
      <c r="AE134" s="239"/>
      <c r="AF134" s="239"/>
      <c r="AG134" s="406" t="s">
        <v>1781</v>
      </c>
      <c r="AH134" s="334"/>
      <c r="AI134" s="358" t="s">
        <v>1782</v>
      </c>
      <c r="AJ134" s="359" t="s">
        <v>874</v>
      </c>
      <c r="AK134" s="371"/>
      <c r="AL134" s="371">
        <f>35689170941/1000</f>
        <v>35689170.941</v>
      </c>
      <c r="AM134" s="387">
        <v>1</v>
      </c>
      <c r="AN134" s="239"/>
      <c r="AO134" s="239"/>
      <c r="AP134" s="239"/>
      <c r="AQ134" s="239"/>
      <c r="AR134" s="239"/>
      <c r="AS134" s="239"/>
      <c r="AT134" s="239"/>
      <c r="AU134" s="239"/>
      <c r="AV134" s="239"/>
      <c r="AW134" s="239"/>
      <c r="AX134" s="239"/>
      <c r="AY134" s="239"/>
      <c r="AZ134" s="106" t="s">
        <v>1636</v>
      </c>
      <c r="BA134" s="239"/>
    </row>
    <row r="135" spans="1:53" ht="60.75" thickBot="1" x14ac:dyDescent="0.3">
      <c r="A135" s="107"/>
      <c r="B135" s="107"/>
      <c r="C135" s="213"/>
      <c r="D135" s="213"/>
      <c r="E135" s="213"/>
      <c r="F135" s="103"/>
      <c r="G135" s="213"/>
      <c r="H135" s="107"/>
      <c r="I135" s="107"/>
      <c r="J135" s="106"/>
      <c r="K135" s="136"/>
      <c r="L135" s="223"/>
      <c r="M135" s="105"/>
      <c r="N135" s="239"/>
      <c r="O135" s="239"/>
      <c r="P135" s="318"/>
      <c r="Q135" s="239"/>
      <c r="R135" s="239"/>
      <c r="S135" s="239"/>
      <c r="T135" s="239"/>
      <c r="U135" s="239"/>
      <c r="V135" s="239"/>
      <c r="W135" s="239"/>
      <c r="X135" s="239"/>
      <c r="Y135" s="239"/>
      <c r="Z135" s="239"/>
      <c r="AA135" s="239"/>
      <c r="AB135" s="239"/>
      <c r="AC135" s="239"/>
      <c r="AD135" s="239"/>
      <c r="AE135" s="239"/>
      <c r="AF135" s="239"/>
      <c r="AG135" s="406" t="s">
        <v>1783</v>
      </c>
      <c r="AH135" s="334"/>
      <c r="AI135" s="358" t="s">
        <v>1782</v>
      </c>
      <c r="AJ135" s="359" t="s">
        <v>874</v>
      </c>
      <c r="AK135" s="371"/>
      <c r="AL135" s="371">
        <f>472231132/1000</f>
        <v>472231.13199999998</v>
      </c>
      <c r="AM135" s="387">
        <v>1</v>
      </c>
      <c r="AN135" s="239"/>
      <c r="AO135" s="239"/>
      <c r="AP135" s="239"/>
      <c r="AQ135" s="239"/>
      <c r="AR135" s="239"/>
      <c r="AS135" s="239"/>
      <c r="AT135" s="239"/>
      <c r="AU135" s="239"/>
      <c r="AV135" s="239"/>
      <c r="AW135" s="239"/>
      <c r="AX135" s="239"/>
      <c r="AY135" s="239"/>
      <c r="AZ135" s="106" t="s">
        <v>1636</v>
      </c>
      <c r="BA135" s="239"/>
    </row>
    <row r="136" spans="1:53" ht="60.75" thickBot="1" x14ac:dyDescent="0.3">
      <c r="A136" s="107"/>
      <c r="B136" s="107"/>
      <c r="C136" s="213"/>
      <c r="D136" s="213"/>
      <c r="E136" s="213"/>
      <c r="F136" s="103"/>
      <c r="G136" s="213"/>
      <c r="H136" s="107"/>
      <c r="I136" s="107"/>
      <c r="J136" s="106"/>
      <c r="K136" s="136"/>
      <c r="L136" s="223"/>
      <c r="M136" s="105"/>
      <c r="N136" s="239"/>
      <c r="O136" s="239"/>
      <c r="P136" s="318"/>
      <c r="Q136" s="239"/>
      <c r="R136" s="239"/>
      <c r="S136" s="239"/>
      <c r="T136" s="239"/>
      <c r="U136" s="239"/>
      <c r="V136" s="239"/>
      <c r="W136" s="239"/>
      <c r="X136" s="239"/>
      <c r="Y136" s="271">
        <f>672449167/1000</f>
        <v>672449.16700000002</v>
      </c>
      <c r="Z136" s="239"/>
      <c r="AA136" s="239"/>
      <c r="AB136" s="239"/>
      <c r="AC136" s="239"/>
      <c r="AD136" s="239"/>
      <c r="AE136" s="239"/>
      <c r="AF136" s="239"/>
      <c r="AG136" s="375" t="s">
        <v>1784</v>
      </c>
      <c r="AH136" s="347">
        <v>2018003190111</v>
      </c>
      <c r="AI136" s="270" t="s">
        <v>1785</v>
      </c>
      <c r="AJ136" s="342" t="s">
        <v>874</v>
      </c>
      <c r="AK136" s="348"/>
      <c r="AL136" s="348">
        <f>672449167/1000</f>
        <v>672449.16700000002</v>
      </c>
      <c r="AM136" s="385">
        <v>1</v>
      </c>
      <c r="AN136" s="239"/>
      <c r="AO136" s="239"/>
      <c r="AP136" s="239"/>
      <c r="AQ136" s="239"/>
      <c r="AR136" s="239"/>
      <c r="AS136" s="239"/>
      <c r="AT136" s="239"/>
      <c r="AU136" s="239"/>
      <c r="AV136" s="239"/>
      <c r="AW136" s="239"/>
      <c r="AX136" s="239"/>
      <c r="AY136" s="239"/>
      <c r="AZ136" s="106"/>
      <c r="BA136" s="239"/>
    </row>
    <row r="137" spans="1:53" ht="60" x14ac:dyDescent="0.25">
      <c r="A137" s="107"/>
      <c r="B137" s="107"/>
      <c r="C137" s="213"/>
      <c r="D137" s="213"/>
      <c r="E137" s="213"/>
      <c r="F137" s="103"/>
      <c r="G137" s="213"/>
      <c r="H137" s="107"/>
      <c r="I137" s="107"/>
      <c r="J137" s="106"/>
      <c r="K137" s="136"/>
      <c r="L137" s="223"/>
      <c r="M137" s="105"/>
      <c r="N137" s="239"/>
      <c r="O137" s="239"/>
      <c r="P137" s="318"/>
      <c r="Q137" s="239"/>
      <c r="R137" s="239"/>
      <c r="S137" s="239"/>
      <c r="T137" s="239"/>
      <c r="U137" s="239"/>
      <c r="V137" s="239"/>
      <c r="W137" s="239"/>
      <c r="X137" s="239"/>
      <c r="Y137" s="271"/>
      <c r="Z137" s="239"/>
      <c r="AA137" s="239"/>
      <c r="AB137" s="239"/>
      <c r="AC137" s="239"/>
      <c r="AD137" s="239"/>
      <c r="AE137" s="239"/>
      <c r="AF137" s="239"/>
      <c r="AG137" s="398" t="s">
        <v>1786</v>
      </c>
      <c r="AH137" s="330"/>
      <c r="AI137" s="270" t="s">
        <v>1436</v>
      </c>
      <c r="AJ137" s="342" t="s">
        <v>1434</v>
      </c>
      <c r="AK137" s="348">
        <v>1355000</v>
      </c>
      <c r="AL137" s="348">
        <v>1496835.7249999999</v>
      </c>
      <c r="AM137" s="388">
        <v>1</v>
      </c>
      <c r="AN137" s="239"/>
      <c r="AO137" s="239"/>
      <c r="AP137" s="239"/>
      <c r="AQ137" s="239"/>
      <c r="AR137" s="239"/>
      <c r="AS137" s="239"/>
      <c r="AT137" s="239"/>
      <c r="AU137" s="239"/>
      <c r="AV137" s="239"/>
      <c r="AW137" s="239"/>
      <c r="AX137" s="239"/>
      <c r="AY137" s="239"/>
      <c r="AZ137" s="106" t="s">
        <v>1787</v>
      </c>
      <c r="BA137" s="239"/>
    </row>
    <row r="138" spans="1:53" ht="168" x14ac:dyDescent="0.25">
      <c r="A138" s="197" t="s">
        <v>1245</v>
      </c>
      <c r="B138" s="197" t="s">
        <v>1449</v>
      </c>
      <c r="C138" s="210" t="s">
        <v>1745</v>
      </c>
      <c r="D138" s="210" t="s">
        <v>1746</v>
      </c>
      <c r="E138" s="210" t="s">
        <v>1747</v>
      </c>
      <c r="F138" s="195" t="s">
        <v>2049</v>
      </c>
      <c r="G138" s="210" t="s">
        <v>2050</v>
      </c>
      <c r="H138" s="197" t="s">
        <v>1788</v>
      </c>
      <c r="I138" s="197" t="s">
        <v>1789</v>
      </c>
      <c r="J138" s="196">
        <v>0</v>
      </c>
      <c r="K138" s="196" t="s">
        <v>1441</v>
      </c>
      <c r="L138" s="215">
        <v>20</v>
      </c>
      <c r="M138" s="216">
        <v>0</v>
      </c>
      <c r="N138" s="222"/>
      <c r="O138" s="222"/>
      <c r="P138" s="326">
        <v>0</v>
      </c>
      <c r="Q138" s="220">
        <v>210169</v>
      </c>
      <c r="R138" s="222"/>
      <c r="S138" s="222"/>
      <c r="T138" s="222"/>
      <c r="U138" s="222"/>
      <c r="V138" s="222"/>
      <c r="W138" s="222"/>
      <c r="X138" s="222"/>
      <c r="Y138" s="222"/>
      <c r="Z138" s="222"/>
      <c r="AA138" s="222"/>
      <c r="AB138" s="222"/>
      <c r="AC138" s="222"/>
      <c r="AD138" s="222"/>
      <c r="AE138" s="222"/>
      <c r="AF138" s="222"/>
      <c r="AG138" s="411" t="s">
        <v>1790</v>
      </c>
      <c r="AH138" s="221" t="s">
        <v>1791</v>
      </c>
      <c r="AI138" s="241" t="s">
        <v>1792</v>
      </c>
      <c r="AJ138" s="196" t="s">
        <v>1793</v>
      </c>
      <c r="AK138" s="281">
        <v>370994</v>
      </c>
      <c r="AL138" s="282">
        <v>210170</v>
      </c>
      <c r="AM138" s="241">
        <v>3</v>
      </c>
      <c r="AN138" s="222"/>
      <c r="AO138" s="222"/>
      <c r="AP138" s="222"/>
      <c r="AQ138" s="222"/>
      <c r="AR138" s="222"/>
      <c r="AS138" s="222"/>
      <c r="AT138" s="222"/>
      <c r="AU138" s="222"/>
      <c r="AV138" s="222"/>
      <c r="AW138" s="222"/>
      <c r="AX138" s="222"/>
      <c r="AY138" s="222"/>
      <c r="AZ138" s="222"/>
      <c r="BA138" s="222"/>
    </row>
    <row r="139" spans="1:53" ht="120" x14ac:dyDescent="0.25">
      <c r="A139" s="178"/>
      <c r="B139" s="178"/>
      <c r="C139" s="214"/>
      <c r="D139" s="214"/>
      <c r="E139" s="214"/>
      <c r="F139" s="108"/>
      <c r="G139" s="214"/>
      <c r="H139" s="178"/>
      <c r="I139" s="178"/>
      <c r="J139" s="136"/>
      <c r="K139" s="136"/>
      <c r="L139" s="389"/>
      <c r="M139" s="390"/>
      <c r="N139" s="274"/>
      <c r="O139" s="274"/>
      <c r="P139" s="318"/>
      <c r="Q139" s="283">
        <f>99507684/1000</f>
        <v>99507.683999999994</v>
      </c>
      <c r="R139" s="274"/>
      <c r="S139" s="274"/>
      <c r="T139" s="274"/>
      <c r="U139" s="274"/>
      <c r="V139" s="274"/>
      <c r="W139" s="274"/>
      <c r="X139" s="274"/>
      <c r="Y139" s="274"/>
      <c r="Z139" s="274"/>
      <c r="AA139" s="274"/>
      <c r="AB139" s="274"/>
      <c r="AC139" s="274"/>
      <c r="AD139" s="274"/>
      <c r="AE139" s="274"/>
      <c r="AF139" s="274"/>
      <c r="AG139" s="398" t="s">
        <v>1794</v>
      </c>
      <c r="AH139" s="330">
        <v>2018003190074</v>
      </c>
      <c r="AI139" s="270" t="s">
        <v>1694</v>
      </c>
      <c r="AJ139" s="270" t="s">
        <v>1471</v>
      </c>
      <c r="AK139" s="270">
        <v>370445</v>
      </c>
      <c r="AL139" s="338">
        <f>99507684/1000</f>
        <v>99507.683999999994</v>
      </c>
      <c r="AM139" s="270">
        <v>1</v>
      </c>
      <c r="AN139" s="274"/>
      <c r="AO139" s="274"/>
      <c r="AP139" s="274"/>
      <c r="AQ139" s="274"/>
      <c r="AR139" s="274"/>
      <c r="AS139" s="274"/>
      <c r="AT139" s="274"/>
      <c r="AU139" s="274"/>
      <c r="AV139" s="274"/>
      <c r="AW139" s="274"/>
      <c r="AX139" s="274"/>
      <c r="AY139" s="274"/>
      <c r="AZ139" s="136" t="s">
        <v>1795</v>
      </c>
      <c r="BA139" s="274"/>
    </row>
    <row r="140" spans="1:53" ht="75" x14ac:dyDescent="0.25">
      <c r="A140" s="178"/>
      <c r="B140" s="178"/>
      <c r="C140" s="214"/>
      <c r="D140" s="214"/>
      <c r="E140" s="214"/>
      <c r="F140" s="108"/>
      <c r="G140" s="214"/>
      <c r="H140" s="178"/>
      <c r="I140" s="178"/>
      <c r="J140" s="136"/>
      <c r="K140" s="136"/>
      <c r="L140" s="389"/>
      <c r="M140" s="390"/>
      <c r="N140" s="274"/>
      <c r="O140" s="274"/>
      <c r="P140" s="318"/>
      <c r="Q140" s="283">
        <f>55330977/1000</f>
        <v>55330.976999999999</v>
      </c>
      <c r="R140" s="274"/>
      <c r="S140" s="274"/>
      <c r="T140" s="274"/>
      <c r="U140" s="274"/>
      <c r="V140" s="274"/>
      <c r="W140" s="274"/>
      <c r="X140" s="274"/>
      <c r="Y140" s="274"/>
      <c r="Z140" s="274"/>
      <c r="AA140" s="274"/>
      <c r="AB140" s="274"/>
      <c r="AC140" s="274"/>
      <c r="AD140" s="274"/>
      <c r="AE140" s="274"/>
      <c r="AF140" s="274"/>
      <c r="AG140" s="398" t="s">
        <v>1796</v>
      </c>
      <c r="AH140" s="330">
        <v>20180003190079</v>
      </c>
      <c r="AI140" s="270" t="s">
        <v>1556</v>
      </c>
      <c r="AJ140" s="270" t="s">
        <v>1551</v>
      </c>
      <c r="AK140" s="270">
        <v>499</v>
      </c>
      <c r="AL140" s="338">
        <f>55330977/1000</f>
        <v>55330.976999999999</v>
      </c>
      <c r="AM140" s="270">
        <v>1</v>
      </c>
      <c r="AN140" s="274"/>
      <c r="AO140" s="274"/>
      <c r="AP140" s="274"/>
      <c r="AQ140" s="274"/>
      <c r="AR140" s="274"/>
      <c r="AS140" s="274"/>
      <c r="AT140" s="274"/>
      <c r="AU140" s="274"/>
      <c r="AV140" s="274"/>
      <c r="AW140" s="274"/>
      <c r="AX140" s="274"/>
      <c r="AY140" s="274"/>
      <c r="AZ140" s="136" t="s">
        <v>1797</v>
      </c>
      <c r="BA140" s="274"/>
    </row>
    <row r="141" spans="1:53" ht="75" x14ac:dyDescent="0.25">
      <c r="A141" s="178"/>
      <c r="B141" s="178"/>
      <c r="C141" s="214"/>
      <c r="D141" s="214"/>
      <c r="E141" s="214"/>
      <c r="F141" s="108"/>
      <c r="G141" s="214"/>
      <c r="H141" s="178"/>
      <c r="I141" s="178"/>
      <c r="J141" s="136"/>
      <c r="K141" s="136"/>
      <c r="L141" s="389"/>
      <c r="M141" s="390"/>
      <c r="N141" s="274"/>
      <c r="O141" s="274"/>
      <c r="P141" s="318"/>
      <c r="Q141" s="283">
        <f>55330977/1000</f>
        <v>55330.976999999999</v>
      </c>
      <c r="R141" s="274"/>
      <c r="S141" s="274"/>
      <c r="T141" s="274"/>
      <c r="U141" s="274"/>
      <c r="V141" s="274"/>
      <c r="W141" s="274"/>
      <c r="X141" s="274"/>
      <c r="Y141" s="274"/>
      <c r="Z141" s="274"/>
      <c r="AA141" s="274"/>
      <c r="AB141" s="274"/>
      <c r="AC141" s="274"/>
      <c r="AD141" s="274"/>
      <c r="AE141" s="274"/>
      <c r="AF141" s="274"/>
      <c r="AG141" s="398" t="s">
        <v>1798</v>
      </c>
      <c r="AH141" s="330"/>
      <c r="AI141" s="270" t="s">
        <v>1799</v>
      </c>
      <c r="AJ141" s="270" t="s">
        <v>1539</v>
      </c>
      <c r="AK141" s="270">
        <v>50</v>
      </c>
      <c r="AL141" s="338">
        <f>55330977/1000</f>
        <v>55330.976999999999</v>
      </c>
      <c r="AM141" s="270">
        <v>1</v>
      </c>
      <c r="AN141" s="274"/>
      <c r="AO141" s="274"/>
      <c r="AP141" s="274"/>
      <c r="AQ141" s="274"/>
      <c r="AR141" s="274"/>
      <c r="AS141" s="274"/>
      <c r="AT141" s="274"/>
      <c r="AU141" s="274"/>
      <c r="AV141" s="274"/>
      <c r="AW141" s="274"/>
      <c r="AX141" s="274"/>
      <c r="AY141" s="274"/>
      <c r="AZ141" s="108" t="s">
        <v>1797</v>
      </c>
      <c r="BA141" s="274"/>
    </row>
    <row r="142" spans="1:53" ht="180" x14ac:dyDescent="0.25">
      <c r="A142" s="197" t="s">
        <v>1245</v>
      </c>
      <c r="B142" s="197" t="s">
        <v>1449</v>
      </c>
      <c r="C142" s="210" t="s">
        <v>1745</v>
      </c>
      <c r="D142" s="210" t="s">
        <v>1746</v>
      </c>
      <c r="E142" s="210" t="s">
        <v>1747</v>
      </c>
      <c r="F142" s="195" t="s">
        <v>2049</v>
      </c>
      <c r="G142" s="210" t="s">
        <v>2050</v>
      </c>
      <c r="H142" s="197" t="s">
        <v>1800</v>
      </c>
      <c r="I142" s="197" t="s">
        <v>1801</v>
      </c>
      <c r="J142" s="196">
        <v>0</v>
      </c>
      <c r="K142" s="196" t="s">
        <v>1441</v>
      </c>
      <c r="L142" s="215">
        <v>120000</v>
      </c>
      <c r="M142" s="216">
        <v>10000</v>
      </c>
      <c r="N142" s="222"/>
      <c r="O142" s="222"/>
      <c r="P142" s="326">
        <v>3690703</v>
      </c>
      <c r="Q142" s="281">
        <v>2252044</v>
      </c>
      <c r="R142" s="281"/>
      <c r="S142" s="281"/>
      <c r="T142" s="281"/>
      <c r="U142" s="281"/>
      <c r="V142" s="281"/>
      <c r="W142" s="281">
        <v>1325362</v>
      </c>
      <c r="X142" s="281"/>
      <c r="Y142" s="281"/>
      <c r="Z142" s="281"/>
      <c r="AA142" s="281"/>
      <c r="AB142" s="281"/>
      <c r="AC142" s="281"/>
      <c r="AD142" s="281"/>
      <c r="AE142" s="281">
        <v>1325297</v>
      </c>
      <c r="AF142" s="281"/>
      <c r="AG142" s="198" t="s">
        <v>1802</v>
      </c>
      <c r="AH142" s="284">
        <v>2018000030027</v>
      </c>
      <c r="AI142" s="196" t="s">
        <v>1803</v>
      </c>
      <c r="AJ142" s="241" t="s">
        <v>1698</v>
      </c>
      <c r="AK142" s="216">
        <v>67008</v>
      </c>
      <c r="AL142" s="216">
        <v>6868273</v>
      </c>
      <c r="AM142" s="216">
        <v>1408</v>
      </c>
      <c r="AN142" s="222"/>
      <c r="AO142" s="222"/>
      <c r="AP142" s="222"/>
      <c r="AQ142" s="222"/>
      <c r="AR142" s="222"/>
      <c r="AS142" s="222"/>
      <c r="AT142" s="222"/>
      <c r="AU142" s="222"/>
      <c r="AV142" s="222"/>
      <c r="AW142" s="222"/>
      <c r="AX142" s="222"/>
      <c r="AY142" s="222"/>
      <c r="AZ142" s="222"/>
      <c r="BA142" s="222"/>
    </row>
    <row r="143" spans="1:53" ht="60" x14ac:dyDescent="0.25">
      <c r="A143" s="107"/>
      <c r="B143" s="107"/>
      <c r="C143" s="201"/>
      <c r="D143" s="201"/>
      <c r="E143" s="201"/>
      <c r="F143" s="103"/>
      <c r="G143" s="201"/>
      <c r="H143" s="107"/>
      <c r="I143" s="107"/>
      <c r="J143" s="106"/>
      <c r="K143" s="136"/>
      <c r="L143" s="223"/>
      <c r="M143" s="224"/>
      <c r="N143" s="239"/>
      <c r="O143" s="239"/>
      <c r="P143" s="318"/>
      <c r="Q143" s="239"/>
      <c r="R143" s="239"/>
      <c r="S143" s="239"/>
      <c r="T143" s="239"/>
      <c r="U143" s="239"/>
      <c r="V143" s="239"/>
      <c r="W143" s="239"/>
      <c r="X143" s="239"/>
      <c r="Y143" s="239"/>
      <c r="Z143" s="239"/>
      <c r="AA143" s="239"/>
      <c r="AB143" s="239"/>
      <c r="AC143" s="239"/>
      <c r="AD143" s="239"/>
      <c r="AE143" s="239"/>
      <c r="AF143" s="239"/>
      <c r="AG143" s="398" t="s">
        <v>1804</v>
      </c>
      <c r="AH143" s="330"/>
      <c r="AI143" s="342" t="s">
        <v>1805</v>
      </c>
      <c r="AJ143" s="342" t="s">
        <v>1587</v>
      </c>
      <c r="AK143" s="348">
        <v>17670</v>
      </c>
      <c r="AL143" s="348">
        <v>1548270.666</v>
      </c>
      <c r="AM143" s="348">
        <v>1400</v>
      </c>
      <c r="AN143" s="239"/>
      <c r="AO143" s="239"/>
      <c r="AP143" s="239"/>
      <c r="AQ143" s="239"/>
      <c r="AR143" s="239"/>
      <c r="AS143" s="239"/>
      <c r="AT143" s="239"/>
      <c r="AU143" s="239"/>
      <c r="AV143" s="239"/>
      <c r="AW143" s="239"/>
      <c r="AX143" s="239"/>
      <c r="AY143" s="239"/>
      <c r="AZ143" s="106" t="s">
        <v>1499</v>
      </c>
      <c r="BA143" s="239"/>
    </row>
    <row r="144" spans="1:53" ht="75" x14ac:dyDescent="0.25">
      <c r="A144" s="107"/>
      <c r="B144" s="107"/>
      <c r="C144" s="201"/>
      <c r="D144" s="201"/>
      <c r="E144" s="201"/>
      <c r="F144" s="103"/>
      <c r="G144" s="201"/>
      <c r="H144" s="107"/>
      <c r="I144" s="107"/>
      <c r="J144" s="106"/>
      <c r="K144" s="106"/>
      <c r="L144" s="223"/>
      <c r="M144" s="224"/>
      <c r="N144" s="239"/>
      <c r="O144" s="239"/>
      <c r="P144" s="316"/>
      <c r="Q144" s="271">
        <f>1338364315/1000</f>
        <v>1338364.3149999999</v>
      </c>
      <c r="R144" s="239"/>
      <c r="S144" s="239"/>
      <c r="T144" s="239"/>
      <c r="U144" s="239"/>
      <c r="V144" s="239"/>
      <c r="W144" s="239"/>
      <c r="X144" s="239"/>
      <c r="Y144" s="239"/>
      <c r="Z144" s="239"/>
      <c r="AA144" s="239"/>
      <c r="AB144" s="239"/>
      <c r="AC144" s="239"/>
      <c r="AD144" s="239"/>
      <c r="AE144" s="239"/>
      <c r="AF144" s="239"/>
      <c r="AG144" s="398" t="s">
        <v>1806</v>
      </c>
      <c r="AH144" s="330"/>
      <c r="AI144" s="342" t="s">
        <v>1589</v>
      </c>
      <c r="AJ144" s="342" t="s">
        <v>1587</v>
      </c>
      <c r="AK144" s="348">
        <v>39504</v>
      </c>
      <c r="AL144" s="348">
        <f>1338364315/1000</f>
        <v>1338364.3149999999</v>
      </c>
      <c r="AM144" s="348">
        <v>3</v>
      </c>
      <c r="AN144" s="239"/>
      <c r="AO144" s="239"/>
      <c r="AP144" s="239"/>
      <c r="AQ144" s="239"/>
      <c r="AR144" s="239"/>
      <c r="AS144" s="239"/>
      <c r="AT144" s="239"/>
      <c r="AU144" s="239"/>
      <c r="AV144" s="239"/>
      <c r="AW144" s="239"/>
      <c r="AX144" s="239"/>
      <c r="AY144" s="239"/>
      <c r="AZ144" s="106" t="s">
        <v>1499</v>
      </c>
      <c r="BA144" s="239"/>
    </row>
    <row r="145" spans="1:53" ht="75" x14ac:dyDescent="0.25">
      <c r="A145" s="107"/>
      <c r="B145" s="107"/>
      <c r="C145" s="201"/>
      <c r="D145" s="201"/>
      <c r="E145" s="201"/>
      <c r="F145" s="103"/>
      <c r="G145" s="201"/>
      <c r="H145" s="107"/>
      <c r="I145" s="107"/>
      <c r="J145" s="106"/>
      <c r="K145" s="106"/>
      <c r="L145" s="223"/>
      <c r="M145" s="224"/>
      <c r="N145" s="239"/>
      <c r="O145" s="239"/>
      <c r="P145" s="316"/>
      <c r="Q145" s="271"/>
      <c r="R145" s="239"/>
      <c r="S145" s="239"/>
      <c r="T145" s="239"/>
      <c r="U145" s="239"/>
      <c r="V145" s="239"/>
      <c r="W145" s="239"/>
      <c r="X145" s="239"/>
      <c r="Y145" s="239"/>
      <c r="Z145" s="239"/>
      <c r="AA145" s="239"/>
      <c r="AB145" s="239"/>
      <c r="AC145" s="239"/>
      <c r="AD145" s="239"/>
      <c r="AE145" s="239"/>
      <c r="AF145" s="239"/>
      <c r="AG145" s="412" t="s">
        <v>1807</v>
      </c>
      <c r="AH145" s="321"/>
      <c r="AI145" s="391" t="s">
        <v>1808</v>
      </c>
      <c r="AJ145" s="391" t="s">
        <v>1434</v>
      </c>
      <c r="AK145" s="392">
        <v>800</v>
      </c>
      <c r="AL145" s="392">
        <f>417300000/1000</f>
        <v>417300</v>
      </c>
      <c r="AM145" s="393"/>
      <c r="AN145" s="239"/>
      <c r="AO145" s="239"/>
      <c r="AP145" s="239"/>
      <c r="AQ145" s="239"/>
      <c r="AR145" s="239"/>
      <c r="AS145" s="239"/>
      <c r="AT145" s="239"/>
      <c r="AU145" s="239"/>
      <c r="AV145" s="239"/>
      <c r="AW145" s="239"/>
      <c r="AX145" s="239"/>
      <c r="AY145" s="239"/>
      <c r="AZ145" s="106" t="s">
        <v>1809</v>
      </c>
      <c r="BA145" s="239"/>
    </row>
    <row r="146" spans="1:53" ht="90" x14ac:dyDescent="0.25">
      <c r="A146" s="107"/>
      <c r="B146" s="107"/>
      <c r="C146" s="201"/>
      <c r="D146" s="201"/>
      <c r="E146" s="201"/>
      <c r="F146" s="103"/>
      <c r="G146" s="201"/>
      <c r="H146" s="107"/>
      <c r="I146" s="107"/>
      <c r="J146" s="106"/>
      <c r="K146" s="106"/>
      <c r="L146" s="223"/>
      <c r="M146" s="224"/>
      <c r="N146" s="239"/>
      <c r="O146" s="239"/>
      <c r="P146" s="316"/>
      <c r="Q146" s="271">
        <f>467787730/1000</f>
        <v>467787.73</v>
      </c>
      <c r="R146" s="239"/>
      <c r="S146" s="239"/>
      <c r="T146" s="239"/>
      <c r="U146" s="239"/>
      <c r="V146" s="239"/>
      <c r="W146" s="239"/>
      <c r="X146" s="239"/>
      <c r="Y146" s="239"/>
      <c r="Z146" s="239"/>
      <c r="AA146" s="239"/>
      <c r="AB146" s="239"/>
      <c r="AC146" s="239"/>
      <c r="AD146" s="239"/>
      <c r="AE146" s="239"/>
      <c r="AF146" s="239"/>
      <c r="AG146" s="398" t="s">
        <v>1810</v>
      </c>
      <c r="AH146" s="330"/>
      <c r="AI146" s="270" t="s">
        <v>1602</v>
      </c>
      <c r="AJ146" s="342" t="s">
        <v>1587</v>
      </c>
      <c r="AK146" s="240">
        <v>950</v>
      </c>
      <c r="AL146" s="240">
        <f>467787730/1000</f>
        <v>467787.73</v>
      </c>
      <c r="AM146" s="385"/>
      <c r="AN146" s="239"/>
      <c r="AO146" s="239"/>
      <c r="AP146" s="239"/>
      <c r="AQ146" s="239"/>
      <c r="AR146" s="239"/>
      <c r="AS146" s="239"/>
      <c r="AT146" s="239"/>
      <c r="AU146" s="239"/>
      <c r="AV146" s="239"/>
      <c r="AW146" s="239"/>
      <c r="AX146" s="239"/>
      <c r="AY146" s="239"/>
      <c r="AZ146" s="285" t="s">
        <v>1811</v>
      </c>
      <c r="BA146" s="239"/>
    </row>
    <row r="147" spans="1:53" ht="90" x14ac:dyDescent="0.25">
      <c r="A147" s="107"/>
      <c r="B147" s="107"/>
      <c r="C147" s="201"/>
      <c r="D147" s="201"/>
      <c r="E147" s="201"/>
      <c r="F147" s="103"/>
      <c r="G147" s="201"/>
      <c r="H147" s="107"/>
      <c r="I147" s="107"/>
      <c r="J147" s="106"/>
      <c r="K147" s="106"/>
      <c r="L147" s="223"/>
      <c r="M147" s="224"/>
      <c r="N147" s="239"/>
      <c r="O147" s="239"/>
      <c r="P147" s="316"/>
      <c r="Q147" s="271">
        <f>445891647/1000</f>
        <v>445891.647</v>
      </c>
      <c r="R147" s="239"/>
      <c r="S147" s="239"/>
      <c r="T147" s="239"/>
      <c r="U147" s="239"/>
      <c r="V147" s="239"/>
      <c r="W147" s="239"/>
      <c r="X147" s="239"/>
      <c r="Y147" s="239"/>
      <c r="Z147" s="239"/>
      <c r="AA147" s="239"/>
      <c r="AB147" s="239"/>
      <c r="AC147" s="239"/>
      <c r="AD147" s="239"/>
      <c r="AE147" s="239"/>
      <c r="AF147" s="239"/>
      <c r="AG147" s="398" t="s">
        <v>1812</v>
      </c>
      <c r="AH147" s="330"/>
      <c r="AI147" s="270" t="s">
        <v>1436</v>
      </c>
      <c r="AJ147" s="270" t="s">
        <v>1434</v>
      </c>
      <c r="AK147" s="348">
        <v>724</v>
      </c>
      <c r="AL147" s="348">
        <f>445891647/1000</f>
        <v>445891.647</v>
      </c>
      <c r="AM147" s="255">
        <v>1</v>
      </c>
      <c r="AN147" s="239"/>
      <c r="AO147" s="239"/>
      <c r="AP147" s="239"/>
      <c r="AQ147" s="239"/>
      <c r="AR147" s="239"/>
      <c r="AS147" s="239"/>
      <c r="AT147" s="239"/>
      <c r="AU147" s="239"/>
      <c r="AV147" s="239"/>
      <c r="AW147" s="239"/>
      <c r="AX147" s="239"/>
      <c r="AY147" s="239"/>
      <c r="AZ147" s="106" t="s">
        <v>1813</v>
      </c>
      <c r="BA147" s="239"/>
    </row>
    <row r="148" spans="1:53" ht="90" x14ac:dyDescent="0.25">
      <c r="A148" s="107"/>
      <c r="B148" s="107"/>
      <c r="C148" s="201"/>
      <c r="D148" s="201"/>
      <c r="E148" s="201"/>
      <c r="F148" s="103"/>
      <c r="G148" s="201"/>
      <c r="H148" s="107"/>
      <c r="I148" s="107"/>
      <c r="J148" s="106"/>
      <c r="K148" s="106"/>
      <c r="L148" s="223"/>
      <c r="M148" s="224"/>
      <c r="N148" s="239"/>
      <c r="O148" s="239"/>
      <c r="P148" s="316"/>
      <c r="Q148" s="239"/>
      <c r="R148" s="239"/>
      <c r="S148" s="239"/>
      <c r="T148" s="239"/>
      <c r="U148" s="239"/>
      <c r="V148" s="239"/>
      <c r="W148" s="286">
        <f>1325361640/1000</f>
        <v>1325361.6399999999</v>
      </c>
      <c r="X148" s="105"/>
      <c r="Y148" s="105"/>
      <c r="Z148" s="105"/>
      <c r="AA148" s="105"/>
      <c r="AB148" s="105"/>
      <c r="AC148" s="105"/>
      <c r="AD148" s="105"/>
      <c r="AE148" s="286">
        <f>1325297412/1000</f>
        <v>1325297.412</v>
      </c>
      <c r="AF148" s="239"/>
      <c r="AG148" s="398" t="s">
        <v>1814</v>
      </c>
      <c r="AH148" s="330">
        <v>2018000030027</v>
      </c>
      <c r="AI148" s="270" t="s">
        <v>1815</v>
      </c>
      <c r="AJ148" s="270"/>
      <c r="AK148" s="348">
        <v>7360</v>
      </c>
      <c r="AL148" s="348">
        <v>2650659</v>
      </c>
      <c r="AM148" s="255">
        <v>4</v>
      </c>
      <c r="AN148" s="239"/>
      <c r="AO148" s="239"/>
      <c r="AP148" s="239"/>
      <c r="AQ148" s="239"/>
      <c r="AR148" s="239"/>
      <c r="AS148" s="239"/>
      <c r="AT148" s="239"/>
      <c r="AU148" s="239"/>
      <c r="AV148" s="239"/>
      <c r="AW148" s="239"/>
      <c r="AX148" s="239"/>
      <c r="AY148" s="239"/>
      <c r="AZ148" s="106" t="s">
        <v>1816</v>
      </c>
      <c r="BA148" s="103"/>
    </row>
    <row r="149" spans="1:53" ht="150" x14ac:dyDescent="0.25">
      <c r="A149" s="197" t="s">
        <v>1245</v>
      </c>
      <c r="B149" s="197" t="s">
        <v>1449</v>
      </c>
      <c r="C149" s="210" t="s">
        <v>1745</v>
      </c>
      <c r="D149" s="210" t="s">
        <v>1746</v>
      </c>
      <c r="E149" s="210" t="s">
        <v>1747</v>
      </c>
      <c r="F149" s="195" t="s">
        <v>2049</v>
      </c>
      <c r="G149" s="210" t="s">
        <v>2050</v>
      </c>
      <c r="H149" s="197" t="s">
        <v>1817</v>
      </c>
      <c r="I149" s="197" t="s">
        <v>1818</v>
      </c>
      <c r="J149" s="196">
        <v>0</v>
      </c>
      <c r="K149" s="196" t="s">
        <v>1441</v>
      </c>
      <c r="L149" s="215">
        <v>5000</v>
      </c>
      <c r="M149" s="216">
        <v>1250</v>
      </c>
      <c r="N149" s="222"/>
      <c r="O149" s="222"/>
      <c r="P149" s="320">
        <v>8850000</v>
      </c>
      <c r="Q149" s="281">
        <v>6300000</v>
      </c>
      <c r="R149" s="222"/>
      <c r="S149" s="222"/>
      <c r="T149" s="222"/>
      <c r="U149" s="222"/>
      <c r="V149" s="222"/>
      <c r="W149" s="222"/>
      <c r="X149" s="222"/>
      <c r="Y149" s="222"/>
      <c r="Z149" s="222"/>
      <c r="AA149" s="222"/>
      <c r="AB149" s="222"/>
      <c r="AC149" s="222"/>
      <c r="AD149" s="222"/>
      <c r="AE149" s="222"/>
      <c r="AF149" s="222"/>
      <c r="AG149" s="198" t="s">
        <v>1819</v>
      </c>
      <c r="AH149" s="222"/>
      <c r="AI149" s="241" t="s">
        <v>1610</v>
      </c>
      <c r="AJ149" s="241" t="s">
        <v>1475</v>
      </c>
      <c r="AK149" s="222"/>
      <c r="AL149" s="220">
        <v>6300000</v>
      </c>
      <c r="AM149" s="220">
        <v>29532</v>
      </c>
      <c r="AN149" s="222"/>
      <c r="AO149" s="222"/>
      <c r="AP149" s="222"/>
      <c r="AQ149" s="222"/>
      <c r="AR149" s="222"/>
      <c r="AS149" s="222"/>
      <c r="AT149" s="222"/>
      <c r="AU149" s="222"/>
      <c r="AV149" s="222"/>
      <c r="AW149" s="222"/>
      <c r="AX149" s="222"/>
      <c r="AY149" s="222"/>
      <c r="AZ149" s="222"/>
      <c r="BA149" s="222"/>
    </row>
  </sheetData>
  <sheetProtection password="DFEF" sheet="1" objects="1" scenarios="1" autoFilter="0"/>
  <mergeCells count="31">
    <mergeCell ref="F10:F11"/>
    <mergeCell ref="G10:G11"/>
    <mergeCell ref="A10:A11"/>
    <mergeCell ref="B10:B11"/>
    <mergeCell ref="C10:C11"/>
    <mergeCell ref="D10:D11"/>
    <mergeCell ref="E10:E11"/>
    <mergeCell ref="A1:L1"/>
    <mergeCell ref="A2:L2"/>
    <mergeCell ref="A4:L4"/>
    <mergeCell ref="A5:L5"/>
    <mergeCell ref="A8:M8"/>
    <mergeCell ref="AG10:AG11"/>
    <mergeCell ref="H10:H11"/>
    <mergeCell ref="I10:I11"/>
    <mergeCell ref="J10:J11"/>
    <mergeCell ref="K10:K11"/>
    <mergeCell ref="L10:L11"/>
    <mergeCell ref="M10:M11"/>
    <mergeCell ref="N10:O10"/>
    <mergeCell ref="P10:P11"/>
    <mergeCell ref="Q10:AF10"/>
    <mergeCell ref="AN10:AY10"/>
    <mergeCell ref="AZ10:AZ11"/>
    <mergeCell ref="BA10:BA11"/>
    <mergeCell ref="AH10:AH11"/>
    <mergeCell ref="AI10:AI11"/>
    <mergeCell ref="AJ10:AJ11"/>
    <mergeCell ref="AK10:AK11"/>
    <mergeCell ref="AL10:AL11"/>
    <mergeCell ref="AM10:AM1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83"/>
  <sheetViews>
    <sheetView topLeftCell="A8" workbookViewId="0">
      <selection activeCell="C15" sqref="C15"/>
    </sheetView>
  </sheetViews>
  <sheetFormatPr baseColWidth="10" defaultRowHeight="15" x14ac:dyDescent="0.25"/>
  <sheetData>
    <row r="1" spans="1:53" ht="18" x14ac:dyDescent="0.25">
      <c r="A1" s="958" t="s">
        <v>481</v>
      </c>
      <c r="B1" s="958"/>
      <c r="C1" s="958"/>
      <c r="D1" s="958"/>
      <c r="E1" s="958"/>
      <c r="F1" s="958"/>
      <c r="G1" s="958"/>
      <c r="H1" s="958"/>
      <c r="I1" s="958"/>
      <c r="J1" s="958"/>
      <c r="K1" s="958"/>
      <c r="L1" s="958"/>
      <c r="M1" s="633"/>
      <c r="N1" s="98"/>
      <c r="O1" s="98"/>
      <c r="P1" s="634"/>
      <c r="Q1" s="98"/>
      <c r="R1" s="98"/>
      <c r="S1" s="98"/>
      <c r="T1" s="98"/>
      <c r="U1" s="635"/>
      <c r="V1" s="635"/>
      <c r="W1" s="635"/>
      <c r="X1" s="635"/>
      <c r="Y1" s="635"/>
      <c r="Z1" s="635"/>
      <c r="AA1" s="635"/>
      <c r="AB1" s="635"/>
      <c r="AC1" s="635"/>
      <c r="AD1" s="635"/>
      <c r="AE1" s="98"/>
      <c r="AF1" s="98"/>
      <c r="AG1" s="633"/>
      <c r="AH1" s="636"/>
      <c r="AI1" s="637"/>
      <c r="AJ1" s="636"/>
      <c r="AK1" s="636"/>
      <c r="AL1" s="638"/>
      <c r="AM1" s="98"/>
      <c r="AN1" s="98"/>
      <c r="AO1" s="98"/>
      <c r="AP1" s="98"/>
      <c r="AQ1" s="98"/>
      <c r="AR1" s="98"/>
      <c r="AS1" s="98"/>
      <c r="AT1" s="98"/>
      <c r="AU1" s="98"/>
      <c r="AV1" s="98"/>
      <c r="AW1" s="98"/>
      <c r="AX1" s="98"/>
      <c r="AY1" s="98"/>
      <c r="AZ1" s="98"/>
      <c r="BA1" s="98"/>
    </row>
    <row r="2" spans="1:53" ht="18" x14ac:dyDescent="0.25">
      <c r="A2" s="959" t="s">
        <v>482</v>
      </c>
      <c r="B2" s="959"/>
      <c r="C2" s="959"/>
      <c r="D2" s="959"/>
      <c r="E2" s="959"/>
      <c r="F2" s="959"/>
      <c r="G2" s="959"/>
      <c r="H2" s="959"/>
      <c r="I2" s="959"/>
      <c r="J2" s="959"/>
      <c r="K2" s="959"/>
      <c r="L2" s="959"/>
      <c r="M2" s="633"/>
      <c r="N2" s="98"/>
      <c r="O2" s="98"/>
      <c r="P2" s="634"/>
      <c r="Q2" s="98"/>
      <c r="R2" s="98"/>
      <c r="S2" s="98"/>
      <c r="T2" s="98"/>
      <c r="U2" s="635"/>
      <c r="V2" s="635"/>
      <c r="W2" s="635"/>
      <c r="X2" s="635"/>
      <c r="Y2" s="635"/>
      <c r="Z2" s="635"/>
      <c r="AA2" s="635"/>
      <c r="AB2" s="635"/>
      <c r="AC2" s="635"/>
      <c r="AD2" s="635"/>
      <c r="AE2" s="98"/>
      <c r="AF2" s="98"/>
      <c r="AG2" s="633"/>
      <c r="AH2" s="636"/>
      <c r="AI2" s="637"/>
      <c r="AJ2" s="636"/>
      <c r="AK2" s="636"/>
      <c r="AL2" s="638"/>
      <c r="AM2" s="98"/>
      <c r="AN2" s="98"/>
      <c r="AO2" s="98"/>
      <c r="AP2" s="98"/>
      <c r="AQ2" s="98"/>
      <c r="AR2" s="98"/>
      <c r="AS2" s="98"/>
      <c r="AT2" s="98"/>
      <c r="AU2" s="98"/>
      <c r="AV2" s="98"/>
      <c r="AW2" s="98"/>
      <c r="AX2" s="98"/>
      <c r="AY2" s="98"/>
      <c r="AZ2" s="98"/>
      <c r="BA2" s="98"/>
    </row>
    <row r="3" spans="1:53" x14ac:dyDescent="0.25">
      <c r="A3" s="101"/>
      <c r="B3" s="96"/>
      <c r="C3" s="96"/>
      <c r="D3" s="96"/>
      <c r="E3" s="96"/>
      <c r="F3" s="96"/>
      <c r="G3" s="639"/>
      <c r="H3" s="640"/>
      <c r="I3" s="639"/>
      <c r="J3" s="639"/>
      <c r="K3" s="639"/>
      <c r="L3" s="641"/>
      <c r="M3" s="633"/>
      <c r="N3" s="98"/>
      <c r="O3" s="98"/>
      <c r="P3" s="634"/>
      <c r="Q3" s="98"/>
      <c r="R3" s="98"/>
      <c r="S3" s="98"/>
      <c r="T3" s="98"/>
      <c r="U3" s="635"/>
      <c r="V3" s="635"/>
      <c r="W3" s="635"/>
      <c r="X3" s="635"/>
      <c r="Y3" s="635"/>
      <c r="Z3" s="635"/>
      <c r="AA3" s="635"/>
      <c r="AB3" s="635"/>
      <c r="AC3" s="635"/>
      <c r="AD3" s="635"/>
      <c r="AE3" s="98"/>
      <c r="AF3" s="98"/>
      <c r="AG3" s="633"/>
      <c r="AH3" s="636"/>
      <c r="AI3" s="637"/>
      <c r="AJ3" s="636"/>
      <c r="AK3" s="636"/>
      <c r="AL3" s="638"/>
      <c r="AM3" s="98"/>
      <c r="AN3" s="98"/>
      <c r="AO3" s="98"/>
      <c r="AP3" s="98"/>
      <c r="AQ3" s="98"/>
      <c r="AR3" s="98"/>
      <c r="AS3" s="98"/>
      <c r="AT3" s="98"/>
      <c r="AU3" s="98"/>
      <c r="AV3" s="98"/>
      <c r="AW3" s="98"/>
      <c r="AX3" s="98"/>
      <c r="AY3" s="98"/>
      <c r="AZ3" s="98"/>
      <c r="BA3" s="98"/>
    </row>
    <row r="4" spans="1:53" ht="18" x14ac:dyDescent="0.25">
      <c r="A4" s="960" t="s">
        <v>483</v>
      </c>
      <c r="B4" s="960"/>
      <c r="C4" s="960"/>
      <c r="D4" s="960"/>
      <c r="E4" s="960"/>
      <c r="F4" s="960"/>
      <c r="G4" s="960"/>
      <c r="H4" s="960"/>
      <c r="I4" s="960"/>
      <c r="J4" s="960"/>
      <c r="K4" s="960"/>
      <c r="L4" s="960"/>
      <c r="M4" s="633"/>
      <c r="N4" s="98"/>
      <c r="O4" s="98"/>
      <c r="P4" s="634"/>
      <c r="Q4" s="98"/>
      <c r="R4" s="98"/>
      <c r="S4" s="98"/>
      <c r="T4" s="98"/>
      <c r="U4" s="635"/>
      <c r="V4" s="635"/>
      <c r="W4" s="635"/>
      <c r="X4" s="635"/>
      <c r="Y4" s="635"/>
      <c r="Z4" s="635"/>
      <c r="AA4" s="635"/>
      <c r="AB4" s="635"/>
      <c r="AC4" s="635"/>
      <c r="AD4" s="635"/>
      <c r="AE4" s="98"/>
      <c r="AF4" s="98"/>
      <c r="AG4" s="633"/>
      <c r="AH4" s="636"/>
      <c r="AI4" s="637"/>
      <c r="AJ4" s="636"/>
      <c r="AK4" s="636"/>
      <c r="AL4" s="638"/>
      <c r="AM4" s="98"/>
      <c r="AN4" s="98"/>
      <c r="AO4" s="98"/>
      <c r="AP4" s="98"/>
      <c r="AQ4" s="98"/>
      <c r="AR4" s="98"/>
      <c r="AS4" s="98"/>
      <c r="AT4" s="98"/>
      <c r="AU4" s="98"/>
      <c r="AV4" s="98"/>
      <c r="AW4" s="98"/>
      <c r="AX4" s="98"/>
      <c r="AY4" s="98"/>
      <c r="AZ4" s="98"/>
      <c r="BA4" s="98"/>
    </row>
    <row r="5" spans="1:53" ht="18" x14ac:dyDescent="0.25">
      <c r="A5" s="958" t="s">
        <v>528</v>
      </c>
      <c r="B5" s="958"/>
      <c r="C5" s="958"/>
      <c r="D5" s="958"/>
      <c r="E5" s="958"/>
      <c r="F5" s="958"/>
      <c r="G5" s="958"/>
      <c r="H5" s="958"/>
      <c r="I5" s="958"/>
      <c r="J5" s="958"/>
      <c r="K5" s="958"/>
      <c r="L5" s="958"/>
      <c r="M5" s="633"/>
      <c r="N5" s="98"/>
      <c r="O5" s="98"/>
      <c r="P5" s="634"/>
      <c r="Q5" s="98"/>
      <c r="R5" s="98"/>
      <c r="S5" s="98"/>
      <c r="T5" s="98"/>
      <c r="U5" s="635"/>
      <c r="V5" s="635"/>
      <c r="W5" s="635"/>
      <c r="X5" s="635"/>
      <c r="Y5" s="635"/>
      <c r="Z5" s="635"/>
      <c r="AA5" s="635"/>
      <c r="AB5" s="635"/>
      <c r="AC5" s="635"/>
      <c r="AD5" s="635"/>
      <c r="AE5" s="98"/>
      <c r="AF5" s="98"/>
      <c r="AG5" s="633"/>
      <c r="AH5" s="636"/>
      <c r="AI5" s="637"/>
      <c r="AJ5" s="636"/>
      <c r="AK5" s="636"/>
      <c r="AL5" s="638"/>
      <c r="AM5" s="98"/>
      <c r="AN5" s="98"/>
      <c r="AO5" s="98"/>
      <c r="AP5" s="98"/>
      <c r="AQ5" s="98"/>
      <c r="AR5" s="98"/>
      <c r="AS5" s="98"/>
      <c r="AT5" s="98"/>
      <c r="AU5" s="98"/>
      <c r="AV5" s="98"/>
      <c r="AW5" s="98"/>
      <c r="AX5" s="98"/>
      <c r="AY5" s="98"/>
      <c r="AZ5" s="98"/>
      <c r="BA5" s="98"/>
    </row>
    <row r="6" spans="1:53" ht="18" x14ac:dyDescent="0.25">
      <c r="A6" s="100"/>
      <c r="B6" s="100"/>
      <c r="C6" s="100"/>
      <c r="D6" s="100"/>
      <c r="E6" s="100"/>
      <c r="F6" s="100"/>
      <c r="G6" s="642"/>
      <c r="H6" s="642"/>
      <c r="I6" s="642"/>
      <c r="J6" s="642"/>
      <c r="K6" s="642"/>
      <c r="L6" s="643"/>
      <c r="M6" s="633"/>
      <c r="N6" s="98"/>
      <c r="O6" s="98"/>
      <c r="P6" s="634"/>
      <c r="Q6" s="98"/>
      <c r="R6" s="98"/>
      <c r="S6" s="98"/>
      <c r="T6" s="98"/>
      <c r="U6" s="635"/>
      <c r="V6" s="635"/>
      <c r="W6" s="635"/>
      <c r="X6" s="635"/>
      <c r="Y6" s="635"/>
      <c r="Z6" s="635"/>
      <c r="AA6" s="635"/>
      <c r="AB6" s="635"/>
      <c r="AC6" s="635"/>
      <c r="AD6" s="635"/>
      <c r="AE6" s="98"/>
      <c r="AF6" s="98"/>
      <c r="AG6" s="633"/>
      <c r="AH6" s="636"/>
      <c r="AI6" s="637"/>
      <c r="AJ6" s="636"/>
      <c r="AK6" s="636"/>
      <c r="AL6" s="638"/>
      <c r="AM6" s="98"/>
      <c r="AN6" s="98"/>
      <c r="AO6" s="98"/>
      <c r="AP6" s="98"/>
      <c r="AQ6" s="98"/>
      <c r="AR6" s="98"/>
      <c r="AS6" s="98"/>
      <c r="AT6" s="98"/>
      <c r="AU6" s="98"/>
      <c r="AV6" s="98"/>
      <c r="AW6" s="98"/>
      <c r="AX6" s="98"/>
      <c r="AY6" s="98"/>
      <c r="AZ6" s="98"/>
      <c r="BA6" s="98"/>
    </row>
    <row r="7" spans="1:53" ht="18" x14ac:dyDescent="0.25">
      <c r="A7" s="100"/>
      <c r="B7" s="100"/>
      <c r="C7" s="100"/>
      <c r="D7" s="100"/>
      <c r="E7" s="100"/>
      <c r="F7" s="100"/>
      <c r="G7" s="642"/>
      <c r="H7" s="642"/>
      <c r="I7" s="642"/>
      <c r="J7" s="642"/>
      <c r="K7" s="642"/>
      <c r="L7" s="643"/>
      <c r="M7" s="633"/>
      <c r="N7" s="98"/>
      <c r="O7" s="98"/>
      <c r="P7" s="634"/>
      <c r="Q7" s="98"/>
      <c r="R7" s="98"/>
      <c r="S7" s="98"/>
      <c r="T7" s="98"/>
      <c r="U7" s="635"/>
      <c r="V7" s="635"/>
      <c r="W7" s="635"/>
      <c r="X7" s="635"/>
      <c r="Y7" s="635"/>
      <c r="Z7" s="635"/>
      <c r="AA7" s="635"/>
      <c r="AB7" s="635"/>
      <c r="AC7" s="635"/>
      <c r="AD7" s="635"/>
      <c r="AE7" s="98"/>
      <c r="AF7" s="98"/>
      <c r="AG7" s="633"/>
      <c r="AH7" s="636"/>
      <c r="AI7" s="637"/>
      <c r="AJ7" s="636"/>
      <c r="AK7" s="636"/>
      <c r="AL7" s="638"/>
      <c r="AM7" s="98"/>
      <c r="AN7" s="98"/>
      <c r="AO7" s="98"/>
      <c r="AP7" s="98"/>
      <c r="AQ7" s="98"/>
      <c r="AR7" s="98"/>
      <c r="AS7" s="98"/>
      <c r="AT7" s="98"/>
      <c r="AU7" s="98"/>
      <c r="AV7" s="98"/>
      <c r="AW7" s="98"/>
      <c r="AX7" s="98"/>
      <c r="AY7" s="98"/>
      <c r="AZ7" s="98"/>
      <c r="BA7" s="98"/>
    </row>
    <row r="8" spans="1:53" x14ac:dyDescent="0.25">
      <c r="A8" s="961" t="s">
        <v>3375</v>
      </c>
      <c r="B8" s="961"/>
      <c r="C8" s="961"/>
      <c r="D8" s="961"/>
      <c r="E8" s="961"/>
      <c r="F8" s="961"/>
      <c r="G8" s="961"/>
      <c r="H8" s="961"/>
      <c r="I8" s="961"/>
      <c r="J8" s="961"/>
      <c r="K8" s="961"/>
      <c r="L8" s="961"/>
      <c r="M8" s="961"/>
      <c r="N8" s="98"/>
      <c r="O8" s="98"/>
      <c r="P8" s="634"/>
      <c r="Q8" s="98"/>
      <c r="R8" s="98"/>
      <c r="S8" s="98"/>
      <c r="T8" s="98"/>
      <c r="U8" s="635"/>
      <c r="V8" s="635"/>
      <c r="W8" s="635"/>
      <c r="X8" s="635"/>
      <c r="Y8" s="635"/>
      <c r="Z8" s="635"/>
      <c r="AA8" s="635"/>
      <c r="AB8" s="635"/>
      <c r="AC8" s="635"/>
      <c r="AD8" s="635"/>
      <c r="AE8" s="98"/>
      <c r="AF8" s="98"/>
      <c r="AG8" s="633"/>
      <c r="AH8" s="636"/>
      <c r="AI8" s="637"/>
      <c r="AJ8" s="636"/>
      <c r="AK8" s="636"/>
      <c r="AL8" s="638"/>
      <c r="AM8" s="98"/>
      <c r="AN8" s="98"/>
      <c r="AO8" s="98"/>
      <c r="AP8" s="98"/>
      <c r="AQ8" s="98"/>
      <c r="AR8" s="98"/>
      <c r="AS8" s="98"/>
      <c r="AT8" s="98"/>
      <c r="AU8" s="98"/>
      <c r="AV8" s="98"/>
      <c r="AW8" s="98"/>
      <c r="AX8" s="98"/>
      <c r="AY8" s="98"/>
      <c r="AZ8" s="98"/>
      <c r="BA8" s="98"/>
    </row>
    <row r="9" spans="1:53" ht="18" x14ac:dyDescent="0.25">
      <c r="A9" s="102"/>
      <c r="B9" s="102"/>
      <c r="C9" s="102"/>
      <c r="D9" s="102"/>
      <c r="E9" s="102"/>
      <c r="F9" s="100"/>
      <c r="G9" s="642"/>
      <c r="H9" s="642"/>
      <c r="I9" s="642"/>
      <c r="J9" s="642"/>
      <c r="K9" s="642"/>
      <c r="L9" s="643"/>
      <c r="M9" s="643"/>
      <c r="N9" s="98"/>
      <c r="O9" s="98"/>
      <c r="P9" s="634"/>
      <c r="Q9" s="98"/>
      <c r="R9" s="98"/>
      <c r="S9" s="98"/>
      <c r="T9" s="98"/>
      <c r="U9" s="635"/>
      <c r="V9" s="635"/>
      <c r="W9" s="635"/>
      <c r="X9" s="635"/>
      <c r="Y9" s="635"/>
      <c r="Z9" s="635"/>
      <c r="AA9" s="635"/>
      <c r="AB9" s="635"/>
      <c r="AC9" s="635"/>
      <c r="AD9" s="635"/>
      <c r="AE9" s="98"/>
      <c r="AF9" s="98"/>
      <c r="AG9" s="633"/>
      <c r="AH9" s="636"/>
      <c r="AI9" s="637"/>
      <c r="AJ9" s="636"/>
      <c r="AK9" s="636"/>
      <c r="AL9" s="638"/>
      <c r="AM9" s="98"/>
      <c r="AN9" s="98"/>
      <c r="AO9" s="98"/>
      <c r="AP9" s="98"/>
      <c r="AQ9" s="98"/>
      <c r="AR9" s="98"/>
      <c r="AS9" s="98"/>
      <c r="AT9" s="98"/>
      <c r="AU9" s="98"/>
      <c r="AV9" s="98"/>
      <c r="AW9" s="98"/>
      <c r="AX9" s="98"/>
      <c r="AY9" s="98"/>
      <c r="AZ9" s="98"/>
      <c r="BA9" s="98"/>
    </row>
    <row r="10" spans="1:53" x14ac:dyDescent="0.25">
      <c r="A10" s="961" t="s">
        <v>951</v>
      </c>
      <c r="B10" s="961"/>
      <c r="C10" s="961"/>
      <c r="D10" s="961"/>
      <c r="E10" s="961"/>
      <c r="F10" s="961"/>
      <c r="G10" s="961"/>
      <c r="H10" s="961"/>
      <c r="I10" s="961"/>
      <c r="J10" s="961"/>
      <c r="K10" s="961"/>
      <c r="L10" s="961"/>
      <c r="M10" s="961"/>
      <c r="N10" s="98"/>
      <c r="O10" s="98"/>
      <c r="P10" s="634"/>
      <c r="Q10" s="98"/>
      <c r="R10" s="98"/>
      <c r="S10" s="98"/>
      <c r="T10" s="98"/>
      <c r="U10" s="635"/>
      <c r="V10" s="635"/>
      <c r="W10" s="635"/>
      <c r="X10" s="635"/>
      <c r="Y10" s="635"/>
      <c r="Z10" s="635"/>
      <c r="AA10" s="635"/>
      <c r="AB10" s="635"/>
      <c r="AC10" s="635"/>
      <c r="AD10" s="635"/>
      <c r="AE10" s="98"/>
      <c r="AF10" s="98"/>
      <c r="AG10" s="633"/>
      <c r="AH10" s="636"/>
      <c r="AI10" s="637"/>
      <c r="AJ10" s="636"/>
      <c r="AK10" s="636"/>
      <c r="AL10" s="638"/>
      <c r="AM10" s="98"/>
      <c r="AN10" s="98"/>
      <c r="AO10" s="98"/>
      <c r="AP10" s="98"/>
      <c r="AQ10" s="98"/>
      <c r="AR10" s="98"/>
      <c r="AS10" s="98"/>
      <c r="AT10" s="98"/>
      <c r="AU10" s="98"/>
      <c r="AV10" s="98"/>
      <c r="AW10" s="98"/>
      <c r="AX10" s="98"/>
      <c r="AY10" s="98"/>
      <c r="AZ10" s="98"/>
      <c r="BA10" s="98"/>
    </row>
    <row r="11" spans="1:53" ht="18" x14ac:dyDescent="0.25">
      <c r="A11" s="100"/>
      <c r="B11" s="100"/>
      <c r="C11" s="100"/>
      <c r="D11" s="100"/>
      <c r="E11" s="100"/>
      <c r="F11" s="100"/>
      <c r="G11" s="642"/>
      <c r="H11" s="642"/>
      <c r="I11" s="642"/>
      <c r="J11" s="642"/>
      <c r="K11" s="642"/>
      <c r="L11" s="643"/>
      <c r="M11" s="633"/>
      <c r="N11" s="98"/>
      <c r="O11" s="98"/>
      <c r="P11" s="634"/>
      <c r="Q11" s="98"/>
      <c r="R11" s="98"/>
      <c r="S11" s="98"/>
      <c r="T11" s="98"/>
      <c r="U11" s="635"/>
      <c r="V11" s="635"/>
      <c r="W11" s="635"/>
      <c r="X11" s="635"/>
      <c r="Y11" s="635"/>
      <c r="Z11" s="635"/>
      <c r="AA11" s="635"/>
      <c r="AB11" s="635"/>
      <c r="AC11" s="635"/>
      <c r="AD11" s="635"/>
      <c r="AE11" s="98"/>
      <c r="AF11" s="98"/>
      <c r="AG11" s="633"/>
      <c r="AH11" s="636"/>
      <c r="AI11" s="637"/>
      <c r="AJ11" s="636"/>
      <c r="AK11" s="636"/>
      <c r="AL11" s="638"/>
      <c r="AM11" s="98"/>
      <c r="AN11" s="98"/>
      <c r="AO11" s="98"/>
      <c r="AP11" s="98"/>
      <c r="AQ11" s="98"/>
      <c r="AR11" s="98"/>
      <c r="AS11" s="98"/>
      <c r="AT11" s="98"/>
      <c r="AU11" s="98"/>
      <c r="AV11" s="98"/>
      <c r="AW11" s="98"/>
      <c r="AX11" s="98"/>
      <c r="AY11" s="98"/>
      <c r="AZ11" s="98"/>
      <c r="BA11" s="98"/>
    </row>
    <row r="12" spans="1:53" x14ac:dyDescent="0.25">
      <c r="A12" s="96"/>
      <c r="B12" s="96"/>
      <c r="C12" s="96"/>
      <c r="D12" s="96"/>
      <c r="E12" s="96"/>
      <c r="F12" s="96"/>
      <c r="G12" s="639"/>
      <c r="H12" s="640"/>
      <c r="I12" s="639"/>
      <c r="J12" s="639"/>
      <c r="K12" s="639"/>
      <c r="L12" s="641"/>
      <c r="M12" s="633"/>
      <c r="N12" s="98"/>
      <c r="O12" s="98"/>
      <c r="P12" s="634"/>
      <c r="Q12" s="98"/>
      <c r="R12" s="98"/>
      <c r="S12" s="98"/>
      <c r="T12" s="98"/>
      <c r="U12" s="635"/>
      <c r="V12" s="635"/>
      <c r="W12" s="635"/>
      <c r="X12" s="635"/>
      <c r="Y12" s="635"/>
      <c r="Z12" s="635"/>
      <c r="AA12" s="635"/>
      <c r="AB12" s="635"/>
      <c r="AC12" s="635"/>
      <c r="AD12" s="635"/>
      <c r="AE12" s="98"/>
      <c r="AF12" s="98"/>
      <c r="AG12" s="633"/>
      <c r="AH12" s="636"/>
      <c r="AI12" s="637"/>
      <c r="AJ12" s="636"/>
      <c r="AK12" s="636"/>
      <c r="AL12" s="638"/>
      <c r="AM12" s="98"/>
      <c r="AN12" s="98"/>
      <c r="AO12" s="98"/>
      <c r="AP12" s="98"/>
      <c r="AQ12" s="98"/>
      <c r="AR12" s="98"/>
      <c r="AS12" s="98"/>
      <c r="AT12" s="98"/>
      <c r="AU12" s="98"/>
      <c r="AV12" s="98"/>
      <c r="AW12" s="98"/>
      <c r="AX12" s="98"/>
      <c r="AY12" s="98"/>
      <c r="AZ12" s="98"/>
      <c r="BA12" s="98"/>
    </row>
    <row r="13" spans="1:53" ht="26.25" customHeight="1" x14ac:dyDescent="0.25">
      <c r="A13" s="914" t="s">
        <v>62</v>
      </c>
      <c r="B13" s="914" t="s">
        <v>63</v>
      </c>
      <c r="C13" s="894" t="s">
        <v>0</v>
      </c>
      <c r="D13" s="894" t="s">
        <v>1</v>
      </c>
      <c r="E13" s="894" t="s">
        <v>2</v>
      </c>
      <c r="F13" s="894" t="s">
        <v>3</v>
      </c>
      <c r="G13" s="970" t="s">
        <v>64</v>
      </c>
      <c r="H13" s="970" t="s">
        <v>65</v>
      </c>
      <c r="I13" s="970" t="s">
        <v>66</v>
      </c>
      <c r="J13" s="970" t="s">
        <v>67</v>
      </c>
      <c r="K13" s="970" t="s">
        <v>480</v>
      </c>
      <c r="L13" s="976" t="s">
        <v>521</v>
      </c>
      <c r="M13" s="889" t="s">
        <v>529</v>
      </c>
      <c r="N13" s="891" t="s">
        <v>66</v>
      </c>
      <c r="O13" s="893"/>
      <c r="P13" s="968" t="s">
        <v>532</v>
      </c>
      <c r="Q13" s="891" t="s">
        <v>484</v>
      </c>
      <c r="R13" s="892"/>
      <c r="S13" s="892"/>
      <c r="T13" s="892"/>
      <c r="U13" s="892"/>
      <c r="V13" s="892"/>
      <c r="W13" s="892"/>
      <c r="X13" s="892"/>
      <c r="Y13" s="892"/>
      <c r="Z13" s="892"/>
      <c r="AA13" s="892"/>
      <c r="AB13" s="892"/>
      <c r="AC13" s="892"/>
      <c r="AD13" s="892"/>
      <c r="AE13" s="892"/>
      <c r="AF13" s="893"/>
      <c r="AG13" s="889" t="s">
        <v>485</v>
      </c>
      <c r="AH13" s="889" t="s">
        <v>531</v>
      </c>
      <c r="AI13" s="889" t="s">
        <v>952</v>
      </c>
      <c r="AJ13" s="889" t="s">
        <v>511</v>
      </c>
      <c r="AK13" s="889" t="s">
        <v>486</v>
      </c>
      <c r="AL13" s="974" t="s">
        <v>535</v>
      </c>
      <c r="AM13" s="889" t="s">
        <v>487</v>
      </c>
      <c r="AN13" s="900" t="s">
        <v>524</v>
      </c>
      <c r="AO13" s="901"/>
      <c r="AP13" s="901"/>
      <c r="AQ13" s="901"/>
      <c r="AR13" s="901"/>
      <c r="AS13" s="901"/>
      <c r="AT13" s="901"/>
      <c r="AU13" s="901"/>
      <c r="AV13" s="901"/>
      <c r="AW13" s="901"/>
      <c r="AX13" s="901"/>
      <c r="AY13" s="902"/>
      <c r="AZ13" s="898" t="s">
        <v>512</v>
      </c>
      <c r="BA13" s="962" t="s">
        <v>488</v>
      </c>
    </row>
    <row r="14" spans="1:53" ht="63.75" x14ac:dyDescent="0.25">
      <c r="A14" s="915"/>
      <c r="B14" s="915"/>
      <c r="C14" s="966"/>
      <c r="D14" s="966"/>
      <c r="E14" s="966"/>
      <c r="F14" s="895"/>
      <c r="G14" s="971"/>
      <c r="H14" s="972"/>
      <c r="I14" s="972"/>
      <c r="J14" s="972"/>
      <c r="K14" s="972"/>
      <c r="L14" s="977"/>
      <c r="M14" s="890"/>
      <c r="N14" s="93" t="s">
        <v>489</v>
      </c>
      <c r="O14" s="93" t="s">
        <v>530</v>
      </c>
      <c r="P14" s="969"/>
      <c r="Q14" s="94" t="s">
        <v>490</v>
      </c>
      <c r="R14" s="94" t="s">
        <v>533</v>
      </c>
      <c r="S14" s="94" t="s">
        <v>491</v>
      </c>
      <c r="T14" s="94" t="s">
        <v>492</v>
      </c>
      <c r="U14" s="644" t="s">
        <v>522</v>
      </c>
      <c r="V14" s="644" t="s">
        <v>493</v>
      </c>
      <c r="W14" s="644" t="s">
        <v>494</v>
      </c>
      <c r="X14" s="644" t="s">
        <v>495</v>
      </c>
      <c r="Y14" s="644" t="s">
        <v>496</v>
      </c>
      <c r="Z14" s="644" t="s">
        <v>497</v>
      </c>
      <c r="AA14" s="644" t="s">
        <v>523</v>
      </c>
      <c r="AB14" s="644" t="s">
        <v>534</v>
      </c>
      <c r="AC14" s="644" t="s">
        <v>498</v>
      </c>
      <c r="AD14" s="644" t="s">
        <v>499</v>
      </c>
      <c r="AE14" s="94" t="s">
        <v>500</v>
      </c>
      <c r="AF14" s="94" t="s">
        <v>501</v>
      </c>
      <c r="AG14" s="890"/>
      <c r="AH14" s="890"/>
      <c r="AI14" s="890"/>
      <c r="AJ14" s="890"/>
      <c r="AK14" s="890"/>
      <c r="AL14" s="975"/>
      <c r="AM14" s="890"/>
      <c r="AN14" s="95" t="s">
        <v>502</v>
      </c>
      <c r="AO14" s="95" t="s">
        <v>503</v>
      </c>
      <c r="AP14" s="95" t="s">
        <v>504</v>
      </c>
      <c r="AQ14" s="95" t="s">
        <v>505</v>
      </c>
      <c r="AR14" s="95" t="s">
        <v>504</v>
      </c>
      <c r="AS14" s="95" t="s">
        <v>506</v>
      </c>
      <c r="AT14" s="95" t="s">
        <v>506</v>
      </c>
      <c r="AU14" s="95" t="s">
        <v>505</v>
      </c>
      <c r="AV14" s="95" t="s">
        <v>507</v>
      </c>
      <c r="AW14" s="95" t="s">
        <v>508</v>
      </c>
      <c r="AX14" s="95" t="s">
        <v>509</v>
      </c>
      <c r="AY14" s="95" t="s">
        <v>510</v>
      </c>
      <c r="AZ14" s="899"/>
      <c r="BA14" s="963"/>
    </row>
    <row r="15" spans="1:53" ht="409.5" x14ac:dyDescent="0.25">
      <c r="A15" s="107" t="s">
        <v>1245</v>
      </c>
      <c r="B15" s="645" t="s">
        <v>3099</v>
      </c>
      <c r="C15" s="646" t="s">
        <v>3100</v>
      </c>
      <c r="D15" s="201" t="s">
        <v>3101</v>
      </c>
      <c r="E15" s="647" t="s">
        <v>3102</v>
      </c>
      <c r="F15" s="648" t="s">
        <v>3103</v>
      </c>
      <c r="G15" s="649" t="s">
        <v>3104</v>
      </c>
      <c r="H15" s="650" t="s">
        <v>3105</v>
      </c>
      <c r="I15" s="651" t="s">
        <v>3106</v>
      </c>
      <c r="J15" s="734">
        <v>10</v>
      </c>
      <c r="K15" s="735" t="s">
        <v>526</v>
      </c>
      <c r="L15" s="736">
        <v>12</v>
      </c>
      <c r="M15" s="737">
        <v>6</v>
      </c>
      <c r="N15" s="225"/>
      <c r="O15" s="225"/>
      <c r="P15" s="652">
        <v>39368345</v>
      </c>
      <c r="Q15" s="225"/>
      <c r="R15" s="225"/>
      <c r="S15" s="225"/>
      <c r="T15" s="225"/>
      <c r="U15" s="738"/>
      <c r="V15" s="738"/>
      <c r="W15" s="738"/>
      <c r="X15" s="738"/>
      <c r="Y15" s="738"/>
      <c r="Z15" s="738"/>
      <c r="AA15" s="738"/>
      <c r="AB15" s="738"/>
      <c r="AC15" s="738"/>
      <c r="AD15" s="738"/>
      <c r="AE15" s="225"/>
      <c r="AF15" s="225"/>
      <c r="AG15" s="653" t="s">
        <v>3107</v>
      </c>
      <c r="AH15" s="739"/>
      <c r="AI15" s="740" t="s">
        <v>3108</v>
      </c>
      <c r="AJ15" s="739" t="s">
        <v>1560</v>
      </c>
      <c r="AK15" s="739"/>
      <c r="AL15" s="741">
        <v>3212688</v>
      </c>
      <c r="AM15" s="496" t="s">
        <v>3109</v>
      </c>
      <c r="AN15" s="236" t="s">
        <v>536</v>
      </c>
      <c r="AO15" s="236" t="s">
        <v>536</v>
      </c>
      <c r="AP15" s="228" t="s">
        <v>536</v>
      </c>
      <c r="AQ15" s="228" t="s">
        <v>536</v>
      </c>
      <c r="AR15" s="228" t="s">
        <v>536</v>
      </c>
      <c r="AS15" s="228" t="s">
        <v>536</v>
      </c>
      <c r="AT15" s="228" t="s">
        <v>536</v>
      </c>
      <c r="AU15" s="228" t="s">
        <v>536</v>
      </c>
      <c r="AV15" s="228" t="s">
        <v>536</v>
      </c>
      <c r="AW15" s="228" t="s">
        <v>536</v>
      </c>
      <c r="AX15" s="228" t="s">
        <v>536</v>
      </c>
      <c r="AY15" s="228" t="s">
        <v>536</v>
      </c>
      <c r="AZ15" s="237" t="s">
        <v>3110</v>
      </c>
      <c r="BA15" s="225"/>
    </row>
    <row r="16" spans="1:53" ht="255" x14ac:dyDescent="0.25">
      <c r="A16" s="107"/>
      <c r="B16" s="645"/>
      <c r="C16" s="654"/>
      <c r="D16" s="213"/>
      <c r="E16" s="655"/>
      <c r="F16" s="648" t="s">
        <v>3103</v>
      </c>
      <c r="G16" s="649" t="s">
        <v>3104</v>
      </c>
      <c r="H16" s="650" t="s">
        <v>3105</v>
      </c>
      <c r="I16" s="651" t="s">
        <v>3106</v>
      </c>
      <c r="J16" s="734">
        <v>10</v>
      </c>
      <c r="K16" s="735" t="s">
        <v>526</v>
      </c>
      <c r="L16" s="736">
        <v>12</v>
      </c>
      <c r="M16" s="737">
        <v>6</v>
      </c>
      <c r="N16" s="225"/>
      <c r="O16" s="225"/>
      <c r="P16" s="652"/>
      <c r="Q16" s="225"/>
      <c r="R16" s="225"/>
      <c r="S16" s="225"/>
      <c r="T16" s="225"/>
      <c r="U16" s="738"/>
      <c r="V16" s="738"/>
      <c r="W16" s="738"/>
      <c r="X16" s="738"/>
      <c r="Y16" s="738"/>
      <c r="Z16" s="738"/>
      <c r="AA16" s="738"/>
      <c r="AB16" s="738"/>
      <c r="AC16" s="738"/>
      <c r="AD16" s="738"/>
      <c r="AE16" s="225"/>
      <c r="AF16" s="225"/>
      <c r="AG16" s="653" t="s">
        <v>3111</v>
      </c>
      <c r="AH16" s="739"/>
      <c r="AI16" s="740" t="s">
        <v>3112</v>
      </c>
      <c r="AJ16" s="739" t="s">
        <v>1460</v>
      </c>
      <c r="AK16" s="739">
        <v>8721</v>
      </c>
      <c r="AL16" s="741">
        <v>669916</v>
      </c>
      <c r="AM16" s="243" t="s">
        <v>3113</v>
      </c>
      <c r="AN16" s="236" t="s">
        <v>536</v>
      </c>
      <c r="AO16" s="236" t="s">
        <v>536</v>
      </c>
      <c r="AP16" s="236" t="s">
        <v>536</v>
      </c>
      <c r="AQ16" s="236" t="s">
        <v>536</v>
      </c>
      <c r="AR16" s="236" t="s">
        <v>536</v>
      </c>
      <c r="AS16" s="236" t="s">
        <v>536</v>
      </c>
      <c r="AT16" s="236" t="s">
        <v>536</v>
      </c>
      <c r="AU16" s="236" t="s">
        <v>536</v>
      </c>
      <c r="AV16" s="236" t="s">
        <v>536</v>
      </c>
      <c r="AW16" s="236" t="s">
        <v>536</v>
      </c>
      <c r="AX16" s="236" t="s">
        <v>536</v>
      </c>
      <c r="AY16" s="236" t="s">
        <v>536</v>
      </c>
      <c r="AZ16" s="237" t="s">
        <v>3114</v>
      </c>
      <c r="BA16" s="225"/>
    </row>
    <row r="17" spans="1:53" ht="255" x14ac:dyDescent="0.25">
      <c r="A17" s="107"/>
      <c r="B17" s="645"/>
      <c r="C17" s="654"/>
      <c r="D17" s="213"/>
      <c r="E17" s="655"/>
      <c r="F17" s="648" t="s">
        <v>3103</v>
      </c>
      <c r="G17" s="649" t="s">
        <v>3104</v>
      </c>
      <c r="H17" s="650" t="s">
        <v>3105</v>
      </c>
      <c r="I17" s="651" t="s">
        <v>3106</v>
      </c>
      <c r="J17" s="734">
        <v>10</v>
      </c>
      <c r="K17" s="735" t="s">
        <v>526</v>
      </c>
      <c r="L17" s="736">
        <v>12</v>
      </c>
      <c r="M17" s="737">
        <v>6</v>
      </c>
      <c r="N17" s="225"/>
      <c r="O17" s="225"/>
      <c r="P17" s="652"/>
      <c r="Q17" s="225"/>
      <c r="R17" s="225"/>
      <c r="S17" s="225"/>
      <c r="T17" s="225"/>
      <c r="U17" s="738"/>
      <c r="V17" s="738"/>
      <c r="W17" s="738"/>
      <c r="X17" s="738"/>
      <c r="Y17" s="738"/>
      <c r="Z17" s="738"/>
      <c r="AA17" s="738"/>
      <c r="AB17" s="738"/>
      <c r="AC17" s="738"/>
      <c r="AD17" s="738"/>
      <c r="AE17" s="225"/>
      <c r="AF17" s="225"/>
      <c r="AG17" s="653" t="s">
        <v>3115</v>
      </c>
      <c r="AH17" s="739"/>
      <c r="AI17" s="740" t="s">
        <v>1548</v>
      </c>
      <c r="AJ17" s="739" t="s">
        <v>1471</v>
      </c>
      <c r="AK17" s="739"/>
      <c r="AL17" s="741">
        <v>3458952</v>
      </c>
      <c r="AM17" s="243"/>
      <c r="AN17" s="236" t="s">
        <v>536</v>
      </c>
      <c r="AO17" s="236" t="s">
        <v>536</v>
      </c>
      <c r="AP17" s="236" t="s">
        <v>536</v>
      </c>
      <c r="AQ17" s="236" t="s">
        <v>536</v>
      </c>
      <c r="AR17" s="236" t="s">
        <v>536</v>
      </c>
      <c r="AS17" s="236" t="s">
        <v>536</v>
      </c>
      <c r="AT17" s="236" t="s">
        <v>536</v>
      </c>
      <c r="AU17" s="236" t="s">
        <v>536</v>
      </c>
      <c r="AV17" s="236" t="s">
        <v>536</v>
      </c>
      <c r="AW17" s="236" t="s">
        <v>536</v>
      </c>
      <c r="AX17" s="236" t="s">
        <v>536</v>
      </c>
      <c r="AY17" s="236" t="s">
        <v>536</v>
      </c>
      <c r="AZ17" s="237" t="s">
        <v>3114</v>
      </c>
      <c r="BA17" s="225"/>
    </row>
    <row r="18" spans="1:53" ht="255" x14ac:dyDescent="0.25">
      <c r="A18" s="107"/>
      <c r="B18" s="645"/>
      <c r="C18" s="654"/>
      <c r="D18" s="213"/>
      <c r="E18" s="655"/>
      <c r="F18" s="648" t="s">
        <v>3103</v>
      </c>
      <c r="G18" s="649" t="s">
        <v>3104</v>
      </c>
      <c r="H18" s="650" t="s">
        <v>3105</v>
      </c>
      <c r="I18" s="651" t="s">
        <v>3106</v>
      </c>
      <c r="J18" s="734">
        <v>10</v>
      </c>
      <c r="K18" s="735" t="s">
        <v>526</v>
      </c>
      <c r="L18" s="736">
        <v>12</v>
      </c>
      <c r="M18" s="737">
        <v>6</v>
      </c>
      <c r="N18" s="225"/>
      <c r="O18" s="225"/>
      <c r="P18" s="652"/>
      <c r="Q18" s="225"/>
      <c r="R18" s="225"/>
      <c r="S18" s="225"/>
      <c r="T18" s="225"/>
      <c r="U18" s="738"/>
      <c r="V18" s="738"/>
      <c r="W18" s="738"/>
      <c r="X18" s="738"/>
      <c r="Y18" s="738"/>
      <c r="Z18" s="738"/>
      <c r="AA18" s="738"/>
      <c r="AB18" s="738"/>
      <c r="AC18" s="738"/>
      <c r="AD18" s="738"/>
      <c r="AE18" s="225"/>
      <c r="AF18" s="225"/>
      <c r="AG18" s="656" t="s">
        <v>3116</v>
      </c>
      <c r="AH18" s="739"/>
      <c r="AI18" s="740" t="s">
        <v>1538</v>
      </c>
      <c r="AJ18" s="739" t="s">
        <v>1539</v>
      </c>
      <c r="AK18" s="739"/>
      <c r="AL18" s="741">
        <v>60000</v>
      </c>
      <c r="AM18" s="243"/>
      <c r="AN18" s="236" t="s">
        <v>536</v>
      </c>
      <c r="AO18" s="236" t="s">
        <v>536</v>
      </c>
      <c r="AP18" s="236" t="s">
        <v>536</v>
      </c>
      <c r="AQ18" s="236" t="s">
        <v>536</v>
      </c>
      <c r="AR18" s="236" t="s">
        <v>536</v>
      </c>
      <c r="AS18" s="236" t="s">
        <v>536</v>
      </c>
      <c r="AT18" s="236" t="s">
        <v>536</v>
      </c>
      <c r="AU18" s="236" t="s">
        <v>536</v>
      </c>
      <c r="AV18" s="236" t="s">
        <v>536</v>
      </c>
      <c r="AW18" s="236" t="s">
        <v>536</v>
      </c>
      <c r="AX18" s="236" t="s">
        <v>536</v>
      </c>
      <c r="AY18" s="236" t="s">
        <v>536</v>
      </c>
      <c r="AZ18" s="237" t="s">
        <v>3114</v>
      </c>
      <c r="BA18" s="657"/>
    </row>
    <row r="19" spans="1:53" ht="255" x14ac:dyDescent="0.25">
      <c r="A19" s="107"/>
      <c r="B19" s="645"/>
      <c r="C19" s="654"/>
      <c r="D19" s="213"/>
      <c r="E19" s="655"/>
      <c r="F19" s="648" t="s">
        <v>3103</v>
      </c>
      <c r="G19" s="649" t="s">
        <v>3104</v>
      </c>
      <c r="H19" s="650" t="s">
        <v>3105</v>
      </c>
      <c r="I19" s="651" t="s">
        <v>3106</v>
      </c>
      <c r="J19" s="734">
        <v>10</v>
      </c>
      <c r="K19" s="735" t="s">
        <v>526</v>
      </c>
      <c r="L19" s="736">
        <v>12</v>
      </c>
      <c r="M19" s="737">
        <v>6</v>
      </c>
      <c r="N19" s="225"/>
      <c r="O19" s="225"/>
      <c r="P19" s="652"/>
      <c r="Q19" s="225"/>
      <c r="R19" s="225"/>
      <c r="S19" s="225"/>
      <c r="T19" s="225"/>
      <c r="U19" s="738"/>
      <c r="V19" s="738"/>
      <c r="W19" s="738"/>
      <c r="X19" s="738"/>
      <c r="Y19" s="738"/>
      <c r="Z19" s="738"/>
      <c r="AA19" s="738"/>
      <c r="AB19" s="738"/>
      <c r="AC19" s="738"/>
      <c r="AD19" s="738"/>
      <c r="AE19" s="225"/>
      <c r="AF19" s="225"/>
      <c r="AG19" s="656" t="s">
        <v>3117</v>
      </c>
      <c r="AH19" s="739"/>
      <c r="AI19" s="740" t="s">
        <v>3118</v>
      </c>
      <c r="AJ19" s="742" t="s">
        <v>1460</v>
      </c>
      <c r="AK19" s="739"/>
      <c r="AL19" s="741">
        <f>14500000/1000</f>
        <v>14500</v>
      </c>
      <c r="AM19" s="243"/>
      <c r="AN19" s="236" t="s">
        <v>536</v>
      </c>
      <c r="AO19" s="236" t="s">
        <v>536</v>
      </c>
      <c r="AP19" s="236" t="s">
        <v>536</v>
      </c>
      <c r="AQ19" s="236" t="s">
        <v>536</v>
      </c>
      <c r="AR19" s="236" t="s">
        <v>536</v>
      </c>
      <c r="AS19" s="236" t="s">
        <v>536</v>
      </c>
      <c r="AT19" s="236" t="s">
        <v>536</v>
      </c>
      <c r="AU19" s="236" t="s">
        <v>536</v>
      </c>
      <c r="AV19" s="236" t="s">
        <v>536</v>
      </c>
      <c r="AW19" s="236" t="s">
        <v>536</v>
      </c>
      <c r="AX19" s="236" t="s">
        <v>536</v>
      </c>
      <c r="AY19" s="236" t="s">
        <v>536</v>
      </c>
      <c r="AZ19" s="237" t="s">
        <v>3114</v>
      </c>
      <c r="BA19" s="658"/>
    </row>
    <row r="20" spans="1:53" ht="255" x14ac:dyDescent="0.25">
      <c r="A20" s="107"/>
      <c r="B20" s="645"/>
      <c r="C20" s="654"/>
      <c r="D20" s="213"/>
      <c r="E20" s="655"/>
      <c r="F20" s="648" t="s">
        <v>3103</v>
      </c>
      <c r="G20" s="649" t="s">
        <v>3104</v>
      </c>
      <c r="H20" s="650" t="s">
        <v>3105</v>
      </c>
      <c r="I20" s="651" t="s">
        <v>3106</v>
      </c>
      <c r="J20" s="734">
        <v>10</v>
      </c>
      <c r="K20" s="735" t="s">
        <v>526</v>
      </c>
      <c r="L20" s="736">
        <v>12</v>
      </c>
      <c r="M20" s="737">
        <v>6</v>
      </c>
      <c r="N20" s="225"/>
      <c r="O20" s="225"/>
      <c r="P20" s="652"/>
      <c r="Q20" s="225"/>
      <c r="R20" s="225"/>
      <c r="S20" s="225"/>
      <c r="T20" s="225"/>
      <c r="U20" s="738"/>
      <c r="V20" s="738"/>
      <c r="W20" s="738"/>
      <c r="X20" s="738"/>
      <c r="Y20" s="738"/>
      <c r="Z20" s="738"/>
      <c r="AA20" s="738"/>
      <c r="AB20" s="738"/>
      <c r="AC20" s="738"/>
      <c r="AD20" s="738"/>
      <c r="AE20" s="225"/>
      <c r="AF20" s="225"/>
      <c r="AG20" s="656" t="s">
        <v>3119</v>
      </c>
      <c r="AH20" s="739"/>
      <c r="AI20" s="740" t="s">
        <v>1556</v>
      </c>
      <c r="AJ20" s="739" t="s">
        <v>1551</v>
      </c>
      <c r="AK20" s="739"/>
      <c r="AL20" s="741">
        <v>60000</v>
      </c>
      <c r="AM20" s="243"/>
      <c r="AN20" s="236" t="s">
        <v>536</v>
      </c>
      <c r="AO20" s="236" t="s">
        <v>536</v>
      </c>
      <c r="AP20" s="236" t="s">
        <v>536</v>
      </c>
      <c r="AQ20" s="236" t="s">
        <v>536</v>
      </c>
      <c r="AR20" s="236" t="s">
        <v>536</v>
      </c>
      <c r="AS20" s="236" t="s">
        <v>536</v>
      </c>
      <c r="AT20" s="236" t="s">
        <v>536</v>
      </c>
      <c r="AU20" s="236" t="s">
        <v>536</v>
      </c>
      <c r="AV20" s="236" t="s">
        <v>536</v>
      </c>
      <c r="AW20" s="236" t="s">
        <v>536</v>
      </c>
      <c r="AX20" s="236" t="s">
        <v>536</v>
      </c>
      <c r="AY20" s="236" t="s">
        <v>536</v>
      </c>
      <c r="AZ20" s="237" t="s">
        <v>3114</v>
      </c>
      <c r="BA20" s="225"/>
    </row>
    <row r="21" spans="1:53" ht="255" x14ac:dyDescent="0.25">
      <c r="A21" s="107"/>
      <c r="B21" s="645"/>
      <c r="C21" s="654"/>
      <c r="D21" s="213"/>
      <c r="E21" s="655"/>
      <c r="F21" s="648" t="s">
        <v>3103</v>
      </c>
      <c r="G21" s="649" t="s">
        <v>3104</v>
      </c>
      <c r="H21" s="650" t="s">
        <v>3105</v>
      </c>
      <c r="I21" s="651" t="s">
        <v>3106</v>
      </c>
      <c r="J21" s="734">
        <v>10</v>
      </c>
      <c r="K21" s="735" t="s">
        <v>526</v>
      </c>
      <c r="L21" s="736">
        <v>12</v>
      </c>
      <c r="M21" s="737">
        <v>6</v>
      </c>
      <c r="N21" s="225"/>
      <c r="O21" s="225"/>
      <c r="P21" s="652"/>
      <c r="Q21" s="225"/>
      <c r="R21" s="225"/>
      <c r="S21" s="225"/>
      <c r="T21" s="225"/>
      <c r="U21" s="738"/>
      <c r="V21" s="738"/>
      <c r="W21" s="738"/>
      <c r="X21" s="738"/>
      <c r="Y21" s="738"/>
      <c r="Z21" s="738"/>
      <c r="AA21" s="738"/>
      <c r="AB21" s="738"/>
      <c r="AC21" s="738"/>
      <c r="AD21" s="738"/>
      <c r="AE21" s="225"/>
      <c r="AF21" s="225"/>
      <c r="AG21" s="656" t="s">
        <v>3120</v>
      </c>
      <c r="AH21" s="739"/>
      <c r="AI21" s="740" t="s">
        <v>3121</v>
      </c>
      <c r="AJ21" s="739" t="s">
        <v>1471</v>
      </c>
      <c r="AK21" s="739"/>
      <c r="AL21" s="741">
        <v>60000</v>
      </c>
      <c r="AM21" s="243"/>
      <c r="AN21" s="236" t="s">
        <v>536</v>
      </c>
      <c r="AO21" s="236" t="s">
        <v>536</v>
      </c>
      <c r="AP21" s="236" t="s">
        <v>536</v>
      </c>
      <c r="AQ21" s="236" t="s">
        <v>536</v>
      </c>
      <c r="AR21" s="236" t="s">
        <v>536</v>
      </c>
      <c r="AS21" s="236" t="s">
        <v>536</v>
      </c>
      <c r="AT21" s="236" t="s">
        <v>536</v>
      </c>
      <c r="AU21" s="236" t="s">
        <v>536</v>
      </c>
      <c r="AV21" s="236" t="s">
        <v>536</v>
      </c>
      <c r="AW21" s="236" t="s">
        <v>536</v>
      </c>
      <c r="AX21" s="236" t="s">
        <v>536</v>
      </c>
      <c r="AY21" s="236" t="s">
        <v>536</v>
      </c>
      <c r="AZ21" s="237" t="s">
        <v>3114</v>
      </c>
      <c r="BA21" s="225"/>
    </row>
    <row r="22" spans="1:53" ht="255" x14ac:dyDescent="0.25">
      <c r="A22" s="107"/>
      <c r="B22" s="645"/>
      <c r="C22" s="654"/>
      <c r="D22" s="213"/>
      <c r="E22" s="655"/>
      <c r="F22" s="648" t="s">
        <v>3103</v>
      </c>
      <c r="G22" s="649" t="s">
        <v>3104</v>
      </c>
      <c r="H22" s="650" t="s">
        <v>3105</v>
      </c>
      <c r="I22" s="651" t="s">
        <v>3106</v>
      </c>
      <c r="J22" s="734">
        <v>10</v>
      </c>
      <c r="K22" s="735" t="s">
        <v>526</v>
      </c>
      <c r="L22" s="736">
        <v>12</v>
      </c>
      <c r="M22" s="737">
        <v>6</v>
      </c>
      <c r="N22" s="225"/>
      <c r="O22" s="225"/>
      <c r="P22" s="652"/>
      <c r="Q22" s="225"/>
      <c r="R22" s="225"/>
      <c r="S22" s="225"/>
      <c r="T22" s="225"/>
      <c r="U22" s="738"/>
      <c r="V22" s="738"/>
      <c r="W22" s="738"/>
      <c r="X22" s="738"/>
      <c r="Y22" s="738"/>
      <c r="Z22" s="738"/>
      <c r="AA22" s="738"/>
      <c r="AB22" s="738"/>
      <c r="AC22" s="738"/>
      <c r="AD22" s="738"/>
      <c r="AE22" s="225"/>
      <c r="AF22" s="225"/>
      <c r="AG22" s="656" t="s">
        <v>3122</v>
      </c>
      <c r="AH22" s="743">
        <v>2018003190109</v>
      </c>
      <c r="AI22" s="740" t="s">
        <v>3123</v>
      </c>
      <c r="AJ22" s="739" t="s">
        <v>1539</v>
      </c>
      <c r="AK22" s="739"/>
      <c r="AL22" s="741">
        <f>51240625/1000</f>
        <v>51240.625</v>
      </c>
      <c r="AM22" s="243"/>
      <c r="AN22" s="236" t="s">
        <v>536</v>
      </c>
      <c r="AO22" s="236" t="s">
        <v>536</v>
      </c>
      <c r="AP22" s="236" t="s">
        <v>536</v>
      </c>
      <c r="AQ22" s="236" t="s">
        <v>536</v>
      </c>
      <c r="AR22" s="236" t="s">
        <v>536</v>
      </c>
      <c r="AS22" s="236" t="s">
        <v>536</v>
      </c>
      <c r="AT22" s="236" t="s">
        <v>536</v>
      </c>
      <c r="AU22" s="236" t="s">
        <v>536</v>
      </c>
      <c r="AV22" s="236" t="s">
        <v>536</v>
      </c>
      <c r="AW22" s="236" t="s">
        <v>536</v>
      </c>
      <c r="AX22" s="236" t="s">
        <v>536</v>
      </c>
      <c r="AY22" s="236" t="s">
        <v>536</v>
      </c>
      <c r="AZ22" s="237" t="s">
        <v>3114</v>
      </c>
      <c r="BA22" s="225"/>
    </row>
    <row r="23" spans="1:53" ht="255" x14ac:dyDescent="0.25">
      <c r="A23" s="107"/>
      <c r="B23" s="645"/>
      <c r="C23" s="654"/>
      <c r="D23" s="213"/>
      <c r="E23" s="655"/>
      <c r="F23" s="648" t="s">
        <v>3103</v>
      </c>
      <c r="G23" s="649" t="s">
        <v>3104</v>
      </c>
      <c r="H23" s="650" t="s">
        <v>3105</v>
      </c>
      <c r="I23" s="651" t="s">
        <v>3106</v>
      </c>
      <c r="J23" s="734">
        <v>10</v>
      </c>
      <c r="K23" s="735" t="s">
        <v>526</v>
      </c>
      <c r="L23" s="736">
        <v>12</v>
      </c>
      <c r="M23" s="737">
        <v>6</v>
      </c>
      <c r="N23" s="225"/>
      <c r="O23" s="225"/>
      <c r="P23" s="652"/>
      <c r="Q23" s="225"/>
      <c r="R23" s="225"/>
      <c r="S23" s="225"/>
      <c r="T23" s="225"/>
      <c r="U23" s="738"/>
      <c r="V23" s="738"/>
      <c r="W23" s="738"/>
      <c r="X23" s="738"/>
      <c r="Y23" s="738"/>
      <c r="Z23" s="738"/>
      <c r="AA23" s="738"/>
      <c r="AB23" s="738"/>
      <c r="AC23" s="738"/>
      <c r="AD23" s="738"/>
      <c r="AE23" s="225"/>
      <c r="AF23" s="225"/>
      <c r="AG23" s="656" t="s">
        <v>3124</v>
      </c>
      <c r="AH23" s="739"/>
      <c r="AI23" s="740" t="s">
        <v>3125</v>
      </c>
      <c r="AJ23" s="739" t="s">
        <v>1560</v>
      </c>
      <c r="AK23" s="739"/>
      <c r="AL23" s="741">
        <v>60000</v>
      </c>
      <c r="AM23" s="243"/>
      <c r="AN23" s="236" t="s">
        <v>536</v>
      </c>
      <c r="AO23" s="236" t="s">
        <v>536</v>
      </c>
      <c r="AP23" s="236" t="s">
        <v>536</v>
      </c>
      <c r="AQ23" s="236" t="s">
        <v>536</v>
      </c>
      <c r="AR23" s="236" t="s">
        <v>536</v>
      </c>
      <c r="AS23" s="236" t="s">
        <v>536</v>
      </c>
      <c r="AT23" s="236" t="s">
        <v>536</v>
      </c>
      <c r="AU23" s="236" t="s">
        <v>536</v>
      </c>
      <c r="AV23" s="236" t="s">
        <v>536</v>
      </c>
      <c r="AW23" s="236" t="s">
        <v>536</v>
      </c>
      <c r="AX23" s="236" t="s">
        <v>536</v>
      </c>
      <c r="AY23" s="236" t="s">
        <v>536</v>
      </c>
      <c r="AZ23" s="237" t="s">
        <v>3114</v>
      </c>
      <c r="BA23" s="225"/>
    </row>
    <row r="24" spans="1:53" ht="255" x14ac:dyDescent="0.25">
      <c r="A24" s="200"/>
      <c r="B24" s="646"/>
      <c r="C24" s="654"/>
      <c r="D24" s="213"/>
      <c r="E24" s="655"/>
      <c r="F24" s="659" t="s">
        <v>3103</v>
      </c>
      <c r="G24" s="649" t="s">
        <v>3104</v>
      </c>
      <c r="H24" s="660" t="s">
        <v>3105</v>
      </c>
      <c r="I24" s="649" t="s">
        <v>3106</v>
      </c>
      <c r="J24" s="734">
        <v>10</v>
      </c>
      <c r="K24" s="735" t="s">
        <v>526</v>
      </c>
      <c r="L24" s="736">
        <v>12</v>
      </c>
      <c r="M24" s="737">
        <v>6</v>
      </c>
      <c r="N24" s="246"/>
      <c r="O24" s="246"/>
      <c r="P24" s="661"/>
      <c r="Q24" s="246"/>
      <c r="R24" s="246"/>
      <c r="S24" s="246"/>
      <c r="T24" s="246"/>
      <c r="U24" s="744"/>
      <c r="V24" s="744"/>
      <c r="W24" s="744"/>
      <c r="X24" s="744"/>
      <c r="Y24" s="744"/>
      <c r="Z24" s="744"/>
      <c r="AA24" s="744"/>
      <c r="AB24" s="744"/>
      <c r="AC24" s="744"/>
      <c r="AD24" s="744"/>
      <c r="AE24" s="246"/>
      <c r="AF24" s="246"/>
      <c r="AG24" s="656" t="s">
        <v>3126</v>
      </c>
      <c r="AH24" s="745"/>
      <c r="AI24" s="746" t="s">
        <v>3127</v>
      </c>
      <c r="AJ24" s="745" t="s">
        <v>1551</v>
      </c>
      <c r="AK24" s="745"/>
      <c r="AL24" s="741">
        <v>60000</v>
      </c>
      <c r="AM24" s="248"/>
      <c r="AN24" s="236" t="s">
        <v>536</v>
      </c>
      <c r="AO24" s="236" t="s">
        <v>536</v>
      </c>
      <c r="AP24" s="236" t="s">
        <v>536</v>
      </c>
      <c r="AQ24" s="236" t="s">
        <v>536</v>
      </c>
      <c r="AR24" s="236" t="s">
        <v>536</v>
      </c>
      <c r="AS24" s="236" t="s">
        <v>536</v>
      </c>
      <c r="AT24" s="236" t="s">
        <v>536</v>
      </c>
      <c r="AU24" s="236" t="s">
        <v>536</v>
      </c>
      <c r="AV24" s="236" t="s">
        <v>536</v>
      </c>
      <c r="AW24" s="236" t="s">
        <v>536</v>
      </c>
      <c r="AX24" s="236" t="s">
        <v>536</v>
      </c>
      <c r="AY24" s="236" t="s">
        <v>536</v>
      </c>
      <c r="AZ24" s="237" t="s">
        <v>3114</v>
      </c>
      <c r="BA24" s="246"/>
    </row>
    <row r="25" spans="1:53" ht="255" x14ac:dyDescent="0.25">
      <c r="A25" s="662"/>
      <c r="B25" s="659"/>
      <c r="C25" s="663"/>
      <c r="D25" s="663"/>
      <c r="E25" s="663"/>
      <c r="F25" s="103" t="s">
        <v>3103</v>
      </c>
      <c r="G25" s="649" t="s">
        <v>3104</v>
      </c>
      <c r="H25" s="651" t="s">
        <v>3105</v>
      </c>
      <c r="I25" s="649" t="s">
        <v>3106</v>
      </c>
      <c r="J25" s="734">
        <v>10</v>
      </c>
      <c r="K25" s="735" t="s">
        <v>526</v>
      </c>
      <c r="L25" s="736">
        <v>12</v>
      </c>
      <c r="M25" s="737">
        <v>6</v>
      </c>
      <c r="N25" s="225"/>
      <c r="O25" s="225"/>
      <c r="P25" s="652"/>
      <c r="Q25" s="747"/>
      <c r="R25" s="747"/>
      <c r="S25" s="747"/>
      <c r="T25" s="747"/>
      <c r="U25" s="738"/>
      <c r="V25" s="738"/>
      <c r="W25" s="738"/>
      <c r="X25" s="738"/>
      <c r="Y25" s="738"/>
      <c r="Z25" s="738"/>
      <c r="AA25" s="738"/>
      <c r="AB25" s="738"/>
      <c r="AC25" s="738"/>
      <c r="AD25" s="738"/>
      <c r="AE25" s="225"/>
      <c r="AF25" s="225"/>
      <c r="AG25" s="656" t="s">
        <v>3128</v>
      </c>
      <c r="AH25" s="739"/>
      <c r="AI25" s="740" t="s">
        <v>1694</v>
      </c>
      <c r="AJ25" s="739" t="s">
        <v>1471</v>
      </c>
      <c r="AK25" s="739"/>
      <c r="AL25" s="741">
        <v>974702</v>
      </c>
      <c r="AM25" s="243"/>
      <c r="AN25" s="236" t="s">
        <v>536</v>
      </c>
      <c r="AO25" s="236" t="s">
        <v>536</v>
      </c>
      <c r="AP25" s="236" t="s">
        <v>536</v>
      </c>
      <c r="AQ25" s="236" t="s">
        <v>536</v>
      </c>
      <c r="AR25" s="236" t="s">
        <v>536</v>
      </c>
      <c r="AS25" s="236" t="s">
        <v>536</v>
      </c>
      <c r="AT25" s="236" t="s">
        <v>536</v>
      </c>
      <c r="AU25" s="236" t="s">
        <v>536</v>
      </c>
      <c r="AV25" s="236" t="s">
        <v>536</v>
      </c>
      <c r="AW25" s="236" t="s">
        <v>536</v>
      </c>
      <c r="AX25" s="236" t="s">
        <v>536</v>
      </c>
      <c r="AY25" s="236" t="s">
        <v>536</v>
      </c>
      <c r="AZ25" s="237" t="s">
        <v>3114</v>
      </c>
      <c r="BA25" s="225"/>
    </row>
    <row r="26" spans="1:53" ht="255" x14ac:dyDescent="0.25">
      <c r="A26" s="662"/>
      <c r="B26" s="659"/>
      <c r="C26" s="663"/>
      <c r="D26" s="663"/>
      <c r="E26" s="663"/>
      <c r="F26" s="103" t="s">
        <v>3103</v>
      </c>
      <c r="G26" s="649" t="s">
        <v>3104</v>
      </c>
      <c r="H26" s="651" t="s">
        <v>3105</v>
      </c>
      <c r="I26" s="649" t="s">
        <v>3106</v>
      </c>
      <c r="J26" s="734">
        <v>10</v>
      </c>
      <c r="K26" s="735" t="s">
        <v>526</v>
      </c>
      <c r="L26" s="736">
        <v>12</v>
      </c>
      <c r="M26" s="737">
        <v>6</v>
      </c>
      <c r="N26" s="225"/>
      <c r="O26" s="225"/>
      <c r="P26" s="652"/>
      <c r="Q26" s="747"/>
      <c r="R26" s="747"/>
      <c r="S26" s="747"/>
      <c r="T26" s="747"/>
      <c r="U26" s="738"/>
      <c r="V26" s="738"/>
      <c r="W26" s="738"/>
      <c r="X26" s="738"/>
      <c r="Y26" s="738"/>
      <c r="Z26" s="738"/>
      <c r="AA26" s="738"/>
      <c r="AB26" s="738"/>
      <c r="AC26" s="738"/>
      <c r="AD26" s="738"/>
      <c r="AE26" s="225"/>
      <c r="AF26" s="225"/>
      <c r="AG26" s="656" t="s">
        <v>3129</v>
      </c>
      <c r="AH26" s="739"/>
      <c r="AI26" s="740" t="s">
        <v>1524</v>
      </c>
      <c r="AJ26" s="739" t="s">
        <v>1471</v>
      </c>
      <c r="AK26" s="739"/>
      <c r="AL26" s="741">
        <v>800000</v>
      </c>
      <c r="AM26" s="243"/>
      <c r="AN26" s="236" t="s">
        <v>536</v>
      </c>
      <c r="AO26" s="236" t="s">
        <v>536</v>
      </c>
      <c r="AP26" s="236" t="s">
        <v>536</v>
      </c>
      <c r="AQ26" s="236" t="s">
        <v>536</v>
      </c>
      <c r="AR26" s="236" t="s">
        <v>536</v>
      </c>
      <c r="AS26" s="236" t="s">
        <v>536</v>
      </c>
      <c r="AT26" s="236" t="s">
        <v>536</v>
      </c>
      <c r="AU26" s="236" t="s">
        <v>536</v>
      </c>
      <c r="AV26" s="236" t="s">
        <v>536</v>
      </c>
      <c r="AW26" s="236" t="s">
        <v>536</v>
      </c>
      <c r="AX26" s="236" t="s">
        <v>536</v>
      </c>
      <c r="AY26" s="236" t="s">
        <v>536</v>
      </c>
      <c r="AZ26" s="237" t="s">
        <v>3114</v>
      </c>
      <c r="BA26" s="225"/>
    </row>
    <row r="27" spans="1:53" ht="255" x14ac:dyDescent="0.25">
      <c r="A27" s="662"/>
      <c r="B27" s="659"/>
      <c r="C27" s="663"/>
      <c r="D27" s="663"/>
      <c r="E27" s="663"/>
      <c r="F27" s="103" t="s">
        <v>3103</v>
      </c>
      <c r="G27" s="649" t="s">
        <v>3104</v>
      </c>
      <c r="H27" s="651" t="s">
        <v>3105</v>
      </c>
      <c r="I27" s="649" t="s">
        <v>3106</v>
      </c>
      <c r="J27" s="734">
        <v>10</v>
      </c>
      <c r="K27" s="735" t="s">
        <v>526</v>
      </c>
      <c r="L27" s="736">
        <v>12</v>
      </c>
      <c r="M27" s="737">
        <v>6</v>
      </c>
      <c r="N27" s="225"/>
      <c r="O27" s="225"/>
      <c r="P27" s="652"/>
      <c r="Q27" s="747"/>
      <c r="R27" s="747"/>
      <c r="S27" s="747"/>
      <c r="T27" s="747"/>
      <c r="U27" s="738"/>
      <c r="V27" s="738"/>
      <c r="W27" s="738"/>
      <c r="X27" s="738"/>
      <c r="Y27" s="738"/>
      <c r="Z27" s="738"/>
      <c r="AA27" s="738"/>
      <c r="AB27" s="738"/>
      <c r="AC27" s="738"/>
      <c r="AD27" s="738"/>
      <c r="AE27" s="225"/>
      <c r="AF27" s="225"/>
      <c r="AG27" s="656" t="s">
        <v>3130</v>
      </c>
      <c r="AH27" s="739"/>
      <c r="AI27" s="740" t="s">
        <v>3131</v>
      </c>
      <c r="AJ27" s="739" t="s">
        <v>1560</v>
      </c>
      <c r="AK27" s="739"/>
      <c r="AL27" s="741">
        <v>60000</v>
      </c>
      <c r="AM27" s="243"/>
      <c r="AN27" s="236" t="s">
        <v>536</v>
      </c>
      <c r="AO27" s="236" t="s">
        <v>536</v>
      </c>
      <c r="AP27" s="236" t="s">
        <v>536</v>
      </c>
      <c r="AQ27" s="236" t="s">
        <v>536</v>
      </c>
      <c r="AR27" s="236" t="s">
        <v>536</v>
      </c>
      <c r="AS27" s="236" t="s">
        <v>536</v>
      </c>
      <c r="AT27" s="236" t="s">
        <v>536</v>
      </c>
      <c r="AU27" s="236" t="s">
        <v>536</v>
      </c>
      <c r="AV27" s="236" t="s">
        <v>536</v>
      </c>
      <c r="AW27" s="236" t="s">
        <v>536</v>
      </c>
      <c r="AX27" s="236" t="s">
        <v>536</v>
      </c>
      <c r="AY27" s="236" t="s">
        <v>536</v>
      </c>
      <c r="AZ27" s="237" t="s">
        <v>3114</v>
      </c>
      <c r="BA27" s="225"/>
    </row>
    <row r="28" spans="1:53" ht="255" x14ac:dyDescent="0.25">
      <c r="A28" s="662"/>
      <c r="B28" s="659"/>
      <c r="C28" s="663"/>
      <c r="D28" s="663"/>
      <c r="E28" s="663"/>
      <c r="F28" s="103" t="s">
        <v>3103</v>
      </c>
      <c r="G28" s="649" t="s">
        <v>3104</v>
      </c>
      <c r="H28" s="651" t="s">
        <v>3105</v>
      </c>
      <c r="I28" s="649" t="s">
        <v>3106</v>
      </c>
      <c r="J28" s="734">
        <v>10</v>
      </c>
      <c r="K28" s="735" t="s">
        <v>526</v>
      </c>
      <c r="L28" s="736">
        <v>12</v>
      </c>
      <c r="M28" s="737">
        <v>6</v>
      </c>
      <c r="N28" s="225"/>
      <c r="O28" s="225"/>
      <c r="P28" s="652"/>
      <c r="Q28" s="747"/>
      <c r="R28" s="747"/>
      <c r="S28" s="747"/>
      <c r="T28" s="747"/>
      <c r="U28" s="738"/>
      <c r="V28" s="738"/>
      <c r="W28" s="738"/>
      <c r="X28" s="738"/>
      <c r="Y28" s="738"/>
      <c r="Z28" s="738"/>
      <c r="AA28" s="738"/>
      <c r="AB28" s="738"/>
      <c r="AC28" s="738"/>
      <c r="AD28" s="738"/>
      <c r="AE28" s="225"/>
      <c r="AF28" s="225"/>
      <c r="AG28" s="656" t="s">
        <v>3132</v>
      </c>
      <c r="AH28" s="739"/>
      <c r="AI28" s="740" t="s">
        <v>3133</v>
      </c>
      <c r="AJ28" s="739" t="s">
        <v>1560</v>
      </c>
      <c r="AK28" s="739"/>
      <c r="AL28" s="741">
        <v>60000</v>
      </c>
      <c r="AM28" s="243"/>
      <c r="AN28" s="236" t="s">
        <v>536</v>
      </c>
      <c r="AO28" s="236" t="s">
        <v>536</v>
      </c>
      <c r="AP28" s="236" t="s">
        <v>536</v>
      </c>
      <c r="AQ28" s="236" t="s">
        <v>536</v>
      </c>
      <c r="AR28" s="236" t="s">
        <v>536</v>
      </c>
      <c r="AS28" s="236" t="s">
        <v>536</v>
      </c>
      <c r="AT28" s="236" t="s">
        <v>536</v>
      </c>
      <c r="AU28" s="236" t="s">
        <v>536</v>
      </c>
      <c r="AV28" s="236" t="s">
        <v>536</v>
      </c>
      <c r="AW28" s="236" t="s">
        <v>536</v>
      </c>
      <c r="AX28" s="236" t="s">
        <v>536</v>
      </c>
      <c r="AY28" s="236" t="s">
        <v>536</v>
      </c>
      <c r="AZ28" s="237" t="s">
        <v>3114</v>
      </c>
      <c r="BA28" s="225"/>
    </row>
    <row r="29" spans="1:53" x14ac:dyDescent="0.25">
      <c r="A29" s="664"/>
      <c r="B29" s="665"/>
      <c r="C29" s="665"/>
      <c r="D29" s="665"/>
      <c r="E29" s="665"/>
      <c r="F29" s="665"/>
      <c r="G29" s="666"/>
      <c r="H29" s="666"/>
      <c r="I29" s="666"/>
      <c r="J29" s="748"/>
      <c r="K29" s="748"/>
      <c r="L29" s="749"/>
      <c r="M29" s="750"/>
      <c r="N29" s="751"/>
      <c r="O29" s="751"/>
      <c r="P29" s="667"/>
      <c r="Q29" s="751"/>
      <c r="R29" s="751"/>
      <c r="S29" s="751"/>
      <c r="T29" s="751"/>
      <c r="U29" s="752"/>
      <c r="V29" s="752"/>
      <c r="W29" s="752"/>
      <c r="X29" s="752"/>
      <c r="Y29" s="752"/>
      <c r="Z29" s="752"/>
      <c r="AA29" s="752"/>
      <c r="AB29" s="752"/>
      <c r="AC29" s="752"/>
      <c r="AD29" s="752"/>
      <c r="AE29" s="751"/>
      <c r="AF29" s="751"/>
      <c r="AG29" s="753"/>
      <c r="AH29" s="754"/>
      <c r="AI29" s="755"/>
      <c r="AJ29" s="754"/>
      <c r="AK29" s="754"/>
      <c r="AL29" s="756"/>
      <c r="AM29" s="751"/>
      <c r="AN29" s="751"/>
      <c r="AO29" s="751"/>
      <c r="AP29" s="751"/>
      <c r="AQ29" s="751"/>
      <c r="AR29" s="751"/>
      <c r="AS29" s="751"/>
      <c r="AT29" s="751"/>
      <c r="AU29" s="751"/>
      <c r="AV29" s="751"/>
      <c r="AW29" s="751"/>
      <c r="AX29" s="751"/>
      <c r="AY29" s="751"/>
      <c r="AZ29" s="751"/>
      <c r="BA29" s="751"/>
    </row>
    <row r="30" spans="1:53" ht="255" x14ac:dyDescent="0.25">
      <c r="A30" s="202" t="s">
        <v>1245</v>
      </c>
      <c r="B30" s="668" t="s">
        <v>3099</v>
      </c>
      <c r="C30" s="654" t="s">
        <v>3100</v>
      </c>
      <c r="D30" s="213" t="s">
        <v>3101</v>
      </c>
      <c r="E30" s="655" t="s">
        <v>3102</v>
      </c>
      <c r="F30" s="669" t="s">
        <v>3103</v>
      </c>
      <c r="G30" s="649" t="s">
        <v>3104</v>
      </c>
      <c r="H30" s="670" t="s">
        <v>3134</v>
      </c>
      <c r="I30" s="670" t="s">
        <v>3135</v>
      </c>
      <c r="J30" s="757">
        <v>11</v>
      </c>
      <c r="K30" s="758" t="s">
        <v>526</v>
      </c>
      <c r="L30" s="759">
        <v>10</v>
      </c>
      <c r="M30" s="760">
        <v>5</v>
      </c>
      <c r="N30" s="266"/>
      <c r="O30" s="266"/>
      <c r="P30" s="671">
        <v>23056491</v>
      </c>
      <c r="Q30" s="266"/>
      <c r="R30" s="266"/>
      <c r="S30" s="266"/>
      <c r="T30" s="266"/>
      <c r="U30" s="761"/>
      <c r="V30" s="761"/>
      <c r="W30" s="761"/>
      <c r="X30" s="761"/>
      <c r="Y30" s="761"/>
      <c r="Z30" s="761"/>
      <c r="AA30" s="761"/>
      <c r="AB30" s="761"/>
      <c r="AC30" s="761"/>
      <c r="AD30" s="761"/>
      <c r="AE30" s="266"/>
      <c r="AF30" s="266"/>
      <c r="AG30" s="653" t="s">
        <v>3136</v>
      </c>
      <c r="AH30" s="762"/>
      <c r="AI30" s="763" t="s">
        <v>3133</v>
      </c>
      <c r="AJ30" s="762" t="s">
        <v>1560</v>
      </c>
      <c r="AK30" s="762">
        <v>3570</v>
      </c>
      <c r="AL30" s="741">
        <v>6409487</v>
      </c>
      <c r="AM30" s="672" t="s">
        <v>3137</v>
      </c>
      <c r="AN30" s="236" t="s">
        <v>536</v>
      </c>
      <c r="AO30" s="236" t="s">
        <v>536</v>
      </c>
      <c r="AP30" s="236" t="s">
        <v>536</v>
      </c>
      <c r="AQ30" s="236" t="s">
        <v>536</v>
      </c>
      <c r="AR30" s="236" t="s">
        <v>536</v>
      </c>
      <c r="AS30" s="236" t="s">
        <v>536</v>
      </c>
      <c r="AT30" s="236" t="s">
        <v>536</v>
      </c>
      <c r="AU30" s="236" t="s">
        <v>536</v>
      </c>
      <c r="AV30" s="236" t="s">
        <v>536</v>
      </c>
      <c r="AW30" s="236" t="s">
        <v>536</v>
      </c>
      <c r="AX30" s="236" t="s">
        <v>536</v>
      </c>
      <c r="AY30" s="236" t="s">
        <v>536</v>
      </c>
      <c r="AZ30" s="237" t="s">
        <v>3114</v>
      </c>
      <c r="BA30" s="266"/>
    </row>
    <row r="31" spans="1:53" ht="255" x14ac:dyDescent="0.25">
      <c r="A31" s="202"/>
      <c r="B31" s="668"/>
      <c r="C31" s="654"/>
      <c r="D31" s="213"/>
      <c r="E31" s="655"/>
      <c r="F31" s="669" t="s">
        <v>3103</v>
      </c>
      <c r="G31" s="649" t="s">
        <v>3104</v>
      </c>
      <c r="H31" s="670" t="s">
        <v>3134</v>
      </c>
      <c r="I31" s="670" t="s">
        <v>3135</v>
      </c>
      <c r="J31" s="757">
        <v>11</v>
      </c>
      <c r="K31" s="758" t="s">
        <v>526</v>
      </c>
      <c r="L31" s="759">
        <v>10</v>
      </c>
      <c r="M31" s="760">
        <v>5</v>
      </c>
      <c r="N31" s="266"/>
      <c r="O31" s="266"/>
      <c r="P31" s="671"/>
      <c r="Q31" s="266"/>
      <c r="R31" s="266"/>
      <c r="S31" s="266"/>
      <c r="T31" s="266"/>
      <c r="U31" s="761"/>
      <c r="V31" s="761"/>
      <c r="W31" s="761"/>
      <c r="X31" s="761"/>
      <c r="Y31" s="761"/>
      <c r="Z31" s="761"/>
      <c r="AA31" s="761"/>
      <c r="AB31" s="761"/>
      <c r="AC31" s="761"/>
      <c r="AD31" s="761"/>
      <c r="AE31" s="266"/>
      <c r="AF31" s="266"/>
      <c r="AG31" s="653" t="s">
        <v>3138</v>
      </c>
      <c r="AH31" s="762"/>
      <c r="AI31" s="763" t="s">
        <v>3131</v>
      </c>
      <c r="AJ31" s="762" t="s">
        <v>1560</v>
      </c>
      <c r="AK31" s="762"/>
      <c r="AL31" s="741">
        <v>2682372</v>
      </c>
      <c r="AM31" s="764"/>
      <c r="AN31" s="236" t="s">
        <v>536</v>
      </c>
      <c r="AO31" s="236" t="s">
        <v>536</v>
      </c>
      <c r="AP31" s="236" t="s">
        <v>536</v>
      </c>
      <c r="AQ31" s="236" t="s">
        <v>536</v>
      </c>
      <c r="AR31" s="236" t="s">
        <v>536</v>
      </c>
      <c r="AS31" s="236" t="s">
        <v>536</v>
      </c>
      <c r="AT31" s="236" t="s">
        <v>536</v>
      </c>
      <c r="AU31" s="236" t="s">
        <v>536</v>
      </c>
      <c r="AV31" s="236" t="s">
        <v>536</v>
      </c>
      <c r="AW31" s="236" t="s">
        <v>536</v>
      </c>
      <c r="AX31" s="236" t="s">
        <v>536</v>
      </c>
      <c r="AY31" s="236" t="s">
        <v>536</v>
      </c>
      <c r="AZ31" s="237" t="s">
        <v>3114</v>
      </c>
      <c r="BA31" s="266"/>
    </row>
    <row r="32" spans="1:53" ht="255" x14ac:dyDescent="0.25">
      <c r="A32" s="202"/>
      <c r="B32" s="668"/>
      <c r="C32" s="654"/>
      <c r="D32" s="213"/>
      <c r="E32" s="655"/>
      <c r="F32" s="669" t="s">
        <v>3103</v>
      </c>
      <c r="G32" s="649" t="s">
        <v>3104</v>
      </c>
      <c r="H32" s="670" t="s">
        <v>3134</v>
      </c>
      <c r="I32" s="670" t="s">
        <v>3135</v>
      </c>
      <c r="J32" s="757">
        <v>11</v>
      </c>
      <c r="K32" s="758" t="s">
        <v>526</v>
      </c>
      <c r="L32" s="759">
        <v>10</v>
      </c>
      <c r="M32" s="760">
        <v>5</v>
      </c>
      <c r="N32" s="266"/>
      <c r="O32" s="266"/>
      <c r="P32" s="671"/>
      <c r="Q32" s="266"/>
      <c r="R32" s="266"/>
      <c r="S32" s="266"/>
      <c r="T32" s="266"/>
      <c r="U32" s="761"/>
      <c r="V32" s="761"/>
      <c r="W32" s="761"/>
      <c r="X32" s="761"/>
      <c r="Y32" s="761"/>
      <c r="Z32" s="761"/>
      <c r="AA32" s="761"/>
      <c r="AB32" s="761"/>
      <c r="AC32" s="761"/>
      <c r="AD32" s="761"/>
      <c r="AE32" s="266"/>
      <c r="AF32" s="266"/>
      <c r="AG32" s="653" t="s">
        <v>3139</v>
      </c>
      <c r="AH32" s="762"/>
      <c r="AI32" s="763" t="s">
        <v>3140</v>
      </c>
      <c r="AJ32" s="762" t="s">
        <v>1560</v>
      </c>
      <c r="AK32" s="762">
        <v>5669</v>
      </c>
      <c r="AL32" s="741">
        <v>3088986</v>
      </c>
      <c r="AM32" s="672" t="s">
        <v>3141</v>
      </c>
      <c r="AN32" s="236" t="s">
        <v>536</v>
      </c>
      <c r="AO32" s="236" t="s">
        <v>536</v>
      </c>
      <c r="AP32" s="236" t="s">
        <v>536</v>
      </c>
      <c r="AQ32" s="236" t="s">
        <v>536</v>
      </c>
      <c r="AR32" s="236" t="s">
        <v>536</v>
      </c>
      <c r="AS32" s="236" t="s">
        <v>536</v>
      </c>
      <c r="AT32" s="236" t="s">
        <v>536</v>
      </c>
      <c r="AU32" s="236" t="s">
        <v>536</v>
      </c>
      <c r="AV32" s="236" t="s">
        <v>536</v>
      </c>
      <c r="AW32" s="236" t="s">
        <v>536</v>
      </c>
      <c r="AX32" s="236" t="s">
        <v>536</v>
      </c>
      <c r="AY32" s="236" t="s">
        <v>536</v>
      </c>
      <c r="AZ32" s="237" t="s">
        <v>3114</v>
      </c>
      <c r="BA32" s="266"/>
    </row>
    <row r="33" spans="1:53" ht="255" x14ac:dyDescent="0.25">
      <c r="A33" s="202"/>
      <c r="B33" s="668"/>
      <c r="C33" s="654"/>
      <c r="D33" s="213"/>
      <c r="E33" s="655"/>
      <c r="F33" s="669" t="s">
        <v>3103</v>
      </c>
      <c r="G33" s="649" t="s">
        <v>3104</v>
      </c>
      <c r="H33" s="670" t="s">
        <v>3134</v>
      </c>
      <c r="I33" s="670" t="s">
        <v>3135</v>
      </c>
      <c r="J33" s="757">
        <v>11</v>
      </c>
      <c r="K33" s="758" t="s">
        <v>526</v>
      </c>
      <c r="L33" s="759">
        <v>10</v>
      </c>
      <c r="M33" s="760">
        <v>5</v>
      </c>
      <c r="N33" s="266"/>
      <c r="O33" s="266"/>
      <c r="P33" s="671"/>
      <c r="Q33" s="266"/>
      <c r="R33" s="266"/>
      <c r="S33" s="266"/>
      <c r="T33" s="266"/>
      <c r="U33" s="761"/>
      <c r="V33" s="761"/>
      <c r="W33" s="761"/>
      <c r="X33" s="761"/>
      <c r="Y33" s="761"/>
      <c r="Z33" s="761"/>
      <c r="AA33" s="761"/>
      <c r="AB33" s="761"/>
      <c r="AC33" s="761"/>
      <c r="AD33" s="761"/>
      <c r="AE33" s="266"/>
      <c r="AF33" s="266"/>
      <c r="AG33" s="673" t="s">
        <v>3142</v>
      </c>
      <c r="AH33" s="762"/>
      <c r="AI33" s="763" t="s">
        <v>1524</v>
      </c>
      <c r="AJ33" s="762" t="s">
        <v>1471</v>
      </c>
      <c r="AK33" s="762"/>
      <c r="AL33" s="741">
        <v>4134325</v>
      </c>
      <c r="AM33" s="764"/>
      <c r="AN33" s="236" t="s">
        <v>536</v>
      </c>
      <c r="AO33" s="236" t="s">
        <v>536</v>
      </c>
      <c r="AP33" s="236" t="s">
        <v>536</v>
      </c>
      <c r="AQ33" s="236" t="s">
        <v>536</v>
      </c>
      <c r="AR33" s="236" t="s">
        <v>536</v>
      </c>
      <c r="AS33" s="236" t="s">
        <v>536</v>
      </c>
      <c r="AT33" s="236" t="s">
        <v>536</v>
      </c>
      <c r="AU33" s="236" t="s">
        <v>536</v>
      </c>
      <c r="AV33" s="236" t="s">
        <v>536</v>
      </c>
      <c r="AW33" s="236" t="s">
        <v>536</v>
      </c>
      <c r="AX33" s="236" t="s">
        <v>536</v>
      </c>
      <c r="AY33" s="236" t="s">
        <v>536</v>
      </c>
      <c r="AZ33" s="237" t="s">
        <v>3114</v>
      </c>
      <c r="BA33" s="266"/>
    </row>
    <row r="34" spans="1:53" ht="255" x14ac:dyDescent="0.25">
      <c r="A34" s="202"/>
      <c r="B34" s="668"/>
      <c r="C34" s="654"/>
      <c r="D34" s="213"/>
      <c r="E34" s="655"/>
      <c r="F34" s="669" t="s">
        <v>3103</v>
      </c>
      <c r="G34" s="649" t="s">
        <v>3104</v>
      </c>
      <c r="H34" s="670" t="s">
        <v>3134</v>
      </c>
      <c r="I34" s="670" t="s">
        <v>3135</v>
      </c>
      <c r="J34" s="757">
        <v>11</v>
      </c>
      <c r="K34" s="758" t="s">
        <v>526</v>
      </c>
      <c r="L34" s="759">
        <v>10</v>
      </c>
      <c r="M34" s="760">
        <v>5</v>
      </c>
      <c r="N34" s="266"/>
      <c r="O34" s="266"/>
      <c r="P34" s="671"/>
      <c r="Q34" s="266"/>
      <c r="R34" s="266"/>
      <c r="S34" s="266"/>
      <c r="T34" s="266"/>
      <c r="U34" s="761"/>
      <c r="V34" s="761"/>
      <c r="W34" s="761"/>
      <c r="X34" s="761"/>
      <c r="Y34" s="761"/>
      <c r="Z34" s="761"/>
      <c r="AA34" s="761"/>
      <c r="AB34" s="761"/>
      <c r="AC34" s="761"/>
      <c r="AD34" s="761"/>
      <c r="AE34" s="266"/>
      <c r="AF34" s="266"/>
      <c r="AG34" s="653" t="s">
        <v>3143</v>
      </c>
      <c r="AH34" s="762"/>
      <c r="AI34" s="763" t="s">
        <v>3144</v>
      </c>
      <c r="AJ34" s="762" t="s">
        <v>1560</v>
      </c>
      <c r="AK34" s="762">
        <v>1706</v>
      </c>
      <c r="AL34" s="741">
        <v>677317</v>
      </c>
      <c r="AM34" s="764"/>
      <c r="AN34" s="236" t="s">
        <v>536</v>
      </c>
      <c r="AO34" s="236" t="s">
        <v>536</v>
      </c>
      <c r="AP34" s="236" t="s">
        <v>536</v>
      </c>
      <c r="AQ34" s="236" t="s">
        <v>536</v>
      </c>
      <c r="AR34" s="236" t="s">
        <v>536</v>
      </c>
      <c r="AS34" s="236" t="s">
        <v>536</v>
      </c>
      <c r="AT34" s="236" t="s">
        <v>536</v>
      </c>
      <c r="AU34" s="236" t="s">
        <v>536</v>
      </c>
      <c r="AV34" s="236" t="s">
        <v>536</v>
      </c>
      <c r="AW34" s="236" t="s">
        <v>536</v>
      </c>
      <c r="AX34" s="236" t="s">
        <v>536</v>
      </c>
      <c r="AY34" s="236" t="s">
        <v>536</v>
      </c>
      <c r="AZ34" s="237" t="s">
        <v>3114</v>
      </c>
      <c r="BA34" s="266"/>
    </row>
    <row r="35" spans="1:53" ht="255" x14ac:dyDescent="0.25">
      <c r="A35" s="202"/>
      <c r="B35" s="668"/>
      <c r="C35" s="654"/>
      <c r="D35" s="213"/>
      <c r="E35" s="655"/>
      <c r="F35" s="669" t="s">
        <v>3103</v>
      </c>
      <c r="G35" s="649" t="s">
        <v>3104</v>
      </c>
      <c r="H35" s="670" t="s">
        <v>3134</v>
      </c>
      <c r="I35" s="670" t="s">
        <v>3135</v>
      </c>
      <c r="J35" s="757">
        <v>11</v>
      </c>
      <c r="K35" s="758" t="s">
        <v>526</v>
      </c>
      <c r="L35" s="759">
        <v>10</v>
      </c>
      <c r="M35" s="760">
        <v>5</v>
      </c>
      <c r="N35" s="266"/>
      <c r="O35" s="266"/>
      <c r="P35" s="671"/>
      <c r="Q35" s="266"/>
      <c r="R35" s="266"/>
      <c r="S35" s="266"/>
      <c r="T35" s="266"/>
      <c r="U35" s="761"/>
      <c r="V35" s="761"/>
      <c r="W35" s="761"/>
      <c r="X35" s="761"/>
      <c r="Y35" s="761"/>
      <c r="Z35" s="761"/>
      <c r="AA35" s="761"/>
      <c r="AB35" s="761"/>
      <c r="AC35" s="761"/>
      <c r="AD35" s="761"/>
      <c r="AE35" s="266"/>
      <c r="AF35" s="266"/>
      <c r="AG35" s="653" t="s">
        <v>3145</v>
      </c>
      <c r="AH35" s="762"/>
      <c r="AI35" s="763" t="s">
        <v>1690</v>
      </c>
      <c r="AJ35" s="762" t="s">
        <v>1551</v>
      </c>
      <c r="AK35" s="762">
        <v>1782</v>
      </c>
      <c r="AL35" s="741">
        <v>823735</v>
      </c>
      <c r="AM35" s="764"/>
      <c r="AN35" s="236" t="s">
        <v>536</v>
      </c>
      <c r="AO35" s="236" t="s">
        <v>536</v>
      </c>
      <c r="AP35" s="236" t="s">
        <v>536</v>
      </c>
      <c r="AQ35" s="236" t="s">
        <v>536</v>
      </c>
      <c r="AR35" s="236" t="s">
        <v>536</v>
      </c>
      <c r="AS35" s="236" t="s">
        <v>536</v>
      </c>
      <c r="AT35" s="236" t="s">
        <v>536</v>
      </c>
      <c r="AU35" s="236" t="s">
        <v>536</v>
      </c>
      <c r="AV35" s="236" t="s">
        <v>536</v>
      </c>
      <c r="AW35" s="236" t="s">
        <v>536</v>
      </c>
      <c r="AX35" s="236" t="s">
        <v>536</v>
      </c>
      <c r="AY35" s="236" t="s">
        <v>536</v>
      </c>
      <c r="AZ35" s="237" t="s">
        <v>3114</v>
      </c>
      <c r="BA35" s="266"/>
    </row>
    <row r="36" spans="1:53" ht="255" x14ac:dyDescent="0.25">
      <c r="A36" s="202"/>
      <c r="B36" s="668"/>
      <c r="C36" s="654"/>
      <c r="D36" s="213"/>
      <c r="E36" s="655"/>
      <c r="F36" s="669" t="s">
        <v>3103</v>
      </c>
      <c r="G36" s="649" t="s">
        <v>3104</v>
      </c>
      <c r="H36" s="670" t="s">
        <v>3134</v>
      </c>
      <c r="I36" s="670" t="s">
        <v>3135</v>
      </c>
      <c r="J36" s="757">
        <v>11</v>
      </c>
      <c r="K36" s="758" t="s">
        <v>526</v>
      </c>
      <c r="L36" s="759">
        <v>10</v>
      </c>
      <c r="M36" s="760">
        <v>5</v>
      </c>
      <c r="N36" s="266"/>
      <c r="O36" s="266"/>
      <c r="P36" s="671"/>
      <c r="Q36" s="266"/>
      <c r="R36" s="266"/>
      <c r="S36" s="266"/>
      <c r="T36" s="266"/>
      <c r="U36" s="761"/>
      <c r="V36" s="761"/>
      <c r="W36" s="761"/>
      <c r="X36" s="761"/>
      <c r="Y36" s="761"/>
      <c r="Z36" s="761"/>
      <c r="AA36" s="761"/>
      <c r="AB36" s="761"/>
      <c r="AC36" s="761"/>
      <c r="AD36" s="761"/>
      <c r="AE36" s="266"/>
      <c r="AF36" s="266"/>
      <c r="AG36" s="653" t="s">
        <v>3146</v>
      </c>
      <c r="AH36" s="762"/>
      <c r="AI36" s="763" t="s">
        <v>3144</v>
      </c>
      <c r="AJ36" s="762" t="s">
        <v>1560</v>
      </c>
      <c r="AK36" s="762">
        <v>1032</v>
      </c>
      <c r="AL36" s="741">
        <v>1278000</v>
      </c>
      <c r="AM36" s="764"/>
      <c r="AN36" s="236" t="s">
        <v>536</v>
      </c>
      <c r="AO36" s="236" t="s">
        <v>536</v>
      </c>
      <c r="AP36" s="236" t="s">
        <v>536</v>
      </c>
      <c r="AQ36" s="236" t="s">
        <v>536</v>
      </c>
      <c r="AR36" s="236" t="s">
        <v>536</v>
      </c>
      <c r="AS36" s="236" t="s">
        <v>536</v>
      </c>
      <c r="AT36" s="236" t="s">
        <v>536</v>
      </c>
      <c r="AU36" s="236" t="s">
        <v>536</v>
      </c>
      <c r="AV36" s="236" t="s">
        <v>536</v>
      </c>
      <c r="AW36" s="236" t="s">
        <v>536</v>
      </c>
      <c r="AX36" s="236" t="s">
        <v>536</v>
      </c>
      <c r="AY36" s="236" t="s">
        <v>536</v>
      </c>
      <c r="AZ36" s="237" t="s">
        <v>3114</v>
      </c>
      <c r="BA36" s="266"/>
    </row>
    <row r="37" spans="1:53" ht="255" x14ac:dyDescent="0.25">
      <c r="A37" s="202"/>
      <c r="B37" s="668"/>
      <c r="C37" s="654"/>
      <c r="D37" s="213"/>
      <c r="E37" s="655"/>
      <c r="F37" s="669" t="s">
        <v>3103</v>
      </c>
      <c r="G37" s="649" t="s">
        <v>3104</v>
      </c>
      <c r="H37" s="670" t="s">
        <v>3134</v>
      </c>
      <c r="I37" s="670" t="s">
        <v>3135</v>
      </c>
      <c r="J37" s="757">
        <v>11</v>
      </c>
      <c r="K37" s="758" t="s">
        <v>526</v>
      </c>
      <c r="L37" s="759">
        <v>10</v>
      </c>
      <c r="M37" s="760">
        <v>5</v>
      </c>
      <c r="N37" s="266"/>
      <c r="O37" s="266"/>
      <c r="P37" s="671"/>
      <c r="Q37" s="266"/>
      <c r="R37" s="266"/>
      <c r="S37" s="266"/>
      <c r="T37" s="266"/>
      <c r="U37" s="761"/>
      <c r="V37" s="761"/>
      <c r="W37" s="761"/>
      <c r="X37" s="761"/>
      <c r="Y37" s="761"/>
      <c r="Z37" s="761"/>
      <c r="AA37" s="761"/>
      <c r="AB37" s="761"/>
      <c r="AC37" s="761"/>
      <c r="AD37" s="761"/>
      <c r="AE37" s="266"/>
      <c r="AF37" s="266"/>
      <c r="AG37" s="674" t="s">
        <v>3147</v>
      </c>
      <c r="AH37" s="765">
        <v>2018003190118</v>
      </c>
      <c r="AI37" s="763" t="s">
        <v>3127</v>
      </c>
      <c r="AJ37" s="762" t="s">
        <v>1551</v>
      </c>
      <c r="AK37" s="762"/>
      <c r="AL37" s="741">
        <f>2933991678/1000</f>
        <v>2933991.6779999998</v>
      </c>
      <c r="AM37" s="764"/>
      <c r="AN37" s="236" t="s">
        <v>536</v>
      </c>
      <c r="AO37" s="236" t="s">
        <v>536</v>
      </c>
      <c r="AP37" s="236" t="s">
        <v>536</v>
      </c>
      <c r="AQ37" s="236" t="s">
        <v>536</v>
      </c>
      <c r="AR37" s="236" t="s">
        <v>536</v>
      </c>
      <c r="AS37" s="236" t="s">
        <v>536</v>
      </c>
      <c r="AT37" s="236" t="s">
        <v>536</v>
      </c>
      <c r="AU37" s="236" t="s">
        <v>536</v>
      </c>
      <c r="AV37" s="236" t="s">
        <v>536</v>
      </c>
      <c r="AW37" s="236" t="s">
        <v>536</v>
      </c>
      <c r="AX37" s="236" t="s">
        <v>536</v>
      </c>
      <c r="AY37" s="236" t="s">
        <v>536</v>
      </c>
      <c r="AZ37" s="237" t="s">
        <v>3114</v>
      </c>
      <c r="BA37" s="266"/>
    </row>
    <row r="38" spans="1:53" ht="255" x14ac:dyDescent="0.25">
      <c r="A38" s="202"/>
      <c r="B38" s="668"/>
      <c r="C38" s="654"/>
      <c r="D38" s="213"/>
      <c r="E38" s="655"/>
      <c r="F38" s="669" t="s">
        <v>3103</v>
      </c>
      <c r="G38" s="649" t="s">
        <v>3104</v>
      </c>
      <c r="H38" s="670" t="s">
        <v>3134</v>
      </c>
      <c r="I38" s="670" t="s">
        <v>3135</v>
      </c>
      <c r="J38" s="757">
        <v>11</v>
      </c>
      <c r="K38" s="758" t="s">
        <v>526</v>
      </c>
      <c r="L38" s="759">
        <v>10</v>
      </c>
      <c r="M38" s="760">
        <v>5</v>
      </c>
      <c r="N38" s="266"/>
      <c r="O38" s="266"/>
      <c r="P38" s="671"/>
      <c r="Q38" s="266"/>
      <c r="R38" s="266"/>
      <c r="S38" s="266"/>
      <c r="T38" s="266"/>
      <c r="U38" s="761"/>
      <c r="V38" s="761"/>
      <c r="W38" s="761"/>
      <c r="X38" s="761"/>
      <c r="Y38" s="761"/>
      <c r="Z38" s="761"/>
      <c r="AA38" s="761"/>
      <c r="AB38" s="761"/>
      <c r="AC38" s="761"/>
      <c r="AD38" s="761"/>
      <c r="AE38" s="266"/>
      <c r="AF38" s="266"/>
      <c r="AG38" s="675" t="s">
        <v>3148</v>
      </c>
      <c r="AH38" s="765">
        <v>2018003190119</v>
      </c>
      <c r="AI38" s="763" t="s">
        <v>3144</v>
      </c>
      <c r="AJ38" s="762" t="s">
        <v>1560</v>
      </c>
      <c r="AK38" s="762"/>
      <c r="AL38" s="766">
        <f>1069460726/1000</f>
        <v>1069460.726</v>
      </c>
      <c r="AM38" s="764"/>
      <c r="AN38" s="236" t="s">
        <v>536</v>
      </c>
      <c r="AO38" s="236" t="s">
        <v>536</v>
      </c>
      <c r="AP38" s="236" t="s">
        <v>536</v>
      </c>
      <c r="AQ38" s="236" t="s">
        <v>536</v>
      </c>
      <c r="AR38" s="236" t="s">
        <v>536</v>
      </c>
      <c r="AS38" s="236" t="s">
        <v>536</v>
      </c>
      <c r="AT38" s="236" t="s">
        <v>536</v>
      </c>
      <c r="AU38" s="236" t="s">
        <v>536</v>
      </c>
      <c r="AV38" s="236" t="s">
        <v>536</v>
      </c>
      <c r="AW38" s="236" t="s">
        <v>536</v>
      </c>
      <c r="AX38" s="236" t="s">
        <v>536</v>
      </c>
      <c r="AY38" s="236" t="s">
        <v>536</v>
      </c>
      <c r="AZ38" s="237" t="s">
        <v>3114</v>
      </c>
      <c r="BA38" s="266"/>
    </row>
    <row r="39" spans="1:53" x14ac:dyDescent="0.25">
      <c r="A39" s="664"/>
      <c r="B39" s="665"/>
      <c r="C39" s="665"/>
      <c r="D39" s="665"/>
      <c r="E39" s="665"/>
      <c r="F39" s="665"/>
      <c r="G39" s="666"/>
      <c r="H39" s="666"/>
      <c r="I39" s="666"/>
      <c r="J39" s="748"/>
      <c r="K39" s="748"/>
      <c r="L39" s="749"/>
      <c r="M39" s="750"/>
      <c r="N39" s="751"/>
      <c r="O39" s="751"/>
      <c r="P39" s="667"/>
      <c r="Q39" s="751"/>
      <c r="R39" s="751"/>
      <c r="S39" s="751"/>
      <c r="T39" s="751"/>
      <c r="U39" s="752"/>
      <c r="V39" s="752"/>
      <c r="W39" s="752"/>
      <c r="X39" s="752"/>
      <c r="Y39" s="752"/>
      <c r="Z39" s="752"/>
      <c r="AA39" s="752"/>
      <c r="AB39" s="752"/>
      <c r="AC39" s="752"/>
      <c r="AD39" s="752"/>
      <c r="AE39" s="751"/>
      <c r="AF39" s="751"/>
      <c r="AG39" s="676"/>
      <c r="AH39" s="754"/>
      <c r="AI39" s="755"/>
      <c r="AJ39" s="754"/>
      <c r="AK39" s="754"/>
      <c r="AL39" s="767"/>
      <c r="AM39" s="751"/>
      <c r="AN39" s="751"/>
      <c r="AO39" s="751"/>
      <c r="AP39" s="751"/>
      <c r="AQ39" s="751"/>
      <c r="AR39" s="751"/>
      <c r="AS39" s="751"/>
      <c r="AT39" s="751"/>
      <c r="AU39" s="751"/>
      <c r="AV39" s="751"/>
      <c r="AW39" s="751"/>
      <c r="AX39" s="751"/>
      <c r="AY39" s="751"/>
      <c r="AZ39" s="768"/>
      <c r="BA39" s="751"/>
    </row>
    <row r="40" spans="1:53" ht="255" x14ac:dyDescent="0.25">
      <c r="A40" s="202" t="s">
        <v>1245</v>
      </c>
      <c r="B40" s="668" t="s">
        <v>3099</v>
      </c>
      <c r="C40" s="654"/>
      <c r="D40" s="213"/>
      <c r="E40" s="655" t="s">
        <v>3102</v>
      </c>
      <c r="F40" s="669" t="s">
        <v>3103</v>
      </c>
      <c r="G40" s="649" t="s">
        <v>3104</v>
      </c>
      <c r="H40" s="670" t="s">
        <v>3149</v>
      </c>
      <c r="I40" s="670" t="s">
        <v>3150</v>
      </c>
      <c r="J40" s="757">
        <v>2</v>
      </c>
      <c r="K40" s="758" t="s">
        <v>526</v>
      </c>
      <c r="L40" s="759">
        <v>2</v>
      </c>
      <c r="M40" s="769">
        <v>2</v>
      </c>
      <c r="N40" s="266"/>
      <c r="O40" s="266"/>
      <c r="P40" s="671">
        <v>19567713</v>
      </c>
      <c r="Q40" s="266"/>
      <c r="R40" s="266"/>
      <c r="S40" s="266"/>
      <c r="T40" s="266"/>
      <c r="U40" s="761"/>
      <c r="V40" s="761"/>
      <c r="W40" s="761"/>
      <c r="X40" s="761"/>
      <c r="Y40" s="761"/>
      <c r="Z40" s="761"/>
      <c r="AA40" s="761"/>
      <c r="AB40" s="761"/>
      <c r="AC40" s="761"/>
      <c r="AD40" s="761"/>
      <c r="AE40" s="266"/>
      <c r="AF40" s="266"/>
      <c r="AG40" s="677" t="s">
        <v>3151</v>
      </c>
      <c r="AH40" s="762"/>
      <c r="AI40" s="763" t="s">
        <v>3152</v>
      </c>
      <c r="AJ40" s="762" t="s">
        <v>1460</v>
      </c>
      <c r="AK40" s="762">
        <v>15886</v>
      </c>
      <c r="AL40" s="741">
        <v>1454708</v>
      </c>
      <c r="AM40" s="672" t="s">
        <v>3153</v>
      </c>
      <c r="AN40" s="236" t="s">
        <v>536</v>
      </c>
      <c r="AO40" s="236" t="s">
        <v>536</v>
      </c>
      <c r="AP40" s="236" t="s">
        <v>536</v>
      </c>
      <c r="AQ40" s="236" t="s">
        <v>536</v>
      </c>
      <c r="AR40" s="236" t="s">
        <v>536</v>
      </c>
      <c r="AS40" s="236" t="s">
        <v>536</v>
      </c>
      <c r="AT40" s="236" t="s">
        <v>536</v>
      </c>
      <c r="AU40" s="236" t="s">
        <v>536</v>
      </c>
      <c r="AV40" s="236" t="s">
        <v>536</v>
      </c>
      <c r="AW40" s="236" t="s">
        <v>536</v>
      </c>
      <c r="AX40" s="236" t="s">
        <v>536</v>
      </c>
      <c r="AY40" s="236" t="s">
        <v>536</v>
      </c>
      <c r="AZ40" s="237" t="s">
        <v>3114</v>
      </c>
      <c r="BA40" s="266"/>
    </row>
    <row r="41" spans="1:53" ht="255" x14ac:dyDescent="0.25">
      <c r="A41" s="678"/>
      <c r="B41" s="654"/>
      <c r="C41" s="654"/>
      <c r="D41" s="213"/>
      <c r="E41" s="655"/>
      <c r="F41" s="669" t="s">
        <v>3103</v>
      </c>
      <c r="G41" s="649" t="s">
        <v>3104</v>
      </c>
      <c r="H41" s="670" t="s">
        <v>3149</v>
      </c>
      <c r="I41" s="670" t="s">
        <v>3150</v>
      </c>
      <c r="J41" s="757">
        <v>2</v>
      </c>
      <c r="K41" s="758" t="s">
        <v>526</v>
      </c>
      <c r="L41" s="759">
        <v>2</v>
      </c>
      <c r="M41" s="769">
        <v>2</v>
      </c>
      <c r="N41" s="770"/>
      <c r="O41" s="770"/>
      <c r="P41" s="679"/>
      <c r="Q41" s="770"/>
      <c r="R41" s="770"/>
      <c r="S41" s="770"/>
      <c r="T41" s="770"/>
      <c r="U41" s="771"/>
      <c r="V41" s="771"/>
      <c r="W41" s="771"/>
      <c r="X41" s="771"/>
      <c r="Y41" s="771"/>
      <c r="Z41" s="771"/>
      <c r="AA41" s="771"/>
      <c r="AB41" s="771"/>
      <c r="AC41" s="771"/>
      <c r="AD41" s="771"/>
      <c r="AE41" s="770"/>
      <c r="AF41" s="770"/>
      <c r="AG41" s="653" t="s">
        <v>3154</v>
      </c>
      <c r="AH41" s="772"/>
      <c r="AI41" s="773" t="s">
        <v>3155</v>
      </c>
      <c r="AJ41" s="772" t="s">
        <v>1539</v>
      </c>
      <c r="AK41" s="772">
        <v>5606</v>
      </c>
      <c r="AL41" s="741">
        <v>4710696</v>
      </c>
      <c r="AM41" s="680" t="s">
        <v>3156</v>
      </c>
      <c r="AN41" s="236" t="s">
        <v>536</v>
      </c>
      <c r="AO41" s="236" t="s">
        <v>536</v>
      </c>
      <c r="AP41" s="236" t="s">
        <v>536</v>
      </c>
      <c r="AQ41" s="236" t="s">
        <v>536</v>
      </c>
      <c r="AR41" s="236" t="s">
        <v>536</v>
      </c>
      <c r="AS41" s="236" t="s">
        <v>536</v>
      </c>
      <c r="AT41" s="236" t="s">
        <v>536</v>
      </c>
      <c r="AU41" s="236" t="s">
        <v>536</v>
      </c>
      <c r="AV41" s="236" t="s">
        <v>536</v>
      </c>
      <c r="AW41" s="236" t="s">
        <v>536</v>
      </c>
      <c r="AX41" s="236" t="s">
        <v>536</v>
      </c>
      <c r="AY41" s="236" t="s">
        <v>536</v>
      </c>
      <c r="AZ41" s="237" t="s">
        <v>3114</v>
      </c>
      <c r="BA41" s="770"/>
    </row>
    <row r="42" spans="1:53" x14ac:dyDescent="0.25">
      <c r="A42" s="664"/>
      <c r="B42" s="665"/>
      <c r="C42" s="665"/>
      <c r="D42" s="665"/>
      <c r="E42" s="665"/>
      <c r="F42" s="665"/>
      <c r="G42" s="666"/>
      <c r="H42" s="666"/>
      <c r="I42" s="666"/>
      <c r="J42" s="748"/>
      <c r="K42" s="748"/>
      <c r="L42" s="749"/>
      <c r="M42" s="774"/>
      <c r="N42" s="751"/>
      <c r="O42" s="751"/>
      <c r="P42" s="667"/>
      <c r="Q42" s="751"/>
      <c r="R42" s="751"/>
      <c r="S42" s="751"/>
      <c r="T42" s="751"/>
      <c r="U42" s="752"/>
      <c r="V42" s="752"/>
      <c r="W42" s="752"/>
      <c r="X42" s="752"/>
      <c r="Y42" s="752"/>
      <c r="Z42" s="752"/>
      <c r="AA42" s="752"/>
      <c r="AB42" s="752"/>
      <c r="AC42" s="752"/>
      <c r="AD42" s="752"/>
      <c r="AE42" s="751"/>
      <c r="AF42" s="751"/>
      <c r="AG42" s="753"/>
      <c r="AH42" s="754"/>
      <c r="AI42" s="755"/>
      <c r="AJ42" s="754"/>
      <c r="AK42" s="754"/>
      <c r="AL42" s="767"/>
      <c r="AM42" s="751"/>
      <c r="AN42" s="751"/>
      <c r="AO42" s="751"/>
      <c r="AP42" s="751"/>
      <c r="AQ42" s="751"/>
      <c r="AR42" s="751"/>
      <c r="AS42" s="751"/>
      <c r="AT42" s="751"/>
      <c r="AU42" s="751"/>
      <c r="AV42" s="751"/>
      <c r="AW42" s="751"/>
      <c r="AX42" s="751"/>
      <c r="AY42" s="751"/>
      <c r="AZ42" s="751"/>
      <c r="BA42" s="751"/>
    </row>
    <row r="43" spans="1:53" ht="409.5" x14ac:dyDescent="0.25">
      <c r="A43" s="202" t="s">
        <v>1245</v>
      </c>
      <c r="B43" s="668" t="s">
        <v>3099</v>
      </c>
      <c r="C43" s="654"/>
      <c r="D43" s="213"/>
      <c r="E43" s="655" t="s">
        <v>3102</v>
      </c>
      <c r="F43" s="669" t="s">
        <v>3103</v>
      </c>
      <c r="G43" s="649" t="s">
        <v>3104</v>
      </c>
      <c r="H43" s="681" t="s">
        <v>3157</v>
      </c>
      <c r="I43" s="670" t="s">
        <v>3158</v>
      </c>
      <c r="J43" s="757">
        <v>0</v>
      </c>
      <c r="K43" s="758" t="s">
        <v>526</v>
      </c>
      <c r="L43" s="775">
        <v>1</v>
      </c>
      <c r="M43" s="776">
        <v>0.25</v>
      </c>
      <c r="N43" s="266"/>
      <c r="O43" s="266"/>
      <c r="P43" s="671">
        <f>1950000</f>
        <v>1950000</v>
      </c>
      <c r="Q43" s="266"/>
      <c r="R43" s="266"/>
      <c r="S43" s="266"/>
      <c r="T43" s="266"/>
      <c r="U43" s="761"/>
      <c r="V43" s="761"/>
      <c r="W43" s="761"/>
      <c r="X43" s="761"/>
      <c r="Y43" s="761"/>
      <c r="Z43" s="761"/>
      <c r="AA43" s="761"/>
      <c r="AB43" s="761"/>
      <c r="AC43" s="761"/>
      <c r="AD43" s="761"/>
      <c r="AE43" s="266"/>
      <c r="AF43" s="266"/>
      <c r="AG43" s="653" t="s">
        <v>3159</v>
      </c>
      <c r="AH43" s="762"/>
      <c r="AI43" s="763" t="s">
        <v>3160</v>
      </c>
      <c r="AJ43" s="762"/>
      <c r="AK43" s="762"/>
      <c r="AL43" s="741">
        <v>1290000</v>
      </c>
      <c r="AM43" s="672" t="s">
        <v>3161</v>
      </c>
      <c r="AN43" s="236" t="s">
        <v>536</v>
      </c>
      <c r="AO43" s="236" t="s">
        <v>536</v>
      </c>
      <c r="AP43" s="236" t="s">
        <v>536</v>
      </c>
      <c r="AQ43" s="236" t="s">
        <v>536</v>
      </c>
      <c r="AR43" s="236" t="s">
        <v>536</v>
      </c>
      <c r="AS43" s="236" t="s">
        <v>536</v>
      </c>
      <c r="AT43" s="236" t="s">
        <v>536</v>
      </c>
      <c r="AU43" s="236" t="s">
        <v>536</v>
      </c>
      <c r="AV43" s="236" t="s">
        <v>536</v>
      </c>
      <c r="AW43" s="236" t="s">
        <v>536</v>
      </c>
      <c r="AX43" s="236" t="s">
        <v>536</v>
      </c>
      <c r="AY43" s="236" t="s">
        <v>536</v>
      </c>
      <c r="AZ43" s="237" t="s">
        <v>3114</v>
      </c>
      <c r="BA43" s="266"/>
    </row>
    <row r="44" spans="1:53" ht="156" x14ac:dyDescent="0.25">
      <c r="A44" s="678"/>
      <c r="B44" s="654"/>
      <c r="C44" s="654"/>
      <c r="D44" s="213"/>
      <c r="E44" s="655"/>
      <c r="F44" s="669" t="s">
        <v>3103</v>
      </c>
      <c r="G44" s="649" t="s">
        <v>3104</v>
      </c>
      <c r="H44" s="681" t="s">
        <v>3157</v>
      </c>
      <c r="I44" s="670" t="s">
        <v>3162</v>
      </c>
      <c r="J44" s="757">
        <v>0</v>
      </c>
      <c r="K44" s="758" t="s">
        <v>526</v>
      </c>
      <c r="L44" s="775">
        <v>1</v>
      </c>
      <c r="M44" s="776">
        <v>0.25</v>
      </c>
      <c r="N44" s="770"/>
      <c r="O44" s="770"/>
      <c r="P44" s="679"/>
      <c r="Q44" s="770"/>
      <c r="R44" s="770"/>
      <c r="S44" s="770"/>
      <c r="T44" s="770"/>
      <c r="U44" s="771"/>
      <c r="V44" s="771"/>
      <c r="W44" s="771"/>
      <c r="X44" s="771"/>
      <c r="Y44" s="771"/>
      <c r="Z44" s="771"/>
      <c r="AA44" s="771"/>
      <c r="AB44" s="771"/>
      <c r="AC44" s="771"/>
      <c r="AD44" s="771"/>
      <c r="AE44" s="770"/>
      <c r="AF44" s="770"/>
      <c r="AG44" s="653" t="s">
        <v>3163</v>
      </c>
      <c r="AH44" s="739"/>
      <c r="AI44" s="740" t="s">
        <v>3160</v>
      </c>
      <c r="AJ44" s="739"/>
      <c r="AK44" s="739"/>
      <c r="AL44" s="741">
        <v>600000</v>
      </c>
      <c r="AM44" s="496"/>
      <c r="AN44" s="236" t="s">
        <v>536</v>
      </c>
      <c r="AO44" s="236" t="s">
        <v>536</v>
      </c>
      <c r="AP44" s="236" t="s">
        <v>536</v>
      </c>
      <c r="AQ44" s="236" t="s">
        <v>536</v>
      </c>
      <c r="AR44" s="236" t="s">
        <v>536</v>
      </c>
      <c r="AS44" s="236" t="s">
        <v>536</v>
      </c>
      <c r="AT44" s="236" t="s">
        <v>536</v>
      </c>
      <c r="AU44" s="236" t="s">
        <v>536</v>
      </c>
      <c r="AV44" s="236" t="s">
        <v>536</v>
      </c>
      <c r="AW44" s="236" t="s">
        <v>536</v>
      </c>
      <c r="AX44" s="236" t="s">
        <v>536</v>
      </c>
      <c r="AY44" s="236" t="s">
        <v>536</v>
      </c>
      <c r="AZ44" s="237"/>
      <c r="BA44" s="682" t="s">
        <v>3164</v>
      </c>
    </row>
    <row r="45" spans="1:53" ht="409.5" x14ac:dyDescent="0.25">
      <c r="A45" s="678"/>
      <c r="B45" s="654"/>
      <c r="C45" s="654"/>
      <c r="D45" s="213"/>
      <c r="E45" s="655"/>
      <c r="F45" s="669" t="s">
        <v>3103</v>
      </c>
      <c r="G45" s="649" t="s">
        <v>3104</v>
      </c>
      <c r="H45" s="681" t="s">
        <v>3157</v>
      </c>
      <c r="I45" s="670" t="s">
        <v>3165</v>
      </c>
      <c r="J45" s="757">
        <v>0</v>
      </c>
      <c r="K45" s="758" t="s">
        <v>526</v>
      </c>
      <c r="L45" s="775">
        <v>1</v>
      </c>
      <c r="M45" s="776">
        <v>0.25</v>
      </c>
      <c r="N45" s="770"/>
      <c r="O45" s="770"/>
      <c r="P45" s="679"/>
      <c r="Q45" s="770"/>
      <c r="R45" s="770"/>
      <c r="S45" s="770"/>
      <c r="T45" s="770"/>
      <c r="U45" s="771"/>
      <c r="V45" s="771"/>
      <c r="W45" s="771"/>
      <c r="X45" s="771"/>
      <c r="Y45" s="771"/>
      <c r="Z45" s="771"/>
      <c r="AA45" s="771"/>
      <c r="AB45" s="771"/>
      <c r="AC45" s="771"/>
      <c r="AD45" s="771"/>
      <c r="AE45" s="770"/>
      <c r="AF45" s="770"/>
      <c r="AG45" s="653" t="s">
        <v>3166</v>
      </c>
      <c r="AH45" s="739"/>
      <c r="AI45" s="740" t="s">
        <v>3160</v>
      </c>
      <c r="AJ45" s="739"/>
      <c r="AK45" s="739"/>
      <c r="AL45" s="741">
        <v>250000</v>
      </c>
      <c r="AM45" s="496" t="s">
        <v>3167</v>
      </c>
      <c r="AN45" s="236" t="s">
        <v>536</v>
      </c>
      <c r="AO45" s="236" t="s">
        <v>536</v>
      </c>
      <c r="AP45" s="236" t="s">
        <v>536</v>
      </c>
      <c r="AQ45" s="236" t="s">
        <v>536</v>
      </c>
      <c r="AR45" s="236" t="s">
        <v>536</v>
      </c>
      <c r="AS45" s="236" t="s">
        <v>536</v>
      </c>
      <c r="AT45" s="236" t="s">
        <v>536</v>
      </c>
      <c r="AU45" s="236" t="s">
        <v>536</v>
      </c>
      <c r="AV45" s="236" t="s">
        <v>536</v>
      </c>
      <c r="AW45" s="236" t="s">
        <v>536</v>
      </c>
      <c r="AX45" s="236" t="s">
        <v>536</v>
      </c>
      <c r="AY45" s="236" t="s">
        <v>536</v>
      </c>
      <c r="AZ45" s="237" t="s">
        <v>3168</v>
      </c>
      <c r="BA45" s="770"/>
    </row>
    <row r="46" spans="1:53" ht="371.25" x14ac:dyDescent="0.25">
      <c r="A46" s="678"/>
      <c r="B46" s="654"/>
      <c r="C46" s="654"/>
      <c r="D46" s="213"/>
      <c r="E46" s="655"/>
      <c r="F46" s="669" t="s">
        <v>3103</v>
      </c>
      <c r="G46" s="649" t="s">
        <v>3104</v>
      </c>
      <c r="H46" s="681" t="s">
        <v>3157</v>
      </c>
      <c r="I46" s="670" t="s">
        <v>3169</v>
      </c>
      <c r="J46" s="757">
        <v>0</v>
      </c>
      <c r="K46" s="758" t="s">
        <v>526</v>
      </c>
      <c r="L46" s="775">
        <v>1</v>
      </c>
      <c r="M46" s="776">
        <v>0.25</v>
      </c>
      <c r="N46" s="770"/>
      <c r="O46" s="770"/>
      <c r="P46" s="679"/>
      <c r="Q46" s="770"/>
      <c r="R46" s="770"/>
      <c r="S46" s="770"/>
      <c r="T46" s="770"/>
      <c r="U46" s="771"/>
      <c r="V46" s="771"/>
      <c r="W46" s="771"/>
      <c r="X46" s="771"/>
      <c r="Y46" s="771"/>
      <c r="Z46" s="771"/>
      <c r="AA46" s="771"/>
      <c r="AB46" s="771"/>
      <c r="AC46" s="771"/>
      <c r="AD46" s="771"/>
      <c r="AE46" s="770"/>
      <c r="AF46" s="770"/>
      <c r="AG46" s="653" t="s">
        <v>3170</v>
      </c>
      <c r="AH46" s="739"/>
      <c r="AI46" s="740" t="s">
        <v>3160</v>
      </c>
      <c r="AJ46" s="739"/>
      <c r="AK46" s="739"/>
      <c r="AL46" s="741">
        <v>150000</v>
      </c>
      <c r="AM46" s="496" t="s">
        <v>3171</v>
      </c>
      <c r="AN46" s="236" t="s">
        <v>536</v>
      </c>
      <c r="AO46" s="236" t="s">
        <v>536</v>
      </c>
      <c r="AP46" s="236" t="s">
        <v>536</v>
      </c>
      <c r="AQ46" s="236" t="s">
        <v>536</v>
      </c>
      <c r="AR46" s="236" t="s">
        <v>536</v>
      </c>
      <c r="AS46" s="236" t="s">
        <v>536</v>
      </c>
      <c r="AT46" s="236" t="s">
        <v>536</v>
      </c>
      <c r="AU46" s="236" t="s">
        <v>536</v>
      </c>
      <c r="AV46" s="236" t="s">
        <v>536</v>
      </c>
      <c r="AW46" s="236" t="s">
        <v>536</v>
      </c>
      <c r="AX46" s="236" t="s">
        <v>536</v>
      </c>
      <c r="AY46" s="236" t="s">
        <v>536</v>
      </c>
      <c r="AZ46" s="237"/>
      <c r="BA46" s="770"/>
    </row>
    <row r="47" spans="1:53" ht="255" x14ac:dyDescent="0.25">
      <c r="A47" s="678"/>
      <c r="B47" s="654"/>
      <c r="C47" s="654"/>
      <c r="D47" s="213"/>
      <c r="E47" s="655"/>
      <c r="F47" s="669" t="s">
        <v>3103</v>
      </c>
      <c r="G47" s="649" t="s">
        <v>3104</v>
      </c>
      <c r="H47" s="683" t="s">
        <v>3172</v>
      </c>
      <c r="I47" s="670" t="s">
        <v>3173</v>
      </c>
      <c r="J47" s="757">
        <v>0</v>
      </c>
      <c r="K47" s="758" t="s">
        <v>526</v>
      </c>
      <c r="L47" s="775">
        <v>1</v>
      </c>
      <c r="M47" s="776">
        <v>0.25</v>
      </c>
      <c r="N47" s="770"/>
      <c r="O47" s="770"/>
      <c r="P47" s="679"/>
      <c r="Q47" s="770"/>
      <c r="R47" s="770"/>
      <c r="S47" s="770"/>
      <c r="T47" s="770"/>
      <c r="U47" s="771"/>
      <c r="V47" s="771"/>
      <c r="W47" s="771"/>
      <c r="X47" s="771"/>
      <c r="Y47" s="771"/>
      <c r="Z47" s="771"/>
      <c r="AA47" s="771"/>
      <c r="AB47" s="771"/>
      <c r="AC47" s="771"/>
      <c r="AD47" s="771"/>
      <c r="AE47" s="770"/>
      <c r="AF47" s="770"/>
      <c r="AG47" s="653" t="s">
        <v>3174</v>
      </c>
      <c r="AH47" s="772"/>
      <c r="AI47" s="773" t="s">
        <v>3175</v>
      </c>
      <c r="AJ47" s="772"/>
      <c r="AK47" s="772"/>
      <c r="AL47" s="777">
        <v>1000000</v>
      </c>
      <c r="AM47" s="778"/>
      <c r="AN47" s="236" t="s">
        <v>536</v>
      </c>
      <c r="AO47" s="236" t="s">
        <v>536</v>
      </c>
      <c r="AP47" s="236" t="s">
        <v>536</v>
      </c>
      <c r="AQ47" s="236" t="s">
        <v>536</v>
      </c>
      <c r="AR47" s="236" t="s">
        <v>536</v>
      </c>
      <c r="AS47" s="236" t="s">
        <v>536</v>
      </c>
      <c r="AT47" s="236" t="s">
        <v>536</v>
      </c>
      <c r="AU47" s="236" t="s">
        <v>536</v>
      </c>
      <c r="AV47" s="236" t="s">
        <v>536</v>
      </c>
      <c r="AW47" s="236" t="s">
        <v>536</v>
      </c>
      <c r="AX47" s="236" t="s">
        <v>536</v>
      </c>
      <c r="AY47" s="236" t="s">
        <v>536</v>
      </c>
      <c r="AZ47" s="237" t="s">
        <v>3114</v>
      </c>
      <c r="BA47" s="770"/>
    </row>
    <row r="48" spans="1:53" x14ac:dyDescent="0.25">
      <c r="A48" s="664"/>
      <c r="B48" s="665"/>
      <c r="C48" s="665"/>
      <c r="D48" s="665"/>
      <c r="E48" s="665"/>
      <c r="F48" s="665"/>
      <c r="G48" s="666"/>
      <c r="H48" s="666"/>
      <c r="I48" s="666"/>
      <c r="J48" s="748"/>
      <c r="K48" s="748"/>
      <c r="L48" s="779"/>
      <c r="M48" s="780"/>
      <c r="N48" s="751"/>
      <c r="O48" s="751"/>
      <c r="P48" s="667"/>
      <c r="Q48" s="751"/>
      <c r="R48" s="751"/>
      <c r="S48" s="751"/>
      <c r="T48" s="751"/>
      <c r="U48" s="752"/>
      <c r="V48" s="752"/>
      <c r="W48" s="752"/>
      <c r="X48" s="752"/>
      <c r="Y48" s="752"/>
      <c r="Z48" s="752"/>
      <c r="AA48" s="752"/>
      <c r="AB48" s="752"/>
      <c r="AC48" s="752"/>
      <c r="AD48" s="752"/>
      <c r="AE48" s="751"/>
      <c r="AF48" s="751"/>
      <c r="AG48" s="753"/>
      <c r="AH48" s="754"/>
      <c r="AI48" s="755"/>
      <c r="AJ48" s="754"/>
      <c r="AK48" s="754"/>
      <c r="AL48" s="767"/>
      <c r="AM48" s="751"/>
      <c r="AN48" s="751"/>
      <c r="AO48" s="751"/>
      <c r="AP48" s="751"/>
      <c r="AQ48" s="751"/>
      <c r="AR48" s="751"/>
      <c r="AS48" s="751"/>
      <c r="AT48" s="751"/>
      <c r="AU48" s="751"/>
      <c r="AV48" s="751"/>
      <c r="AW48" s="751"/>
      <c r="AX48" s="751"/>
      <c r="AY48" s="751"/>
      <c r="AZ48" s="751"/>
      <c r="BA48" s="751"/>
    </row>
    <row r="49" spans="1:53" ht="280.5" x14ac:dyDescent="0.25">
      <c r="A49" s="202" t="s">
        <v>1245</v>
      </c>
      <c r="B49" s="668" t="s">
        <v>3099</v>
      </c>
      <c r="C49" s="654"/>
      <c r="D49" s="213"/>
      <c r="E49" s="655"/>
      <c r="F49" s="669" t="s">
        <v>3103</v>
      </c>
      <c r="G49" s="649" t="s">
        <v>3104</v>
      </c>
      <c r="H49" s="670" t="s">
        <v>3176</v>
      </c>
      <c r="I49" s="670" t="s">
        <v>3177</v>
      </c>
      <c r="J49" s="757">
        <v>8</v>
      </c>
      <c r="K49" s="758" t="s">
        <v>526</v>
      </c>
      <c r="L49" s="759">
        <v>8</v>
      </c>
      <c r="M49" s="760">
        <v>2</v>
      </c>
      <c r="N49" s="266"/>
      <c r="O49" s="266"/>
      <c r="P49" s="671">
        <v>20619974</v>
      </c>
      <c r="Q49" s="266"/>
      <c r="R49" s="266"/>
      <c r="S49" s="266"/>
      <c r="T49" s="266"/>
      <c r="U49" s="761"/>
      <c r="V49" s="761"/>
      <c r="W49" s="761"/>
      <c r="X49" s="761"/>
      <c r="Y49" s="761"/>
      <c r="Z49" s="761"/>
      <c r="AA49" s="761"/>
      <c r="AB49" s="761"/>
      <c r="AC49" s="761"/>
      <c r="AD49" s="761"/>
      <c r="AE49" s="266"/>
      <c r="AF49" s="266"/>
      <c r="AG49" s="684" t="s">
        <v>3178</v>
      </c>
      <c r="AH49" s="762"/>
      <c r="AI49" s="763" t="s">
        <v>1694</v>
      </c>
      <c r="AJ49" s="739" t="s">
        <v>1471</v>
      </c>
      <c r="AK49" s="762"/>
      <c r="AL49" s="741">
        <f>9248467625/1000</f>
        <v>9248467.625</v>
      </c>
      <c r="AM49" s="243"/>
      <c r="AN49" s="236" t="s">
        <v>536</v>
      </c>
      <c r="AO49" s="236" t="s">
        <v>536</v>
      </c>
      <c r="AP49" s="236" t="s">
        <v>536</v>
      </c>
      <c r="AQ49" s="236" t="s">
        <v>536</v>
      </c>
      <c r="AR49" s="236" t="s">
        <v>536</v>
      </c>
      <c r="AS49" s="236" t="s">
        <v>536</v>
      </c>
      <c r="AT49" s="236" t="s">
        <v>536</v>
      </c>
      <c r="AU49" s="236" t="s">
        <v>536</v>
      </c>
      <c r="AV49" s="236" t="s">
        <v>536</v>
      </c>
      <c r="AW49" s="236" t="s">
        <v>536</v>
      </c>
      <c r="AX49" s="236" t="s">
        <v>536</v>
      </c>
      <c r="AY49" s="236" t="s">
        <v>536</v>
      </c>
      <c r="AZ49" s="237" t="s">
        <v>3114</v>
      </c>
      <c r="BA49" s="225"/>
    </row>
    <row r="50" spans="1:53" ht="255" x14ac:dyDescent="0.25">
      <c r="A50" s="678"/>
      <c r="B50" s="654"/>
      <c r="C50" s="654"/>
      <c r="D50" s="213"/>
      <c r="E50" s="655"/>
      <c r="F50" s="669" t="s">
        <v>3103</v>
      </c>
      <c r="G50" s="649" t="s">
        <v>3104</v>
      </c>
      <c r="H50" s="670" t="s">
        <v>3176</v>
      </c>
      <c r="I50" s="670" t="s">
        <v>3177</v>
      </c>
      <c r="J50" s="757">
        <v>8</v>
      </c>
      <c r="K50" s="758" t="s">
        <v>526</v>
      </c>
      <c r="L50" s="759">
        <v>8</v>
      </c>
      <c r="M50" s="760">
        <v>2</v>
      </c>
      <c r="N50" s="770"/>
      <c r="O50" s="770"/>
      <c r="P50" s="679"/>
      <c r="Q50" s="770"/>
      <c r="R50" s="770"/>
      <c r="S50" s="770"/>
      <c r="T50" s="770"/>
      <c r="U50" s="771"/>
      <c r="V50" s="771"/>
      <c r="W50" s="771"/>
      <c r="X50" s="771"/>
      <c r="Y50" s="771"/>
      <c r="Z50" s="771"/>
      <c r="AA50" s="771"/>
      <c r="AB50" s="771"/>
      <c r="AC50" s="771"/>
      <c r="AD50" s="771"/>
      <c r="AE50" s="770"/>
      <c r="AF50" s="770"/>
      <c r="AG50" s="684" t="s">
        <v>3179</v>
      </c>
      <c r="AH50" s="739"/>
      <c r="AI50" s="740" t="s">
        <v>1694</v>
      </c>
      <c r="AJ50" s="739" t="s">
        <v>1471</v>
      </c>
      <c r="AK50" s="739">
        <v>91337</v>
      </c>
      <c r="AL50" s="741">
        <f>822198650/1000</f>
        <v>822198.65</v>
      </c>
      <c r="AM50" s="555" t="s">
        <v>3180</v>
      </c>
      <c r="AN50" s="236" t="s">
        <v>536</v>
      </c>
      <c r="AO50" s="236" t="s">
        <v>536</v>
      </c>
      <c r="AP50" s="236" t="s">
        <v>536</v>
      </c>
      <c r="AQ50" s="236" t="s">
        <v>536</v>
      </c>
      <c r="AR50" s="236" t="s">
        <v>536</v>
      </c>
      <c r="AS50" s="236" t="s">
        <v>536</v>
      </c>
      <c r="AT50" s="236" t="s">
        <v>536</v>
      </c>
      <c r="AU50" s="236" t="s">
        <v>536</v>
      </c>
      <c r="AV50" s="236" t="s">
        <v>536</v>
      </c>
      <c r="AW50" s="236" t="s">
        <v>536</v>
      </c>
      <c r="AX50" s="236" t="s">
        <v>536</v>
      </c>
      <c r="AY50" s="236" t="s">
        <v>536</v>
      </c>
      <c r="AZ50" s="237" t="s">
        <v>3114</v>
      </c>
      <c r="BA50" s="225"/>
    </row>
    <row r="51" spans="1:53" ht="255" x14ac:dyDescent="0.25">
      <c r="A51" s="678"/>
      <c r="B51" s="654"/>
      <c r="C51" s="654"/>
      <c r="D51" s="213"/>
      <c r="E51" s="655"/>
      <c r="F51" s="669" t="s">
        <v>3103</v>
      </c>
      <c r="G51" s="649" t="s">
        <v>3104</v>
      </c>
      <c r="H51" s="670" t="s">
        <v>3176</v>
      </c>
      <c r="I51" s="670" t="s">
        <v>3177</v>
      </c>
      <c r="J51" s="757">
        <v>8</v>
      </c>
      <c r="K51" s="758" t="s">
        <v>526</v>
      </c>
      <c r="L51" s="759">
        <v>8</v>
      </c>
      <c r="M51" s="760">
        <v>2</v>
      </c>
      <c r="N51" s="770"/>
      <c r="O51" s="770"/>
      <c r="P51" s="679"/>
      <c r="Q51" s="770"/>
      <c r="R51" s="770"/>
      <c r="S51" s="770"/>
      <c r="T51" s="770"/>
      <c r="U51" s="771"/>
      <c r="V51" s="771"/>
      <c r="W51" s="771"/>
      <c r="X51" s="771"/>
      <c r="Y51" s="771"/>
      <c r="Z51" s="771"/>
      <c r="AA51" s="771"/>
      <c r="AB51" s="771"/>
      <c r="AC51" s="771"/>
      <c r="AD51" s="771"/>
      <c r="AE51" s="770"/>
      <c r="AF51" s="770"/>
      <c r="AG51" s="684" t="s">
        <v>3181</v>
      </c>
      <c r="AH51" s="739"/>
      <c r="AI51" s="740" t="s">
        <v>3182</v>
      </c>
      <c r="AJ51" s="739" t="s">
        <v>1560</v>
      </c>
      <c r="AK51" s="739"/>
      <c r="AL51" s="741">
        <v>1988275</v>
      </c>
      <c r="AM51" s="243"/>
      <c r="AN51" s="236" t="s">
        <v>536</v>
      </c>
      <c r="AO51" s="236" t="s">
        <v>536</v>
      </c>
      <c r="AP51" s="236" t="s">
        <v>536</v>
      </c>
      <c r="AQ51" s="236" t="s">
        <v>536</v>
      </c>
      <c r="AR51" s="236" t="s">
        <v>536</v>
      </c>
      <c r="AS51" s="236" t="s">
        <v>536</v>
      </c>
      <c r="AT51" s="236" t="s">
        <v>536</v>
      </c>
      <c r="AU51" s="236" t="s">
        <v>536</v>
      </c>
      <c r="AV51" s="236" t="s">
        <v>536</v>
      </c>
      <c r="AW51" s="236" t="s">
        <v>536</v>
      </c>
      <c r="AX51" s="236" t="s">
        <v>536</v>
      </c>
      <c r="AY51" s="236" t="s">
        <v>536</v>
      </c>
      <c r="AZ51" s="237" t="s">
        <v>3114</v>
      </c>
      <c r="BA51" s="225"/>
    </row>
    <row r="52" spans="1:53" ht="255" x14ac:dyDescent="0.25">
      <c r="A52" s="678"/>
      <c r="B52" s="654"/>
      <c r="C52" s="654"/>
      <c r="D52" s="213"/>
      <c r="E52" s="655"/>
      <c r="F52" s="669" t="s">
        <v>3103</v>
      </c>
      <c r="G52" s="649" t="s">
        <v>3104</v>
      </c>
      <c r="H52" s="670" t="s">
        <v>3176</v>
      </c>
      <c r="I52" s="670" t="s">
        <v>3177</v>
      </c>
      <c r="J52" s="757">
        <v>8</v>
      </c>
      <c r="K52" s="758" t="s">
        <v>526</v>
      </c>
      <c r="L52" s="759">
        <v>8</v>
      </c>
      <c r="M52" s="760">
        <v>2</v>
      </c>
      <c r="N52" s="770"/>
      <c r="O52" s="770"/>
      <c r="P52" s="679"/>
      <c r="Q52" s="770"/>
      <c r="R52" s="770"/>
      <c r="S52" s="770"/>
      <c r="T52" s="770"/>
      <c r="U52" s="771"/>
      <c r="V52" s="771"/>
      <c r="W52" s="771"/>
      <c r="X52" s="771"/>
      <c r="Y52" s="771"/>
      <c r="Z52" s="771"/>
      <c r="AA52" s="771"/>
      <c r="AB52" s="771"/>
      <c r="AC52" s="771"/>
      <c r="AD52" s="771"/>
      <c r="AE52" s="770"/>
      <c r="AF52" s="770"/>
      <c r="AG52" s="684" t="s">
        <v>3183</v>
      </c>
      <c r="AH52" s="739"/>
      <c r="AI52" s="740" t="s">
        <v>1556</v>
      </c>
      <c r="AJ52" s="739" t="s">
        <v>1551</v>
      </c>
      <c r="AK52" s="739"/>
      <c r="AL52" s="741">
        <v>4000000</v>
      </c>
      <c r="AM52" s="243"/>
      <c r="AN52" s="236" t="s">
        <v>536</v>
      </c>
      <c r="AO52" s="236" t="s">
        <v>536</v>
      </c>
      <c r="AP52" s="236" t="s">
        <v>536</v>
      </c>
      <c r="AQ52" s="236" t="s">
        <v>536</v>
      </c>
      <c r="AR52" s="236" t="s">
        <v>536</v>
      </c>
      <c r="AS52" s="236" t="s">
        <v>536</v>
      </c>
      <c r="AT52" s="236" t="s">
        <v>536</v>
      </c>
      <c r="AU52" s="236" t="s">
        <v>536</v>
      </c>
      <c r="AV52" s="236" t="s">
        <v>536</v>
      </c>
      <c r="AW52" s="236" t="s">
        <v>536</v>
      </c>
      <c r="AX52" s="236" t="s">
        <v>536</v>
      </c>
      <c r="AY52" s="236" t="s">
        <v>536</v>
      </c>
      <c r="AZ52" s="237" t="s">
        <v>3114</v>
      </c>
      <c r="BA52" s="225"/>
    </row>
    <row r="53" spans="1:53" ht="255" x14ac:dyDescent="0.25">
      <c r="A53" s="678"/>
      <c r="B53" s="654"/>
      <c r="C53" s="654"/>
      <c r="D53" s="213"/>
      <c r="E53" s="655"/>
      <c r="F53" s="669" t="s">
        <v>3103</v>
      </c>
      <c r="G53" s="649" t="s">
        <v>3104</v>
      </c>
      <c r="H53" s="670" t="s">
        <v>3176</v>
      </c>
      <c r="I53" s="670" t="s">
        <v>3177</v>
      </c>
      <c r="J53" s="757">
        <v>8</v>
      </c>
      <c r="K53" s="758" t="s">
        <v>526</v>
      </c>
      <c r="L53" s="759">
        <v>8</v>
      </c>
      <c r="M53" s="760">
        <v>2</v>
      </c>
      <c r="N53" s="770"/>
      <c r="O53" s="770"/>
      <c r="P53" s="679"/>
      <c r="Q53" s="770"/>
      <c r="R53" s="770"/>
      <c r="S53" s="770"/>
      <c r="T53" s="770"/>
      <c r="U53" s="771"/>
      <c r="V53" s="771"/>
      <c r="W53" s="771"/>
      <c r="X53" s="771"/>
      <c r="Y53" s="771"/>
      <c r="Z53" s="771"/>
      <c r="AA53" s="771"/>
      <c r="AB53" s="771"/>
      <c r="AC53" s="771"/>
      <c r="AD53" s="771"/>
      <c r="AE53" s="770"/>
      <c r="AF53" s="770"/>
      <c r="AG53" s="685" t="s">
        <v>3184</v>
      </c>
      <c r="AH53" s="739"/>
      <c r="AI53" s="740" t="s">
        <v>1459</v>
      </c>
      <c r="AJ53" s="739" t="s">
        <v>1539</v>
      </c>
      <c r="AK53" s="739"/>
      <c r="AL53" s="766">
        <v>1026702</v>
      </c>
      <c r="AM53" s="243"/>
      <c r="AN53" s="236" t="s">
        <v>536</v>
      </c>
      <c r="AO53" s="236" t="s">
        <v>536</v>
      </c>
      <c r="AP53" s="236" t="s">
        <v>536</v>
      </c>
      <c r="AQ53" s="236" t="s">
        <v>536</v>
      </c>
      <c r="AR53" s="236" t="s">
        <v>536</v>
      </c>
      <c r="AS53" s="236" t="s">
        <v>536</v>
      </c>
      <c r="AT53" s="236" t="s">
        <v>536</v>
      </c>
      <c r="AU53" s="236" t="s">
        <v>536</v>
      </c>
      <c r="AV53" s="236" t="s">
        <v>536</v>
      </c>
      <c r="AW53" s="236" t="s">
        <v>536</v>
      </c>
      <c r="AX53" s="236" t="s">
        <v>536</v>
      </c>
      <c r="AY53" s="236" t="s">
        <v>536</v>
      </c>
      <c r="AZ53" s="237" t="s">
        <v>3114</v>
      </c>
      <c r="BA53" s="225"/>
    </row>
    <row r="54" spans="1:53" ht="255" x14ac:dyDescent="0.25">
      <c r="A54" s="678"/>
      <c r="B54" s="654"/>
      <c r="C54" s="654"/>
      <c r="D54" s="213"/>
      <c r="E54" s="655"/>
      <c r="F54" s="669" t="s">
        <v>3103</v>
      </c>
      <c r="G54" s="649" t="s">
        <v>3104</v>
      </c>
      <c r="H54" s="670" t="s">
        <v>3176</v>
      </c>
      <c r="I54" s="670" t="s">
        <v>3177</v>
      </c>
      <c r="J54" s="757">
        <v>8</v>
      </c>
      <c r="K54" s="758" t="s">
        <v>526</v>
      </c>
      <c r="L54" s="759">
        <v>8</v>
      </c>
      <c r="M54" s="760">
        <v>2</v>
      </c>
      <c r="N54" s="770"/>
      <c r="O54" s="770"/>
      <c r="P54" s="679"/>
      <c r="Q54" s="770"/>
      <c r="R54" s="770"/>
      <c r="S54" s="770"/>
      <c r="T54" s="770"/>
      <c r="U54" s="771"/>
      <c r="V54" s="771"/>
      <c r="W54" s="771"/>
      <c r="X54" s="771"/>
      <c r="Y54" s="771"/>
      <c r="Z54" s="771"/>
      <c r="AA54" s="771"/>
      <c r="AB54" s="771"/>
      <c r="AC54" s="771"/>
      <c r="AD54" s="771"/>
      <c r="AE54" s="770"/>
      <c r="AF54" s="770"/>
      <c r="AG54" s="684" t="s">
        <v>3185</v>
      </c>
      <c r="AH54" s="739"/>
      <c r="AI54" s="740" t="s">
        <v>3186</v>
      </c>
      <c r="AJ54" s="739" t="s">
        <v>3186</v>
      </c>
      <c r="AK54" s="739"/>
      <c r="AL54" s="741">
        <v>1000000</v>
      </c>
      <c r="AM54" s="243"/>
      <c r="AN54" s="236" t="s">
        <v>536</v>
      </c>
      <c r="AO54" s="236" t="s">
        <v>536</v>
      </c>
      <c r="AP54" s="236" t="s">
        <v>536</v>
      </c>
      <c r="AQ54" s="236" t="s">
        <v>536</v>
      </c>
      <c r="AR54" s="236" t="s">
        <v>536</v>
      </c>
      <c r="AS54" s="236" t="s">
        <v>536</v>
      </c>
      <c r="AT54" s="236" t="s">
        <v>536</v>
      </c>
      <c r="AU54" s="236" t="s">
        <v>536</v>
      </c>
      <c r="AV54" s="236" t="s">
        <v>536</v>
      </c>
      <c r="AW54" s="236" t="s">
        <v>536</v>
      </c>
      <c r="AX54" s="236" t="s">
        <v>536</v>
      </c>
      <c r="AY54" s="236" t="s">
        <v>536</v>
      </c>
      <c r="AZ54" s="237" t="s">
        <v>3114</v>
      </c>
      <c r="BA54" s="225"/>
    </row>
    <row r="55" spans="1:53" x14ac:dyDescent="0.25">
      <c r="A55" s="664"/>
      <c r="B55" s="665"/>
      <c r="C55" s="665"/>
      <c r="D55" s="665"/>
      <c r="E55" s="665"/>
      <c r="F55" s="665"/>
      <c r="G55" s="666"/>
      <c r="H55" s="666"/>
      <c r="I55" s="666"/>
      <c r="J55" s="748"/>
      <c r="K55" s="748"/>
      <c r="L55" s="749"/>
      <c r="M55" s="750"/>
      <c r="N55" s="751"/>
      <c r="O55" s="751"/>
      <c r="P55" s="667"/>
      <c r="Q55" s="751"/>
      <c r="R55" s="751"/>
      <c r="S55" s="751"/>
      <c r="T55" s="751"/>
      <c r="U55" s="752"/>
      <c r="V55" s="752"/>
      <c r="W55" s="752"/>
      <c r="X55" s="752"/>
      <c r="Y55" s="752"/>
      <c r="Z55" s="752"/>
      <c r="AA55" s="752"/>
      <c r="AB55" s="752"/>
      <c r="AC55" s="752"/>
      <c r="AD55" s="752"/>
      <c r="AE55" s="751"/>
      <c r="AF55" s="751"/>
      <c r="AG55" s="753"/>
      <c r="AH55" s="754"/>
      <c r="AI55" s="755"/>
      <c r="AJ55" s="754"/>
      <c r="AK55" s="754"/>
      <c r="AL55" s="767"/>
      <c r="AM55" s="751"/>
      <c r="AN55" s="751"/>
      <c r="AO55" s="751"/>
      <c r="AP55" s="751"/>
      <c r="AQ55" s="751"/>
      <c r="AR55" s="751"/>
      <c r="AS55" s="751"/>
      <c r="AT55" s="751"/>
      <c r="AU55" s="751"/>
      <c r="AV55" s="751"/>
      <c r="AW55" s="751"/>
      <c r="AX55" s="751"/>
      <c r="AY55" s="751"/>
      <c r="AZ55" s="751"/>
      <c r="BA55" s="751"/>
    </row>
    <row r="56" spans="1:53" ht="255" x14ac:dyDescent="0.25">
      <c r="A56" s="202" t="s">
        <v>1245</v>
      </c>
      <c r="B56" s="668" t="s">
        <v>3099</v>
      </c>
      <c r="C56" s="668"/>
      <c r="D56" s="204"/>
      <c r="E56" s="669"/>
      <c r="F56" s="669" t="s">
        <v>3103</v>
      </c>
      <c r="G56" s="649" t="s">
        <v>3104</v>
      </c>
      <c r="H56" s="670" t="s">
        <v>3187</v>
      </c>
      <c r="I56" s="670" t="s">
        <v>3177</v>
      </c>
      <c r="J56" s="757">
        <v>5</v>
      </c>
      <c r="K56" s="758" t="s">
        <v>526</v>
      </c>
      <c r="L56" s="759">
        <v>4</v>
      </c>
      <c r="M56" s="769">
        <v>4</v>
      </c>
      <c r="N56" s="266"/>
      <c r="O56" s="266"/>
      <c r="P56" s="671">
        <v>12891876</v>
      </c>
      <c r="Q56" s="266"/>
      <c r="R56" s="266"/>
      <c r="S56" s="266"/>
      <c r="T56" s="266"/>
      <c r="U56" s="761"/>
      <c r="V56" s="761"/>
      <c r="W56" s="761"/>
      <c r="X56" s="761"/>
      <c r="Y56" s="761"/>
      <c r="Z56" s="761"/>
      <c r="AA56" s="761"/>
      <c r="AB56" s="761"/>
      <c r="AC56" s="761"/>
      <c r="AD56" s="761"/>
      <c r="AE56" s="266"/>
      <c r="AF56" s="266"/>
      <c r="AG56" s="658" t="s">
        <v>3188</v>
      </c>
      <c r="AH56" s="762"/>
      <c r="AI56" s="763" t="s">
        <v>3144</v>
      </c>
      <c r="AJ56" s="762" t="s">
        <v>1560</v>
      </c>
      <c r="AK56" s="762">
        <v>340</v>
      </c>
      <c r="AL56" s="741">
        <v>675490</v>
      </c>
      <c r="AM56" s="764"/>
      <c r="AN56" s="236" t="s">
        <v>536</v>
      </c>
      <c r="AO56" s="236" t="s">
        <v>536</v>
      </c>
      <c r="AP56" s="236" t="s">
        <v>536</v>
      </c>
      <c r="AQ56" s="236" t="s">
        <v>536</v>
      </c>
      <c r="AR56" s="236" t="s">
        <v>536</v>
      </c>
      <c r="AS56" s="236" t="s">
        <v>536</v>
      </c>
      <c r="AT56" s="236" t="s">
        <v>536</v>
      </c>
      <c r="AU56" s="236" t="s">
        <v>536</v>
      </c>
      <c r="AV56" s="236" t="s">
        <v>536</v>
      </c>
      <c r="AW56" s="236" t="s">
        <v>536</v>
      </c>
      <c r="AX56" s="236" t="s">
        <v>536</v>
      </c>
      <c r="AY56" s="236" t="s">
        <v>536</v>
      </c>
      <c r="AZ56" s="237" t="s">
        <v>3114</v>
      </c>
      <c r="BA56" s="266"/>
    </row>
    <row r="57" spans="1:53" ht="318.75" x14ac:dyDescent="0.25">
      <c r="A57" s="202"/>
      <c r="B57" s="668"/>
      <c r="C57" s="668"/>
      <c r="D57" s="204"/>
      <c r="E57" s="669"/>
      <c r="F57" s="669" t="s">
        <v>3103</v>
      </c>
      <c r="G57" s="649" t="s">
        <v>3104</v>
      </c>
      <c r="H57" s="670" t="s">
        <v>3187</v>
      </c>
      <c r="I57" s="670" t="s">
        <v>3177</v>
      </c>
      <c r="J57" s="757">
        <v>5</v>
      </c>
      <c r="K57" s="758" t="s">
        <v>526</v>
      </c>
      <c r="L57" s="759">
        <v>4</v>
      </c>
      <c r="M57" s="769">
        <v>4</v>
      </c>
      <c r="N57" s="266"/>
      <c r="O57" s="266"/>
      <c r="P57" s="671"/>
      <c r="Q57" s="266"/>
      <c r="R57" s="266"/>
      <c r="S57" s="266"/>
      <c r="T57" s="266"/>
      <c r="U57" s="761"/>
      <c r="V57" s="761"/>
      <c r="W57" s="761"/>
      <c r="X57" s="761"/>
      <c r="Y57" s="761"/>
      <c r="Z57" s="761"/>
      <c r="AA57" s="761"/>
      <c r="AB57" s="761"/>
      <c r="AC57" s="761"/>
      <c r="AD57" s="761"/>
      <c r="AE57" s="266"/>
      <c r="AF57" s="266"/>
      <c r="AG57" s="658" t="s">
        <v>3189</v>
      </c>
      <c r="AH57" s="762"/>
      <c r="AI57" s="763" t="s">
        <v>3190</v>
      </c>
      <c r="AJ57" s="762" t="s">
        <v>1460</v>
      </c>
      <c r="AK57" s="762">
        <v>4060</v>
      </c>
      <c r="AL57" s="741">
        <v>4137376</v>
      </c>
      <c r="AM57" s="764"/>
      <c r="AN57" s="236" t="s">
        <v>536</v>
      </c>
      <c r="AO57" s="236" t="s">
        <v>536</v>
      </c>
      <c r="AP57" s="236" t="s">
        <v>536</v>
      </c>
      <c r="AQ57" s="236" t="s">
        <v>536</v>
      </c>
      <c r="AR57" s="236" t="s">
        <v>536</v>
      </c>
      <c r="AS57" s="236" t="s">
        <v>536</v>
      </c>
      <c r="AT57" s="236" t="s">
        <v>536</v>
      </c>
      <c r="AU57" s="236" t="s">
        <v>536</v>
      </c>
      <c r="AV57" s="236" t="s">
        <v>536</v>
      </c>
      <c r="AW57" s="236" t="s">
        <v>536</v>
      </c>
      <c r="AX57" s="236" t="s">
        <v>536</v>
      </c>
      <c r="AY57" s="236" t="s">
        <v>536</v>
      </c>
      <c r="AZ57" s="237" t="s">
        <v>3114</v>
      </c>
      <c r="BA57" s="266"/>
    </row>
    <row r="58" spans="1:53" ht="255" x14ac:dyDescent="0.25">
      <c r="A58" s="202"/>
      <c r="B58" s="668"/>
      <c r="C58" s="668"/>
      <c r="D58" s="204"/>
      <c r="E58" s="669"/>
      <c r="F58" s="669" t="s">
        <v>3103</v>
      </c>
      <c r="G58" s="649" t="s">
        <v>3104</v>
      </c>
      <c r="H58" s="670" t="s">
        <v>3187</v>
      </c>
      <c r="I58" s="670" t="s">
        <v>3177</v>
      </c>
      <c r="J58" s="757">
        <v>5</v>
      </c>
      <c r="K58" s="758" t="s">
        <v>526</v>
      </c>
      <c r="L58" s="759">
        <v>4</v>
      </c>
      <c r="M58" s="769">
        <v>4</v>
      </c>
      <c r="N58" s="266"/>
      <c r="O58" s="266"/>
      <c r="P58" s="671"/>
      <c r="Q58" s="266"/>
      <c r="R58" s="266"/>
      <c r="S58" s="266"/>
      <c r="T58" s="266"/>
      <c r="U58" s="761"/>
      <c r="V58" s="761"/>
      <c r="W58" s="761"/>
      <c r="X58" s="761"/>
      <c r="Y58" s="761"/>
      <c r="Z58" s="761"/>
      <c r="AA58" s="761"/>
      <c r="AB58" s="761"/>
      <c r="AC58" s="761"/>
      <c r="AD58" s="761"/>
      <c r="AE58" s="266"/>
      <c r="AF58" s="266"/>
      <c r="AG58" s="658" t="s">
        <v>3191</v>
      </c>
      <c r="AH58" s="762"/>
      <c r="AI58" s="763" t="s">
        <v>3144</v>
      </c>
      <c r="AJ58" s="762" t="s">
        <v>1560</v>
      </c>
      <c r="AK58" s="762"/>
      <c r="AL58" s="741">
        <v>300000</v>
      </c>
      <c r="AM58" s="764"/>
      <c r="AN58" s="236" t="s">
        <v>536</v>
      </c>
      <c r="AO58" s="236" t="s">
        <v>536</v>
      </c>
      <c r="AP58" s="236" t="s">
        <v>536</v>
      </c>
      <c r="AQ58" s="236" t="s">
        <v>536</v>
      </c>
      <c r="AR58" s="236" t="s">
        <v>536</v>
      </c>
      <c r="AS58" s="236" t="s">
        <v>536</v>
      </c>
      <c r="AT58" s="236" t="s">
        <v>536</v>
      </c>
      <c r="AU58" s="236" t="s">
        <v>536</v>
      </c>
      <c r="AV58" s="236" t="s">
        <v>536</v>
      </c>
      <c r="AW58" s="236" t="s">
        <v>536</v>
      </c>
      <c r="AX58" s="236" t="s">
        <v>536</v>
      </c>
      <c r="AY58" s="236" t="s">
        <v>536</v>
      </c>
      <c r="AZ58" s="237" t="s">
        <v>3114</v>
      </c>
      <c r="BA58" s="266"/>
    </row>
    <row r="59" spans="1:53" ht="255" x14ac:dyDescent="0.25">
      <c r="A59" s="202"/>
      <c r="B59" s="668"/>
      <c r="C59" s="668"/>
      <c r="D59" s="204"/>
      <c r="E59" s="669"/>
      <c r="F59" s="669" t="s">
        <v>3103</v>
      </c>
      <c r="G59" s="649" t="s">
        <v>3104</v>
      </c>
      <c r="H59" s="670" t="s">
        <v>3187</v>
      </c>
      <c r="I59" s="670" t="s">
        <v>3177</v>
      </c>
      <c r="J59" s="757">
        <v>5</v>
      </c>
      <c r="K59" s="758" t="s">
        <v>526</v>
      </c>
      <c r="L59" s="759">
        <v>4</v>
      </c>
      <c r="M59" s="769">
        <v>4</v>
      </c>
      <c r="N59" s="266"/>
      <c r="O59" s="266"/>
      <c r="P59" s="671"/>
      <c r="Q59" s="266"/>
      <c r="R59" s="266"/>
      <c r="S59" s="266"/>
      <c r="T59" s="266"/>
      <c r="U59" s="761"/>
      <c r="V59" s="761"/>
      <c r="W59" s="761"/>
      <c r="X59" s="761"/>
      <c r="Y59" s="761"/>
      <c r="Z59" s="761"/>
      <c r="AA59" s="761"/>
      <c r="AB59" s="761"/>
      <c r="AC59" s="761"/>
      <c r="AD59" s="761"/>
      <c r="AE59" s="266"/>
      <c r="AF59" s="266"/>
      <c r="AG59" s="658" t="s">
        <v>3192</v>
      </c>
      <c r="AH59" s="762"/>
      <c r="AI59" s="763" t="s">
        <v>3193</v>
      </c>
      <c r="AJ59" s="762" t="s">
        <v>1539</v>
      </c>
      <c r="AK59" s="762"/>
      <c r="AL59" s="741">
        <v>1038048</v>
      </c>
      <c r="AM59" s="764"/>
      <c r="AN59" s="236" t="s">
        <v>536</v>
      </c>
      <c r="AO59" s="236" t="s">
        <v>536</v>
      </c>
      <c r="AP59" s="236" t="s">
        <v>536</v>
      </c>
      <c r="AQ59" s="236" t="s">
        <v>536</v>
      </c>
      <c r="AR59" s="236" t="s">
        <v>536</v>
      </c>
      <c r="AS59" s="236" t="s">
        <v>536</v>
      </c>
      <c r="AT59" s="236" t="s">
        <v>536</v>
      </c>
      <c r="AU59" s="236" t="s">
        <v>536</v>
      </c>
      <c r="AV59" s="236" t="s">
        <v>536</v>
      </c>
      <c r="AW59" s="236" t="s">
        <v>536</v>
      </c>
      <c r="AX59" s="236" t="s">
        <v>536</v>
      </c>
      <c r="AY59" s="236" t="s">
        <v>536</v>
      </c>
      <c r="AZ59" s="237" t="s">
        <v>3114</v>
      </c>
      <c r="BA59" s="266"/>
    </row>
    <row r="60" spans="1:53" ht="255" x14ac:dyDescent="0.25">
      <c r="A60" s="202"/>
      <c r="B60" s="668"/>
      <c r="C60" s="668"/>
      <c r="D60" s="204"/>
      <c r="E60" s="669"/>
      <c r="F60" s="669" t="s">
        <v>3103</v>
      </c>
      <c r="G60" s="649" t="s">
        <v>3104</v>
      </c>
      <c r="H60" s="670" t="s">
        <v>3187</v>
      </c>
      <c r="I60" s="670" t="s">
        <v>3177</v>
      </c>
      <c r="J60" s="757">
        <v>5</v>
      </c>
      <c r="K60" s="758" t="s">
        <v>526</v>
      </c>
      <c r="L60" s="759">
        <v>4</v>
      </c>
      <c r="M60" s="769">
        <v>4</v>
      </c>
      <c r="N60" s="266"/>
      <c r="O60" s="266"/>
      <c r="P60" s="671"/>
      <c r="Q60" s="266"/>
      <c r="R60" s="266"/>
      <c r="S60" s="266"/>
      <c r="T60" s="266"/>
      <c r="U60" s="761"/>
      <c r="V60" s="761"/>
      <c r="W60" s="761"/>
      <c r="X60" s="761"/>
      <c r="Y60" s="761"/>
      <c r="Z60" s="761"/>
      <c r="AA60" s="761"/>
      <c r="AB60" s="761"/>
      <c r="AC60" s="761"/>
      <c r="AD60" s="761"/>
      <c r="AE60" s="266"/>
      <c r="AF60" s="266"/>
      <c r="AG60" s="686" t="s">
        <v>3194</v>
      </c>
      <c r="AH60" s="762"/>
      <c r="AI60" s="763" t="s">
        <v>3195</v>
      </c>
      <c r="AJ60" s="762" t="s">
        <v>3195</v>
      </c>
      <c r="AK60" s="762"/>
      <c r="AL60" s="766">
        <v>1466027</v>
      </c>
      <c r="AM60" s="764"/>
      <c r="AN60" s="236" t="s">
        <v>536</v>
      </c>
      <c r="AO60" s="236" t="s">
        <v>536</v>
      </c>
      <c r="AP60" s="236" t="s">
        <v>536</v>
      </c>
      <c r="AQ60" s="236" t="s">
        <v>536</v>
      </c>
      <c r="AR60" s="236" t="s">
        <v>536</v>
      </c>
      <c r="AS60" s="236" t="s">
        <v>536</v>
      </c>
      <c r="AT60" s="236" t="s">
        <v>536</v>
      </c>
      <c r="AU60" s="236" t="s">
        <v>536</v>
      </c>
      <c r="AV60" s="236" t="s">
        <v>536</v>
      </c>
      <c r="AW60" s="236" t="s">
        <v>536</v>
      </c>
      <c r="AX60" s="236" t="s">
        <v>536</v>
      </c>
      <c r="AY60" s="236" t="s">
        <v>536</v>
      </c>
      <c r="AZ60" s="237" t="s">
        <v>3114</v>
      </c>
      <c r="BA60" s="266"/>
    </row>
    <row r="61" spans="1:53" ht="267.75" x14ac:dyDescent="0.25">
      <c r="A61" s="202"/>
      <c r="B61" s="668"/>
      <c r="C61" s="668"/>
      <c r="D61" s="204"/>
      <c r="E61" s="669"/>
      <c r="F61" s="669" t="s">
        <v>3103</v>
      </c>
      <c r="G61" s="649" t="s">
        <v>3104</v>
      </c>
      <c r="H61" s="670" t="s">
        <v>3187</v>
      </c>
      <c r="I61" s="670" t="s">
        <v>3177</v>
      </c>
      <c r="J61" s="757">
        <v>5</v>
      </c>
      <c r="K61" s="758" t="s">
        <v>526</v>
      </c>
      <c r="L61" s="759">
        <v>4</v>
      </c>
      <c r="M61" s="769">
        <v>4</v>
      </c>
      <c r="N61" s="266"/>
      <c r="O61" s="266"/>
      <c r="P61" s="671"/>
      <c r="Q61" s="266"/>
      <c r="R61" s="266"/>
      <c r="S61" s="266"/>
      <c r="T61" s="266"/>
      <c r="U61" s="761"/>
      <c r="V61" s="761"/>
      <c r="W61" s="761"/>
      <c r="X61" s="761"/>
      <c r="Y61" s="761"/>
      <c r="Z61" s="761"/>
      <c r="AA61" s="761"/>
      <c r="AB61" s="761"/>
      <c r="AC61" s="761"/>
      <c r="AD61" s="761"/>
      <c r="AE61" s="266"/>
      <c r="AF61" s="266"/>
      <c r="AG61" s="686" t="s">
        <v>3196</v>
      </c>
      <c r="AH61" s="765">
        <v>2018003190120</v>
      </c>
      <c r="AI61" s="763" t="s">
        <v>3133</v>
      </c>
      <c r="AJ61" s="762" t="s">
        <v>1560</v>
      </c>
      <c r="AK61" s="762"/>
      <c r="AL61" s="766">
        <f>2314112429/1000</f>
        <v>2314112.429</v>
      </c>
      <c r="AM61" s="764"/>
      <c r="AN61" s="236" t="s">
        <v>536</v>
      </c>
      <c r="AO61" s="236" t="s">
        <v>536</v>
      </c>
      <c r="AP61" s="236" t="s">
        <v>536</v>
      </c>
      <c r="AQ61" s="236" t="s">
        <v>536</v>
      </c>
      <c r="AR61" s="236" t="s">
        <v>536</v>
      </c>
      <c r="AS61" s="236" t="s">
        <v>536</v>
      </c>
      <c r="AT61" s="236" t="s">
        <v>536</v>
      </c>
      <c r="AU61" s="236" t="s">
        <v>536</v>
      </c>
      <c r="AV61" s="236" t="s">
        <v>536</v>
      </c>
      <c r="AW61" s="236" t="s">
        <v>536</v>
      </c>
      <c r="AX61" s="236" t="s">
        <v>536</v>
      </c>
      <c r="AY61" s="236" t="s">
        <v>536</v>
      </c>
      <c r="AZ61" s="237" t="s">
        <v>3114</v>
      </c>
      <c r="BA61" s="266"/>
    </row>
    <row r="62" spans="1:53" x14ac:dyDescent="0.25">
      <c r="A62" s="687"/>
      <c r="B62" s="491"/>
      <c r="C62" s="688"/>
      <c r="D62" s="688"/>
      <c r="E62" s="689"/>
      <c r="F62" s="491"/>
      <c r="G62" s="690"/>
      <c r="H62" s="691"/>
      <c r="I62" s="691"/>
      <c r="J62" s="781"/>
      <c r="K62" s="781"/>
      <c r="L62" s="782"/>
      <c r="M62" s="783"/>
      <c r="N62" s="492"/>
      <c r="O62" s="492"/>
      <c r="P62" s="692"/>
      <c r="Q62" s="492"/>
      <c r="R62" s="492"/>
      <c r="S62" s="492"/>
      <c r="T62" s="492"/>
      <c r="U62" s="784"/>
      <c r="V62" s="784"/>
      <c r="W62" s="784"/>
      <c r="X62" s="784"/>
      <c r="Y62" s="784"/>
      <c r="Z62" s="784"/>
      <c r="AA62" s="784"/>
      <c r="AB62" s="784"/>
      <c r="AC62" s="784"/>
      <c r="AD62" s="784"/>
      <c r="AE62" s="492"/>
      <c r="AF62" s="492"/>
      <c r="AG62" s="785"/>
      <c r="AH62" s="786"/>
      <c r="AI62" s="494"/>
      <c r="AJ62" s="786"/>
      <c r="AK62" s="786"/>
      <c r="AL62" s="787"/>
      <c r="AM62" s="492"/>
      <c r="AN62" s="492"/>
      <c r="AO62" s="492"/>
      <c r="AP62" s="492"/>
      <c r="AQ62" s="492"/>
      <c r="AR62" s="492"/>
      <c r="AS62" s="492"/>
      <c r="AT62" s="492"/>
      <c r="AU62" s="492"/>
      <c r="AV62" s="492"/>
      <c r="AW62" s="492"/>
      <c r="AX62" s="492"/>
      <c r="AY62" s="492"/>
      <c r="AZ62" s="492"/>
      <c r="BA62" s="492"/>
    </row>
    <row r="63" spans="1:53" ht="288" x14ac:dyDescent="0.25">
      <c r="A63" s="107" t="s">
        <v>1245</v>
      </c>
      <c r="B63" s="103" t="s">
        <v>3099</v>
      </c>
      <c r="C63" s="973" t="s">
        <v>3197</v>
      </c>
      <c r="D63" s="973" t="s">
        <v>3198</v>
      </c>
      <c r="E63" s="967">
        <v>0</v>
      </c>
      <c r="F63" s="103" t="s">
        <v>3199</v>
      </c>
      <c r="G63" s="649" t="s">
        <v>3200</v>
      </c>
      <c r="H63" s="651" t="s">
        <v>3201</v>
      </c>
      <c r="I63" s="651" t="s">
        <v>3202</v>
      </c>
      <c r="J63" s="734">
        <v>0</v>
      </c>
      <c r="K63" s="735" t="s">
        <v>526</v>
      </c>
      <c r="L63" s="736">
        <v>10</v>
      </c>
      <c r="M63" s="556">
        <v>6</v>
      </c>
      <c r="N63" s="225"/>
      <c r="O63" s="225"/>
      <c r="P63" s="693">
        <f>766200</f>
        <v>766200</v>
      </c>
      <c r="Q63" s="225"/>
      <c r="R63" s="225"/>
      <c r="S63" s="225"/>
      <c r="T63" s="225"/>
      <c r="U63" s="738"/>
      <c r="V63" s="738"/>
      <c r="W63" s="738"/>
      <c r="X63" s="738"/>
      <c r="Y63" s="738"/>
      <c r="Z63" s="738"/>
      <c r="AA63" s="738"/>
      <c r="AB63" s="738"/>
      <c r="AC63" s="738"/>
      <c r="AD63" s="738"/>
      <c r="AE63" s="225"/>
      <c r="AF63" s="225"/>
      <c r="AG63" s="674" t="s">
        <v>3203</v>
      </c>
      <c r="AH63" s="739"/>
      <c r="AI63" s="740" t="s">
        <v>3204</v>
      </c>
      <c r="AJ63" s="739"/>
      <c r="AK63" s="739"/>
      <c r="AL63" s="742">
        <v>540000</v>
      </c>
      <c r="AM63" s="555" t="s">
        <v>3205</v>
      </c>
      <c r="AN63" s="236" t="s">
        <v>536</v>
      </c>
      <c r="AO63" s="236" t="s">
        <v>536</v>
      </c>
      <c r="AP63" s="236" t="s">
        <v>536</v>
      </c>
      <c r="AQ63" s="236" t="s">
        <v>536</v>
      </c>
      <c r="AR63" s="236" t="s">
        <v>536</v>
      </c>
      <c r="AS63" s="236" t="s">
        <v>536</v>
      </c>
      <c r="AT63" s="236" t="s">
        <v>536</v>
      </c>
      <c r="AU63" s="236" t="s">
        <v>536</v>
      </c>
      <c r="AV63" s="236" t="s">
        <v>536</v>
      </c>
      <c r="AW63" s="236" t="s">
        <v>536</v>
      </c>
      <c r="AX63" s="236" t="s">
        <v>536</v>
      </c>
      <c r="AY63" s="236" t="s">
        <v>536</v>
      </c>
      <c r="AZ63" s="256" t="s">
        <v>3206</v>
      </c>
      <c r="BA63" s="225"/>
    </row>
    <row r="64" spans="1:53" ht="168" x14ac:dyDescent="0.25">
      <c r="A64" s="200" t="s">
        <v>1245</v>
      </c>
      <c r="B64" s="201" t="s">
        <v>3099</v>
      </c>
      <c r="C64" s="973"/>
      <c r="D64" s="973"/>
      <c r="E64" s="967"/>
      <c r="F64" s="201" t="s">
        <v>3199</v>
      </c>
      <c r="G64" s="649" t="s">
        <v>3200</v>
      </c>
      <c r="H64" s="694" t="s">
        <v>3207</v>
      </c>
      <c r="I64" s="649" t="s">
        <v>3208</v>
      </c>
      <c r="J64" s="788">
        <v>0</v>
      </c>
      <c r="K64" s="789" t="s">
        <v>526</v>
      </c>
      <c r="L64" s="790">
        <v>15</v>
      </c>
      <c r="M64" s="791">
        <v>15</v>
      </c>
      <c r="N64" s="246"/>
      <c r="O64" s="246"/>
      <c r="P64" s="695">
        <v>200000</v>
      </c>
      <c r="Q64" s="246"/>
      <c r="R64" s="246"/>
      <c r="S64" s="246"/>
      <c r="T64" s="246"/>
      <c r="U64" s="744"/>
      <c r="V64" s="744"/>
      <c r="W64" s="744"/>
      <c r="X64" s="744"/>
      <c r="Y64" s="744"/>
      <c r="Z64" s="744"/>
      <c r="AA64" s="744"/>
      <c r="AB64" s="744"/>
      <c r="AC64" s="744"/>
      <c r="AD64" s="744"/>
      <c r="AE64" s="246"/>
      <c r="AF64" s="246"/>
      <c r="AG64" s="792" t="s">
        <v>3209</v>
      </c>
      <c r="AH64" s="793"/>
      <c r="AI64" s="794" t="s">
        <v>3210</v>
      </c>
      <c r="AJ64" s="793"/>
      <c r="AK64" s="793"/>
      <c r="AL64" s="795">
        <v>800000</v>
      </c>
      <c r="AM64" s="696" t="s">
        <v>3211</v>
      </c>
      <c r="AN64" s="248" t="s">
        <v>536</v>
      </c>
      <c r="AO64" s="248" t="s">
        <v>536</v>
      </c>
      <c r="AP64" s="246" t="s">
        <v>536</v>
      </c>
      <c r="AQ64" s="246" t="s">
        <v>536</v>
      </c>
      <c r="AR64" s="246" t="s">
        <v>536</v>
      </c>
      <c r="AS64" s="246" t="s">
        <v>536</v>
      </c>
      <c r="AT64" s="246" t="s">
        <v>536</v>
      </c>
      <c r="AU64" s="246" t="s">
        <v>536</v>
      </c>
      <c r="AV64" s="246" t="s">
        <v>536</v>
      </c>
      <c r="AW64" s="246" t="s">
        <v>536</v>
      </c>
      <c r="AX64" s="246" t="s">
        <v>536</v>
      </c>
      <c r="AY64" s="246" t="s">
        <v>536</v>
      </c>
      <c r="AZ64" s="796" t="s">
        <v>3212</v>
      </c>
      <c r="BA64" s="246"/>
    </row>
    <row r="65" spans="1:53" x14ac:dyDescent="0.25">
      <c r="A65" s="664"/>
      <c r="B65" s="665"/>
      <c r="C65" s="697"/>
      <c r="D65" s="697"/>
      <c r="E65" s="698"/>
      <c r="F65" s="665"/>
      <c r="G65" s="666"/>
      <c r="H65" s="666"/>
      <c r="I65" s="666"/>
      <c r="J65" s="748"/>
      <c r="K65" s="748"/>
      <c r="L65" s="749"/>
      <c r="M65" s="750"/>
      <c r="N65" s="751"/>
      <c r="O65" s="751"/>
      <c r="P65" s="699"/>
      <c r="Q65" s="751"/>
      <c r="R65" s="751"/>
      <c r="S65" s="751"/>
      <c r="T65" s="751"/>
      <c r="U65" s="752"/>
      <c r="V65" s="752"/>
      <c r="W65" s="752"/>
      <c r="X65" s="752"/>
      <c r="Y65" s="752"/>
      <c r="Z65" s="752"/>
      <c r="AA65" s="752"/>
      <c r="AB65" s="752"/>
      <c r="AC65" s="752"/>
      <c r="AD65" s="752"/>
      <c r="AE65" s="751"/>
      <c r="AF65" s="751"/>
      <c r="AG65" s="753"/>
      <c r="AH65" s="754"/>
      <c r="AI65" s="755"/>
      <c r="AJ65" s="754"/>
      <c r="AK65" s="754"/>
      <c r="AL65" s="767"/>
      <c r="AM65" s="751"/>
      <c r="AN65" s="751"/>
      <c r="AO65" s="751"/>
      <c r="AP65" s="751"/>
      <c r="AQ65" s="751"/>
      <c r="AR65" s="751"/>
      <c r="AS65" s="751"/>
      <c r="AT65" s="751"/>
      <c r="AU65" s="751"/>
      <c r="AV65" s="751"/>
      <c r="AW65" s="751"/>
      <c r="AX65" s="751"/>
      <c r="AY65" s="751"/>
      <c r="AZ65" s="751"/>
      <c r="BA65" s="751"/>
    </row>
    <row r="66" spans="1:53" ht="240" x14ac:dyDescent="0.25">
      <c r="A66" s="678" t="s">
        <v>1245</v>
      </c>
      <c r="B66" s="213" t="s">
        <v>3099</v>
      </c>
      <c r="C66" s="967" t="s">
        <v>3213</v>
      </c>
      <c r="D66" s="967" t="s">
        <v>3214</v>
      </c>
      <c r="E66" s="103" t="s">
        <v>3215</v>
      </c>
      <c r="F66" s="103" t="s">
        <v>3199</v>
      </c>
      <c r="G66" s="649" t="s">
        <v>3200</v>
      </c>
      <c r="H66" s="700" t="s">
        <v>3216</v>
      </c>
      <c r="I66" s="701" t="s">
        <v>3217</v>
      </c>
      <c r="J66" s="734">
        <v>0</v>
      </c>
      <c r="K66" s="735" t="s">
        <v>527</v>
      </c>
      <c r="L66" s="797">
        <v>1</v>
      </c>
      <c r="M66" s="798">
        <v>1</v>
      </c>
      <c r="N66" s="770"/>
      <c r="O66" s="770"/>
      <c r="P66" s="679">
        <v>3300000</v>
      </c>
      <c r="Q66" s="770"/>
      <c r="R66" s="770"/>
      <c r="S66" s="770"/>
      <c r="T66" s="770"/>
      <c r="U66" s="771"/>
      <c r="V66" s="771"/>
      <c r="W66" s="771"/>
      <c r="X66" s="771"/>
      <c r="Y66" s="771"/>
      <c r="Z66" s="771"/>
      <c r="AA66" s="771"/>
      <c r="AB66" s="771"/>
      <c r="AC66" s="771"/>
      <c r="AD66" s="771"/>
      <c r="AE66" s="770"/>
      <c r="AF66" s="770"/>
      <c r="AG66" s="799"/>
      <c r="AH66" s="800"/>
      <c r="AI66" s="801"/>
      <c r="AJ66" s="800"/>
      <c r="AK66" s="739"/>
      <c r="AL66" s="742"/>
      <c r="AM66" s="243"/>
      <c r="AN66" s="236" t="s">
        <v>536</v>
      </c>
      <c r="AO66" s="236" t="s">
        <v>536</v>
      </c>
      <c r="AP66" s="236" t="s">
        <v>536</v>
      </c>
      <c r="AQ66" s="236" t="s">
        <v>536</v>
      </c>
      <c r="AR66" s="236" t="s">
        <v>536</v>
      </c>
      <c r="AS66" s="236" t="s">
        <v>536</v>
      </c>
      <c r="AT66" s="236" t="s">
        <v>536</v>
      </c>
      <c r="AU66" s="236" t="s">
        <v>536</v>
      </c>
      <c r="AV66" s="236" t="s">
        <v>536</v>
      </c>
      <c r="AW66" s="236" t="s">
        <v>536</v>
      </c>
      <c r="AX66" s="236" t="s">
        <v>536</v>
      </c>
      <c r="AY66" s="236" t="s">
        <v>536</v>
      </c>
      <c r="AZ66" s="256" t="s">
        <v>3218</v>
      </c>
      <c r="BA66" s="225"/>
    </row>
    <row r="67" spans="1:53" x14ac:dyDescent="0.25">
      <c r="A67" s="702"/>
      <c r="B67" s="703"/>
      <c r="C67" s="967"/>
      <c r="D67" s="967"/>
      <c r="E67" s="703"/>
      <c r="F67" s="703"/>
      <c r="G67" s="704"/>
      <c r="H67" s="705"/>
      <c r="I67" s="705"/>
      <c r="J67" s="802"/>
      <c r="K67" s="802"/>
      <c r="L67" s="803"/>
      <c r="M67" s="804"/>
      <c r="N67" s="805"/>
      <c r="O67" s="805"/>
      <c r="P67" s="706"/>
      <c r="Q67" s="805"/>
      <c r="R67" s="805"/>
      <c r="S67" s="805"/>
      <c r="T67" s="805"/>
      <c r="U67" s="806"/>
      <c r="V67" s="806"/>
      <c r="W67" s="806"/>
      <c r="X67" s="806"/>
      <c r="Y67" s="806"/>
      <c r="Z67" s="806"/>
      <c r="AA67" s="806"/>
      <c r="AB67" s="806"/>
      <c r="AC67" s="806"/>
      <c r="AD67" s="806"/>
      <c r="AE67" s="805"/>
      <c r="AF67" s="805"/>
      <c r="AG67" s="807"/>
      <c r="AH67" s="808"/>
      <c r="AI67" s="809"/>
      <c r="AJ67" s="808"/>
      <c r="AK67" s="808"/>
      <c r="AL67" s="810"/>
      <c r="AM67" s="805"/>
      <c r="AN67" s="805"/>
      <c r="AO67" s="805"/>
      <c r="AP67" s="805"/>
      <c r="AQ67" s="805"/>
      <c r="AR67" s="805"/>
      <c r="AS67" s="805"/>
      <c r="AT67" s="805"/>
      <c r="AU67" s="805"/>
      <c r="AV67" s="805"/>
      <c r="AW67" s="805"/>
      <c r="AX67" s="805"/>
      <c r="AY67" s="805"/>
      <c r="AZ67" s="805"/>
      <c r="BA67" s="805"/>
    </row>
    <row r="68" spans="1:53" ht="240" x14ac:dyDescent="0.25">
      <c r="A68" s="678" t="s">
        <v>1245</v>
      </c>
      <c r="B68" s="213" t="s">
        <v>3099</v>
      </c>
      <c r="C68" s="967"/>
      <c r="D68" s="967"/>
      <c r="E68" s="103"/>
      <c r="F68" s="103" t="s">
        <v>3199</v>
      </c>
      <c r="G68" s="649" t="s">
        <v>3200</v>
      </c>
      <c r="H68" s="578" t="s">
        <v>3219</v>
      </c>
      <c r="I68" s="651" t="s">
        <v>3220</v>
      </c>
      <c r="J68" s="734">
        <v>0</v>
      </c>
      <c r="K68" s="735" t="s">
        <v>526</v>
      </c>
      <c r="L68" s="736">
        <v>10</v>
      </c>
      <c r="M68" s="737">
        <v>8</v>
      </c>
      <c r="N68" s="770"/>
      <c r="O68" s="770"/>
      <c r="P68" s="679">
        <v>2030990</v>
      </c>
      <c r="Q68" s="770"/>
      <c r="R68" s="770"/>
      <c r="S68" s="770"/>
      <c r="T68" s="811"/>
      <c r="U68" s="738"/>
      <c r="V68" s="738"/>
      <c r="W68" s="738"/>
      <c r="X68" s="738"/>
      <c r="Y68" s="738"/>
      <c r="Z68" s="738"/>
      <c r="AA68" s="738"/>
      <c r="AB68" s="738"/>
      <c r="AC68" s="738"/>
      <c r="AD68" s="738"/>
      <c r="AE68" s="225"/>
      <c r="AF68" s="225"/>
      <c r="AG68" s="812" t="s">
        <v>3221</v>
      </c>
      <c r="AH68" s="739"/>
      <c r="AI68" s="740" t="s">
        <v>3125</v>
      </c>
      <c r="AJ68" s="739" t="s">
        <v>1560</v>
      </c>
      <c r="AK68" s="739">
        <v>4972</v>
      </c>
      <c r="AL68" s="742">
        <v>154000</v>
      </c>
      <c r="AM68" s="813" t="s">
        <v>3222</v>
      </c>
      <c r="AN68" s="236" t="s">
        <v>536</v>
      </c>
      <c r="AO68" s="236" t="s">
        <v>536</v>
      </c>
      <c r="AP68" s="236" t="s">
        <v>536</v>
      </c>
      <c r="AQ68" s="236" t="s">
        <v>536</v>
      </c>
      <c r="AR68" s="236" t="s">
        <v>536</v>
      </c>
      <c r="AS68" s="236" t="s">
        <v>536</v>
      </c>
      <c r="AT68" s="236" t="s">
        <v>536</v>
      </c>
      <c r="AU68" s="236" t="s">
        <v>536</v>
      </c>
      <c r="AV68" s="236" t="s">
        <v>536</v>
      </c>
      <c r="AW68" s="236" t="s">
        <v>536</v>
      </c>
      <c r="AX68" s="236" t="s">
        <v>536</v>
      </c>
      <c r="AY68" s="236" t="s">
        <v>536</v>
      </c>
      <c r="AZ68" s="256" t="s">
        <v>3218</v>
      </c>
      <c r="BA68" s="225"/>
    </row>
    <row r="69" spans="1:53" ht="240" x14ac:dyDescent="0.25">
      <c r="A69" s="707"/>
      <c r="B69" s="663"/>
      <c r="C69" s="708"/>
      <c r="D69" s="708"/>
      <c r="E69" s="648"/>
      <c r="F69" s="103" t="s">
        <v>3199</v>
      </c>
      <c r="G69" s="649" t="s">
        <v>3200</v>
      </c>
      <c r="H69" s="578" t="s">
        <v>3219</v>
      </c>
      <c r="I69" s="651" t="s">
        <v>3220</v>
      </c>
      <c r="J69" s="734">
        <v>0</v>
      </c>
      <c r="K69" s="735" t="s">
        <v>526</v>
      </c>
      <c r="L69" s="736">
        <v>10</v>
      </c>
      <c r="M69" s="737">
        <v>8</v>
      </c>
      <c r="N69" s="225"/>
      <c r="O69" s="225"/>
      <c r="P69" s="652"/>
      <c r="Q69" s="814"/>
      <c r="R69" s="814"/>
      <c r="S69" s="814"/>
      <c r="T69" s="814"/>
      <c r="U69" s="738"/>
      <c r="V69" s="738"/>
      <c r="W69" s="738"/>
      <c r="X69" s="738"/>
      <c r="Y69" s="738"/>
      <c r="Z69" s="738"/>
      <c r="AA69" s="738"/>
      <c r="AB69" s="738"/>
      <c r="AC69" s="738"/>
      <c r="AD69" s="738"/>
      <c r="AE69" s="225"/>
      <c r="AF69" s="225"/>
      <c r="AG69" s="812" t="s">
        <v>3223</v>
      </c>
      <c r="AH69" s="739"/>
      <c r="AI69" s="740" t="s">
        <v>1524</v>
      </c>
      <c r="AJ69" s="739" t="s">
        <v>1471</v>
      </c>
      <c r="AK69" s="739"/>
      <c r="AL69" s="742">
        <v>249000</v>
      </c>
      <c r="AM69" s="243"/>
      <c r="AN69" s="236" t="s">
        <v>536</v>
      </c>
      <c r="AO69" s="236" t="s">
        <v>536</v>
      </c>
      <c r="AP69" s="236" t="s">
        <v>536</v>
      </c>
      <c r="AQ69" s="236" t="s">
        <v>536</v>
      </c>
      <c r="AR69" s="236" t="s">
        <v>536</v>
      </c>
      <c r="AS69" s="236" t="s">
        <v>536</v>
      </c>
      <c r="AT69" s="236" t="s">
        <v>536</v>
      </c>
      <c r="AU69" s="236" t="s">
        <v>536</v>
      </c>
      <c r="AV69" s="236" t="s">
        <v>536</v>
      </c>
      <c r="AW69" s="236" t="s">
        <v>536</v>
      </c>
      <c r="AX69" s="236" t="s">
        <v>536</v>
      </c>
      <c r="AY69" s="236" t="s">
        <v>536</v>
      </c>
      <c r="AZ69" s="256" t="s">
        <v>3218</v>
      </c>
      <c r="BA69" s="225"/>
    </row>
    <row r="70" spans="1:53" ht="240" x14ac:dyDescent="0.25">
      <c r="A70" s="707"/>
      <c r="B70" s="663"/>
      <c r="C70" s="708"/>
      <c r="D70" s="708"/>
      <c r="E70" s="648"/>
      <c r="F70" s="103" t="s">
        <v>3199</v>
      </c>
      <c r="G70" s="649" t="s">
        <v>3200</v>
      </c>
      <c r="H70" s="578" t="s">
        <v>3219</v>
      </c>
      <c r="I70" s="651" t="s">
        <v>3220</v>
      </c>
      <c r="J70" s="734">
        <v>0</v>
      </c>
      <c r="K70" s="735" t="s">
        <v>526</v>
      </c>
      <c r="L70" s="736">
        <v>10</v>
      </c>
      <c r="M70" s="737">
        <v>8</v>
      </c>
      <c r="N70" s="225"/>
      <c r="O70" s="225"/>
      <c r="P70" s="652"/>
      <c r="Q70" s="814"/>
      <c r="R70" s="814"/>
      <c r="S70" s="814"/>
      <c r="T70" s="814"/>
      <c r="U70" s="738"/>
      <c r="V70" s="738"/>
      <c r="W70" s="738"/>
      <c r="X70" s="738"/>
      <c r="Y70" s="738"/>
      <c r="Z70" s="738"/>
      <c r="AA70" s="738"/>
      <c r="AB70" s="738"/>
      <c r="AC70" s="738"/>
      <c r="AD70" s="738"/>
      <c r="AE70" s="225"/>
      <c r="AF70" s="225"/>
      <c r="AG70" s="812" t="s">
        <v>3224</v>
      </c>
      <c r="AH70" s="739"/>
      <c r="AI70" s="740" t="s">
        <v>1556</v>
      </c>
      <c r="AJ70" s="739" t="s">
        <v>1551</v>
      </c>
      <c r="AK70" s="739">
        <v>2713</v>
      </c>
      <c r="AL70" s="742">
        <v>217000</v>
      </c>
      <c r="AM70" s="243"/>
      <c r="AN70" s="236" t="s">
        <v>536</v>
      </c>
      <c r="AO70" s="236" t="s">
        <v>536</v>
      </c>
      <c r="AP70" s="236" t="s">
        <v>536</v>
      </c>
      <c r="AQ70" s="236" t="s">
        <v>536</v>
      </c>
      <c r="AR70" s="236" t="s">
        <v>536</v>
      </c>
      <c r="AS70" s="236" t="s">
        <v>536</v>
      </c>
      <c r="AT70" s="236" t="s">
        <v>536</v>
      </c>
      <c r="AU70" s="236" t="s">
        <v>536</v>
      </c>
      <c r="AV70" s="236" t="s">
        <v>536</v>
      </c>
      <c r="AW70" s="236" t="s">
        <v>536</v>
      </c>
      <c r="AX70" s="236" t="s">
        <v>536</v>
      </c>
      <c r="AY70" s="236" t="s">
        <v>536</v>
      </c>
      <c r="AZ70" s="256" t="s">
        <v>3218</v>
      </c>
      <c r="BA70" s="225"/>
    </row>
    <row r="71" spans="1:53" ht="240" x14ac:dyDescent="0.25">
      <c r="A71" s="707"/>
      <c r="B71" s="663"/>
      <c r="C71" s="708"/>
      <c r="D71" s="708"/>
      <c r="E71" s="648"/>
      <c r="F71" s="103" t="s">
        <v>3199</v>
      </c>
      <c r="G71" s="649" t="s">
        <v>3200</v>
      </c>
      <c r="H71" s="578" t="s">
        <v>3219</v>
      </c>
      <c r="I71" s="651" t="s">
        <v>3220</v>
      </c>
      <c r="J71" s="734">
        <v>0</v>
      </c>
      <c r="K71" s="735" t="s">
        <v>526</v>
      </c>
      <c r="L71" s="736">
        <v>10</v>
      </c>
      <c r="M71" s="737">
        <v>8</v>
      </c>
      <c r="N71" s="225"/>
      <c r="O71" s="225"/>
      <c r="P71" s="652"/>
      <c r="Q71" s="814"/>
      <c r="R71" s="814"/>
      <c r="S71" s="814"/>
      <c r="T71" s="814"/>
      <c r="U71" s="738"/>
      <c r="V71" s="738"/>
      <c r="W71" s="738"/>
      <c r="X71" s="738"/>
      <c r="Y71" s="738"/>
      <c r="Z71" s="738"/>
      <c r="AA71" s="738"/>
      <c r="AB71" s="738"/>
      <c r="AC71" s="738"/>
      <c r="AD71" s="738"/>
      <c r="AE71" s="225"/>
      <c r="AF71" s="225"/>
      <c r="AG71" s="812" t="s">
        <v>3225</v>
      </c>
      <c r="AH71" s="739"/>
      <c r="AI71" s="740" t="s">
        <v>1459</v>
      </c>
      <c r="AJ71" s="739" t="s">
        <v>1539</v>
      </c>
      <c r="AK71" s="739"/>
      <c r="AL71" s="742">
        <v>150000</v>
      </c>
      <c r="AM71" s="243"/>
      <c r="AN71" s="236" t="s">
        <v>536</v>
      </c>
      <c r="AO71" s="236" t="s">
        <v>536</v>
      </c>
      <c r="AP71" s="236" t="s">
        <v>536</v>
      </c>
      <c r="AQ71" s="236" t="s">
        <v>536</v>
      </c>
      <c r="AR71" s="236" t="s">
        <v>536</v>
      </c>
      <c r="AS71" s="236" t="s">
        <v>536</v>
      </c>
      <c r="AT71" s="236" t="s">
        <v>536</v>
      </c>
      <c r="AU71" s="236" t="s">
        <v>536</v>
      </c>
      <c r="AV71" s="236" t="s">
        <v>536</v>
      </c>
      <c r="AW71" s="236" t="s">
        <v>536</v>
      </c>
      <c r="AX71" s="236" t="s">
        <v>536</v>
      </c>
      <c r="AY71" s="236" t="s">
        <v>536</v>
      </c>
      <c r="AZ71" s="256" t="s">
        <v>3218</v>
      </c>
      <c r="BA71" s="225"/>
    </row>
    <row r="72" spans="1:53" ht="240" x14ac:dyDescent="0.25">
      <c r="A72" s="707"/>
      <c r="B72" s="663"/>
      <c r="C72" s="708"/>
      <c r="D72" s="708"/>
      <c r="E72" s="648"/>
      <c r="F72" s="103" t="s">
        <v>3199</v>
      </c>
      <c r="G72" s="649" t="s">
        <v>3200</v>
      </c>
      <c r="H72" s="578" t="s">
        <v>3219</v>
      </c>
      <c r="I72" s="651" t="s">
        <v>3220</v>
      </c>
      <c r="J72" s="734">
        <v>0</v>
      </c>
      <c r="K72" s="735" t="s">
        <v>526</v>
      </c>
      <c r="L72" s="736">
        <v>10</v>
      </c>
      <c r="M72" s="737">
        <v>8</v>
      </c>
      <c r="N72" s="225"/>
      <c r="O72" s="225"/>
      <c r="P72" s="652"/>
      <c r="Q72" s="814"/>
      <c r="R72" s="814"/>
      <c r="S72" s="814"/>
      <c r="T72" s="814"/>
      <c r="U72" s="738"/>
      <c r="V72" s="738"/>
      <c r="W72" s="738"/>
      <c r="X72" s="738"/>
      <c r="Y72" s="738"/>
      <c r="Z72" s="738"/>
      <c r="AA72" s="738"/>
      <c r="AB72" s="738"/>
      <c r="AC72" s="738"/>
      <c r="AD72" s="738"/>
      <c r="AE72" s="225"/>
      <c r="AF72" s="225"/>
      <c r="AG72" s="812" t="s">
        <v>3226</v>
      </c>
      <c r="AH72" s="739"/>
      <c r="AI72" s="740"/>
      <c r="AJ72" s="739"/>
      <c r="AK72" s="739"/>
      <c r="AL72" s="742">
        <v>92000</v>
      </c>
      <c r="AM72" s="243"/>
      <c r="AN72" s="236" t="s">
        <v>536</v>
      </c>
      <c r="AO72" s="236" t="s">
        <v>536</v>
      </c>
      <c r="AP72" s="236" t="s">
        <v>536</v>
      </c>
      <c r="AQ72" s="236" t="s">
        <v>536</v>
      </c>
      <c r="AR72" s="236" t="s">
        <v>536</v>
      </c>
      <c r="AS72" s="236" t="s">
        <v>536</v>
      </c>
      <c r="AT72" s="236" t="s">
        <v>536</v>
      </c>
      <c r="AU72" s="236" t="s">
        <v>536</v>
      </c>
      <c r="AV72" s="236" t="s">
        <v>536</v>
      </c>
      <c r="AW72" s="236" t="s">
        <v>536</v>
      </c>
      <c r="AX72" s="236" t="s">
        <v>536</v>
      </c>
      <c r="AY72" s="236" t="s">
        <v>536</v>
      </c>
      <c r="AZ72" s="256" t="s">
        <v>3218</v>
      </c>
      <c r="BA72" s="225"/>
    </row>
    <row r="73" spans="1:53" ht="240" x14ac:dyDescent="0.25">
      <c r="A73" s="707"/>
      <c r="B73" s="663"/>
      <c r="C73" s="708"/>
      <c r="D73" s="708"/>
      <c r="E73" s="648"/>
      <c r="F73" s="103" t="s">
        <v>3199</v>
      </c>
      <c r="G73" s="649" t="s">
        <v>3200</v>
      </c>
      <c r="H73" s="578" t="s">
        <v>3219</v>
      </c>
      <c r="I73" s="651" t="s">
        <v>3220</v>
      </c>
      <c r="J73" s="734">
        <v>0</v>
      </c>
      <c r="K73" s="735" t="s">
        <v>526</v>
      </c>
      <c r="L73" s="736">
        <v>10</v>
      </c>
      <c r="M73" s="737">
        <v>8</v>
      </c>
      <c r="N73" s="225"/>
      <c r="O73" s="225"/>
      <c r="P73" s="652"/>
      <c r="Q73" s="814"/>
      <c r="R73" s="814"/>
      <c r="S73" s="814"/>
      <c r="T73" s="814"/>
      <c r="U73" s="738"/>
      <c r="V73" s="738"/>
      <c r="W73" s="738"/>
      <c r="X73" s="738"/>
      <c r="Y73" s="738"/>
      <c r="Z73" s="738"/>
      <c r="AA73" s="738"/>
      <c r="AB73" s="738"/>
      <c r="AC73" s="738"/>
      <c r="AD73" s="738"/>
      <c r="AE73" s="225"/>
      <c r="AF73" s="225"/>
      <c r="AG73" s="812" t="s">
        <v>3227</v>
      </c>
      <c r="AH73" s="739"/>
      <c r="AI73" s="740" t="s">
        <v>1694</v>
      </c>
      <c r="AJ73" s="739" t="s">
        <v>1471</v>
      </c>
      <c r="AK73" s="739"/>
      <c r="AL73" s="742">
        <v>500000</v>
      </c>
      <c r="AM73" s="243"/>
      <c r="AN73" s="236" t="s">
        <v>536</v>
      </c>
      <c r="AO73" s="236" t="s">
        <v>536</v>
      </c>
      <c r="AP73" s="236" t="s">
        <v>536</v>
      </c>
      <c r="AQ73" s="236" t="s">
        <v>536</v>
      </c>
      <c r="AR73" s="236" t="s">
        <v>536</v>
      </c>
      <c r="AS73" s="236" t="s">
        <v>536</v>
      </c>
      <c r="AT73" s="236" t="s">
        <v>536</v>
      </c>
      <c r="AU73" s="236" t="s">
        <v>536</v>
      </c>
      <c r="AV73" s="236" t="s">
        <v>536</v>
      </c>
      <c r="AW73" s="236" t="s">
        <v>536</v>
      </c>
      <c r="AX73" s="236" t="s">
        <v>536</v>
      </c>
      <c r="AY73" s="236" t="s">
        <v>536</v>
      </c>
      <c r="AZ73" s="256" t="s">
        <v>3218</v>
      </c>
      <c r="BA73" s="225"/>
    </row>
    <row r="74" spans="1:53" ht="240" x14ac:dyDescent="0.25">
      <c r="A74" s="707"/>
      <c r="B74" s="663"/>
      <c r="C74" s="708"/>
      <c r="D74" s="708"/>
      <c r="E74" s="648"/>
      <c r="F74" s="103" t="s">
        <v>3199</v>
      </c>
      <c r="G74" s="649" t="s">
        <v>3200</v>
      </c>
      <c r="H74" s="578" t="s">
        <v>3219</v>
      </c>
      <c r="I74" s="651" t="s">
        <v>3220</v>
      </c>
      <c r="J74" s="734">
        <v>0</v>
      </c>
      <c r="K74" s="735" t="s">
        <v>526</v>
      </c>
      <c r="L74" s="736">
        <v>10</v>
      </c>
      <c r="M74" s="737">
        <v>8</v>
      </c>
      <c r="N74" s="225"/>
      <c r="O74" s="225"/>
      <c r="P74" s="652"/>
      <c r="Q74" s="814"/>
      <c r="R74" s="814"/>
      <c r="S74" s="814"/>
      <c r="T74" s="814"/>
      <c r="U74" s="738"/>
      <c r="V74" s="738"/>
      <c r="W74" s="738"/>
      <c r="X74" s="738"/>
      <c r="Y74" s="738"/>
      <c r="Z74" s="738"/>
      <c r="AA74" s="738"/>
      <c r="AB74" s="738"/>
      <c r="AC74" s="738"/>
      <c r="AD74" s="738"/>
      <c r="AE74" s="225"/>
      <c r="AF74" s="225"/>
      <c r="AG74" s="812" t="s">
        <v>3228</v>
      </c>
      <c r="AH74" s="739"/>
      <c r="AI74" s="740" t="s">
        <v>3127</v>
      </c>
      <c r="AJ74" s="739" t="s">
        <v>1551</v>
      </c>
      <c r="AK74" s="739">
        <v>2297</v>
      </c>
      <c r="AL74" s="742">
        <v>249000</v>
      </c>
      <c r="AM74" s="243"/>
      <c r="AN74" s="236" t="s">
        <v>536</v>
      </c>
      <c r="AO74" s="236" t="s">
        <v>536</v>
      </c>
      <c r="AP74" s="236" t="s">
        <v>536</v>
      </c>
      <c r="AQ74" s="236" t="s">
        <v>536</v>
      </c>
      <c r="AR74" s="236" t="s">
        <v>536</v>
      </c>
      <c r="AS74" s="236" t="s">
        <v>536</v>
      </c>
      <c r="AT74" s="236" t="s">
        <v>536</v>
      </c>
      <c r="AU74" s="236" t="s">
        <v>536</v>
      </c>
      <c r="AV74" s="236" t="s">
        <v>536</v>
      </c>
      <c r="AW74" s="236" t="s">
        <v>536</v>
      </c>
      <c r="AX74" s="236" t="s">
        <v>536</v>
      </c>
      <c r="AY74" s="236" t="s">
        <v>536</v>
      </c>
      <c r="AZ74" s="256" t="s">
        <v>3218</v>
      </c>
      <c r="BA74" s="225"/>
    </row>
    <row r="75" spans="1:53" x14ac:dyDescent="0.25">
      <c r="A75" s="664"/>
      <c r="B75" s="665"/>
      <c r="C75" s="698"/>
      <c r="D75" s="698"/>
      <c r="E75" s="698"/>
      <c r="F75" s="665"/>
      <c r="G75" s="709"/>
      <c r="H75" s="710"/>
      <c r="I75" s="666"/>
      <c r="J75" s="748"/>
      <c r="K75" s="748"/>
      <c r="L75" s="749"/>
      <c r="M75" s="750"/>
      <c r="N75" s="751"/>
      <c r="O75" s="751"/>
      <c r="P75" s="667"/>
      <c r="Q75" s="751"/>
      <c r="R75" s="751"/>
      <c r="S75" s="751"/>
      <c r="T75" s="751"/>
      <c r="U75" s="752"/>
      <c r="V75" s="752"/>
      <c r="W75" s="752"/>
      <c r="X75" s="752"/>
      <c r="Y75" s="752"/>
      <c r="Z75" s="752"/>
      <c r="AA75" s="752"/>
      <c r="AB75" s="752"/>
      <c r="AC75" s="752"/>
      <c r="AD75" s="752"/>
      <c r="AE75" s="751"/>
      <c r="AF75" s="751"/>
      <c r="AG75" s="753"/>
      <c r="AH75" s="754"/>
      <c r="AI75" s="755"/>
      <c r="AJ75" s="754"/>
      <c r="AK75" s="754"/>
      <c r="AL75" s="767"/>
      <c r="AM75" s="751"/>
      <c r="AN75" s="751"/>
      <c r="AO75" s="751"/>
      <c r="AP75" s="751"/>
      <c r="AQ75" s="751"/>
      <c r="AR75" s="751"/>
      <c r="AS75" s="751"/>
      <c r="AT75" s="751"/>
      <c r="AU75" s="751"/>
      <c r="AV75" s="751"/>
      <c r="AW75" s="751"/>
      <c r="AX75" s="751"/>
      <c r="AY75" s="751"/>
      <c r="AZ75" s="751"/>
      <c r="BA75" s="751"/>
    </row>
    <row r="76" spans="1:53" ht="409.5" x14ac:dyDescent="0.25">
      <c r="A76" s="202" t="s">
        <v>1245</v>
      </c>
      <c r="B76" s="204" t="s">
        <v>3099</v>
      </c>
      <c r="C76" s="204" t="s">
        <v>3229</v>
      </c>
      <c r="D76" s="204" t="s">
        <v>3230</v>
      </c>
      <c r="E76" s="203">
        <v>18</v>
      </c>
      <c r="F76" s="204" t="s">
        <v>3199</v>
      </c>
      <c r="G76" s="649" t="s">
        <v>3200</v>
      </c>
      <c r="H76" s="670" t="s">
        <v>3231</v>
      </c>
      <c r="I76" s="711" t="s">
        <v>3232</v>
      </c>
      <c r="J76" s="670">
        <v>18</v>
      </c>
      <c r="K76" s="758" t="s">
        <v>526</v>
      </c>
      <c r="L76" s="815">
        <v>21</v>
      </c>
      <c r="M76" s="760">
        <v>12</v>
      </c>
      <c r="N76" s="266"/>
      <c r="O76" s="266"/>
      <c r="P76" s="712">
        <f>1700000</f>
        <v>1700000</v>
      </c>
      <c r="Q76" s="266"/>
      <c r="R76" s="266"/>
      <c r="S76" s="266"/>
      <c r="T76" s="266"/>
      <c r="U76" s="761"/>
      <c r="V76" s="761"/>
      <c r="W76" s="761"/>
      <c r="X76" s="761"/>
      <c r="Y76" s="761"/>
      <c r="Z76" s="761"/>
      <c r="AA76" s="761"/>
      <c r="AB76" s="761"/>
      <c r="AC76" s="761"/>
      <c r="AD76" s="761"/>
      <c r="AE76" s="266"/>
      <c r="AF76" s="266"/>
      <c r="AG76" s="713" t="s">
        <v>3233</v>
      </c>
      <c r="AH76" s="746" t="s">
        <v>960</v>
      </c>
      <c r="AI76" s="746" t="s">
        <v>3234</v>
      </c>
      <c r="AJ76" s="746" t="s">
        <v>1551</v>
      </c>
      <c r="AK76" s="746">
        <v>1315</v>
      </c>
      <c r="AL76" s="816">
        <v>190690</v>
      </c>
      <c r="AM76" s="817" t="s">
        <v>3235</v>
      </c>
      <c r="AN76" s="236" t="s">
        <v>536</v>
      </c>
      <c r="AO76" s="236" t="s">
        <v>536</v>
      </c>
      <c r="AP76" s="236" t="s">
        <v>536</v>
      </c>
      <c r="AQ76" s="236" t="s">
        <v>536</v>
      </c>
      <c r="AR76" s="236" t="s">
        <v>536</v>
      </c>
      <c r="AS76" s="236" t="s">
        <v>536</v>
      </c>
      <c r="AT76" s="236" t="s">
        <v>536</v>
      </c>
      <c r="AU76" s="236" t="s">
        <v>536</v>
      </c>
      <c r="AV76" s="236" t="s">
        <v>536</v>
      </c>
      <c r="AW76" s="236" t="s">
        <v>536</v>
      </c>
      <c r="AX76" s="236" t="s">
        <v>536</v>
      </c>
      <c r="AY76" s="236" t="s">
        <v>536</v>
      </c>
      <c r="AZ76" s="720" t="s">
        <v>3236</v>
      </c>
      <c r="BA76" s="266"/>
    </row>
    <row r="77" spans="1:53" ht="409.5" x14ac:dyDescent="0.25">
      <c r="A77" s="107"/>
      <c r="B77" s="103"/>
      <c r="C77" s="103"/>
      <c r="D77" s="103"/>
      <c r="E77" s="106"/>
      <c r="F77" s="204" t="s">
        <v>3199</v>
      </c>
      <c r="G77" s="649" t="s">
        <v>3200</v>
      </c>
      <c r="H77" s="670" t="s">
        <v>3231</v>
      </c>
      <c r="I77" s="711" t="s">
        <v>3232</v>
      </c>
      <c r="J77" s="670">
        <v>18</v>
      </c>
      <c r="K77" s="758" t="s">
        <v>526</v>
      </c>
      <c r="L77" s="815">
        <v>21</v>
      </c>
      <c r="M77" s="760">
        <v>12</v>
      </c>
      <c r="N77" s="225"/>
      <c r="O77" s="225"/>
      <c r="P77" s="714"/>
      <c r="Q77" s="225"/>
      <c r="R77" s="225"/>
      <c r="S77" s="225"/>
      <c r="T77" s="225"/>
      <c r="U77" s="738"/>
      <c r="V77" s="738"/>
      <c r="W77" s="738"/>
      <c r="X77" s="738"/>
      <c r="Y77" s="738"/>
      <c r="Z77" s="738"/>
      <c r="AA77" s="738"/>
      <c r="AB77" s="738"/>
      <c r="AC77" s="738"/>
      <c r="AD77" s="738"/>
      <c r="AE77" s="225"/>
      <c r="AF77" s="225"/>
      <c r="AG77" s="713" t="s">
        <v>3233</v>
      </c>
      <c r="AH77" s="746" t="s">
        <v>960</v>
      </c>
      <c r="AI77" s="746" t="s">
        <v>3237</v>
      </c>
      <c r="AJ77" s="746" t="s">
        <v>1471</v>
      </c>
      <c r="AK77" s="746">
        <v>1562</v>
      </c>
      <c r="AL77" s="816">
        <v>412745</v>
      </c>
      <c r="AM77" s="817" t="s">
        <v>3238</v>
      </c>
      <c r="AN77" s="236" t="s">
        <v>536</v>
      </c>
      <c r="AO77" s="236" t="s">
        <v>536</v>
      </c>
      <c r="AP77" s="236" t="s">
        <v>536</v>
      </c>
      <c r="AQ77" s="236" t="s">
        <v>536</v>
      </c>
      <c r="AR77" s="236" t="s">
        <v>536</v>
      </c>
      <c r="AS77" s="236" t="s">
        <v>536</v>
      </c>
      <c r="AT77" s="236" t="s">
        <v>536</v>
      </c>
      <c r="AU77" s="236" t="s">
        <v>536</v>
      </c>
      <c r="AV77" s="236" t="s">
        <v>536</v>
      </c>
      <c r="AW77" s="236" t="s">
        <v>536</v>
      </c>
      <c r="AX77" s="236" t="s">
        <v>536</v>
      </c>
      <c r="AY77" s="236" t="s">
        <v>536</v>
      </c>
      <c r="AZ77" s="720" t="s">
        <v>3236</v>
      </c>
      <c r="BA77" s="225"/>
    </row>
    <row r="78" spans="1:53" ht="409.5" x14ac:dyDescent="0.25">
      <c r="A78" s="107"/>
      <c r="B78" s="103"/>
      <c r="C78" s="103"/>
      <c r="D78" s="103"/>
      <c r="E78" s="106"/>
      <c r="F78" s="204" t="s">
        <v>3199</v>
      </c>
      <c r="G78" s="649" t="s">
        <v>3200</v>
      </c>
      <c r="H78" s="670" t="s">
        <v>3231</v>
      </c>
      <c r="I78" s="711" t="s">
        <v>3232</v>
      </c>
      <c r="J78" s="670">
        <v>18</v>
      </c>
      <c r="K78" s="758" t="s">
        <v>526</v>
      </c>
      <c r="L78" s="815">
        <v>21</v>
      </c>
      <c r="M78" s="760">
        <v>12</v>
      </c>
      <c r="N78" s="225"/>
      <c r="O78" s="225"/>
      <c r="P78" s="714"/>
      <c r="Q78" s="225"/>
      <c r="R78" s="225"/>
      <c r="S78" s="225"/>
      <c r="T78" s="225"/>
      <c r="U78" s="738"/>
      <c r="V78" s="738"/>
      <c r="W78" s="738"/>
      <c r="X78" s="738"/>
      <c r="Y78" s="738"/>
      <c r="Z78" s="738"/>
      <c r="AA78" s="738"/>
      <c r="AB78" s="738"/>
      <c r="AC78" s="738"/>
      <c r="AD78" s="738"/>
      <c r="AE78" s="225"/>
      <c r="AF78" s="225"/>
      <c r="AG78" s="713" t="s">
        <v>3233</v>
      </c>
      <c r="AH78" s="746" t="s">
        <v>960</v>
      </c>
      <c r="AI78" s="746" t="s">
        <v>1548</v>
      </c>
      <c r="AJ78" s="746" t="s">
        <v>1471</v>
      </c>
      <c r="AK78" s="746">
        <v>1741</v>
      </c>
      <c r="AL78" s="816">
        <v>150000</v>
      </c>
      <c r="AM78" s="817" t="s">
        <v>3239</v>
      </c>
      <c r="AN78" s="236" t="s">
        <v>536</v>
      </c>
      <c r="AO78" s="236" t="s">
        <v>536</v>
      </c>
      <c r="AP78" s="236" t="s">
        <v>536</v>
      </c>
      <c r="AQ78" s="236" t="s">
        <v>536</v>
      </c>
      <c r="AR78" s="236" t="s">
        <v>536</v>
      </c>
      <c r="AS78" s="236" t="s">
        <v>536</v>
      </c>
      <c r="AT78" s="236" t="s">
        <v>536</v>
      </c>
      <c r="AU78" s="236" t="s">
        <v>536</v>
      </c>
      <c r="AV78" s="236" t="s">
        <v>536</v>
      </c>
      <c r="AW78" s="236" t="s">
        <v>536</v>
      </c>
      <c r="AX78" s="236" t="s">
        <v>536</v>
      </c>
      <c r="AY78" s="236" t="s">
        <v>536</v>
      </c>
      <c r="AZ78" s="720" t="s">
        <v>3236</v>
      </c>
      <c r="BA78" s="225"/>
    </row>
    <row r="79" spans="1:53" ht="409.5" x14ac:dyDescent="0.25">
      <c r="A79" s="107"/>
      <c r="B79" s="103"/>
      <c r="C79" s="103"/>
      <c r="D79" s="103"/>
      <c r="E79" s="106"/>
      <c r="F79" s="204" t="s">
        <v>3199</v>
      </c>
      <c r="G79" s="649" t="s">
        <v>3200</v>
      </c>
      <c r="H79" s="670" t="s">
        <v>3231</v>
      </c>
      <c r="I79" s="711" t="s">
        <v>3232</v>
      </c>
      <c r="J79" s="670">
        <v>18</v>
      </c>
      <c r="K79" s="758" t="s">
        <v>526</v>
      </c>
      <c r="L79" s="815">
        <v>21</v>
      </c>
      <c r="M79" s="760">
        <v>12</v>
      </c>
      <c r="N79" s="225"/>
      <c r="O79" s="225"/>
      <c r="P79" s="714"/>
      <c r="Q79" s="225"/>
      <c r="R79" s="225"/>
      <c r="S79" s="225"/>
      <c r="T79" s="225"/>
      <c r="U79" s="738"/>
      <c r="V79" s="738"/>
      <c r="W79" s="738"/>
      <c r="X79" s="738"/>
      <c r="Y79" s="738"/>
      <c r="Z79" s="738"/>
      <c r="AA79" s="738"/>
      <c r="AB79" s="738"/>
      <c r="AC79" s="738"/>
      <c r="AD79" s="738"/>
      <c r="AE79" s="225"/>
      <c r="AF79" s="225"/>
      <c r="AG79" s="713" t="s">
        <v>3233</v>
      </c>
      <c r="AH79" s="746" t="s">
        <v>960</v>
      </c>
      <c r="AI79" s="746" t="s">
        <v>3186</v>
      </c>
      <c r="AJ79" s="746" t="s">
        <v>3240</v>
      </c>
      <c r="AK79" s="746">
        <v>634</v>
      </c>
      <c r="AL79" s="816">
        <v>285120</v>
      </c>
      <c r="AM79" s="817" t="s">
        <v>3241</v>
      </c>
      <c r="AN79" s="236" t="s">
        <v>536</v>
      </c>
      <c r="AO79" s="236" t="s">
        <v>536</v>
      </c>
      <c r="AP79" s="236" t="s">
        <v>536</v>
      </c>
      <c r="AQ79" s="236" t="s">
        <v>536</v>
      </c>
      <c r="AR79" s="236" t="s">
        <v>536</v>
      </c>
      <c r="AS79" s="236" t="s">
        <v>536</v>
      </c>
      <c r="AT79" s="236" t="s">
        <v>536</v>
      </c>
      <c r="AU79" s="236" t="s">
        <v>536</v>
      </c>
      <c r="AV79" s="236" t="s">
        <v>536</v>
      </c>
      <c r="AW79" s="236" t="s">
        <v>536</v>
      </c>
      <c r="AX79" s="236" t="s">
        <v>536</v>
      </c>
      <c r="AY79" s="236" t="s">
        <v>536</v>
      </c>
      <c r="AZ79" s="720" t="s">
        <v>3236</v>
      </c>
      <c r="BA79" s="225"/>
    </row>
    <row r="80" spans="1:53" ht="409.5" x14ac:dyDescent="0.25">
      <c r="A80" s="107"/>
      <c r="B80" s="103"/>
      <c r="C80" s="103"/>
      <c r="D80" s="103"/>
      <c r="E80" s="106"/>
      <c r="F80" s="204" t="s">
        <v>3199</v>
      </c>
      <c r="G80" s="649" t="s">
        <v>3200</v>
      </c>
      <c r="H80" s="670" t="s">
        <v>3231</v>
      </c>
      <c r="I80" s="711" t="s">
        <v>3232</v>
      </c>
      <c r="J80" s="670">
        <v>18</v>
      </c>
      <c r="K80" s="758" t="s">
        <v>526</v>
      </c>
      <c r="L80" s="815">
        <v>21</v>
      </c>
      <c r="M80" s="760">
        <v>12</v>
      </c>
      <c r="N80" s="225"/>
      <c r="O80" s="225"/>
      <c r="P80" s="714"/>
      <c r="Q80" s="225"/>
      <c r="R80" s="225"/>
      <c r="S80" s="225"/>
      <c r="T80" s="225"/>
      <c r="U80" s="738"/>
      <c r="V80" s="738"/>
      <c r="W80" s="738"/>
      <c r="X80" s="738"/>
      <c r="Y80" s="738"/>
      <c r="Z80" s="738"/>
      <c r="AA80" s="738"/>
      <c r="AB80" s="738"/>
      <c r="AC80" s="738"/>
      <c r="AD80" s="738"/>
      <c r="AE80" s="225"/>
      <c r="AF80" s="225"/>
      <c r="AG80" s="713" t="s">
        <v>3233</v>
      </c>
      <c r="AH80" s="746" t="s">
        <v>960</v>
      </c>
      <c r="AI80" s="746" t="s">
        <v>1459</v>
      </c>
      <c r="AJ80" s="746" t="s">
        <v>3240</v>
      </c>
      <c r="AK80" s="746">
        <v>1929</v>
      </c>
      <c r="AL80" s="816">
        <v>250000</v>
      </c>
      <c r="AM80" s="817" t="s">
        <v>3239</v>
      </c>
      <c r="AN80" s="236" t="s">
        <v>536</v>
      </c>
      <c r="AO80" s="236" t="s">
        <v>536</v>
      </c>
      <c r="AP80" s="236" t="s">
        <v>536</v>
      </c>
      <c r="AQ80" s="236" t="s">
        <v>536</v>
      </c>
      <c r="AR80" s="236" t="s">
        <v>536</v>
      </c>
      <c r="AS80" s="236" t="s">
        <v>536</v>
      </c>
      <c r="AT80" s="236" t="s">
        <v>536</v>
      </c>
      <c r="AU80" s="236" t="s">
        <v>536</v>
      </c>
      <c r="AV80" s="236" t="s">
        <v>536</v>
      </c>
      <c r="AW80" s="236" t="s">
        <v>536</v>
      </c>
      <c r="AX80" s="236" t="s">
        <v>536</v>
      </c>
      <c r="AY80" s="236" t="s">
        <v>536</v>
      </c>
      <c r="AZ80" s="720" t="s">
        <v>3236</v>
      </c>
      <c r="BA80" s="225"/>
    </row>
    <row r="81" spans="1:53" ht="409.5" x14ac:dyDescent="0.25">
      <c r="A81" s="107"/>
      <c r="B81" s="103"/>
      <c r="C81" s="103"/>
      <c r="D81" s="103"/>
      <c r="E81" s="106"/>
      <c r="F81" s="204" t="s">
        <v>3199</v>
      </c>
      <c r="G81" s="649" t="s">
        <v>3200</v>
      </c>
      <c r="H81" s="670" t="s">
        <v>3231</v>
      </c>
      <c r="I81" s="711" t="s">
        <v>3232</v>
      </c>
      <c r="J81" s="670">
        <v>18</v>
      </c>
      <c r="K81" s="758" t="s">
        <v>526</v>
      </c>
      <c r="L81" s="815">
        <v>21</v>
      </c>
      <c r="M81" s="760">
        <v>12</v>
      </c>
      <c r="N81" s="225"/>
      <c r="O81" s="225"/>
      <c r="P81" s="714"/>
      <c r="Q81" s="225"/>
      <c r="R81" s="225"/>
      <c r="S81" s="225"/>
      <c r="T81" s="225"/>
      <c r="U81" s="738"/>
      <c r="V81" s="738"/>
      <c r="W81" s="738"/>
      <c r="X81" s="738"/>
      <c r="Y81" s="738"/>
      <c r="Z81" s="738"/>
      <c r="AA81" s="738"/>
      <c r="AB81" s="738"/>
      <c r="AC81" s="738"/>
      <c r="AD81" s="738"/>
      <c r="AE81" s="225"/>
      <c r="AF81" s="225"/>
      <c r="AG81" s="713" t="s">
        <v>3233</v>
      </c>
      <c r="AH81" s="746" t="s">
        <v>960</v>
      </c>
      <c r="AI81" s="746" t="s">
        <v>3242</v>
      </c>
      <c r="AJ81" s="746" t="s">
        <v>1560</v>
      </c>
      <c r="AK81" s="746">
        <v>1761</v>
      </c>
      <c r="AL81" s="816">
        <v>195990</v>
      </c>
      <c r="AM81" s="817" t="s">
        <v>3239</v>
      </c>
      <c r="AN81" s="236" t="s">
        <v>536</v>
      </c>
      <c r="AO81" s="236" t="s">
        <v>536</v>
      </c>
      <c r="AP81" s="236" t="s">
        <v>536</v>
      </c>
      <c r="AQ81" s="236" t="s">
        <v>536</v>
      </c>
      <c r="AR81" s="236" t="s">
        <v>536</v>
      </c>
      <c r="AS81" s="236" t="s">
        <v>536</v>
      </c>
      <c r="AT81" s="236" t="s">
        <v>536</v>
      </c>
      <c r="AU81" s="236" t="s">
        <v>536</v>
      </c>
      <c r="AV81" s="236" t="s">
        <v>536</v>
      </c>
      <c r="AW81" s="236" t="s">
        <v>536</v>
      </c>
      <c r="AX81" s="236" t="s">
        <v>536</v>
      </c>
      <c r="AY81" s="236" t="s">
        <v>536</v>
      </c>
      <c r="AZ81" s="720" t="s">
        <v>3236</v>
      </c>
      <c r="BA81" s="225"/>
    </row>
    <row r="82" spans="1:53" ht="409.5" x14ac:dyDescent="0.25">
      <c r="A82" s="107"/>
      <c r="B82" s="103"/>
      <c r="C82" s="103"/>
      <c r="D82" s="103"/>
      <c r="E82" s="106"/>
      <c r="F82" s="204" t="s">
        <v>3199</v>
      </c>
      <c r="G82" s="649" t="s">
        <v>3200</v>
      </c>
      <c r="H82" s="670" t="s">
        <v>3231</v>
      </c>
      <c r="I82" s="711" t="s">
        <v>3232</v>
      </c>
      <c r="J82" s="670">
        <v>18</v>
      </c>
      <c r="K82" s="758" t="s">
        <v>526</v>
      </c>
      <c r="L82" s="815">
        <v>21</v>
      </c>
      <c r="M82" s="760">
        <v>12</v>
      </c>
      <c r="N82" s="225"/>
      <c r="O82" s="225"/>
      <c r="P82" s="714"/>
      <c r="Q82" s="225"/>
      <c r="R82" s="225"/>
      <c r="S82" s="225"/>
      <c r="T82" s="225"/>
      <c r="U82" s="738"/>
      <c r="V82" s="738"/>
      <c r="W82" s="738"/>
      <c r="X82" s="738"/>
      <c r="Y82" s="738"/>
      <c r="Z82" s="738"/>
      <c r="AA82" s="738"/>
      <c r="AB82" s="738"/>
      <c r="AC82" s="738"/>
      <c r="AD82" s="738"/>
      <c r="AE82" s="225"/>
      <c r="AF82" s="225"/>
      <c r="AG82" s="715" t="s">
        <v>3233</v>
      </c>
      <c r="AH82" s="794" t="s">
        <v>960</v>
      </c>
      <c r="AI82" s="794" t="s">
        <v>3243</v>
      </c>
      <c r="AJ82" s="794" t="s">
        <v>1551</v>
      </c>
      <c r="AK82" s="794">
        <v>15000</v>
      </c>
      <c r="AL82" s="818"/>
      <c r="AM82" s="819" t="s">
        <v>3239</v>
      </c>
      <c r="AN82" s="236" t="s">
        <v>536</v>
      </c>
      <c r="AO82" s="236" t="s">
        <v>536</v>
      </c>
      <c r="AP82" s="236" t="s">
        <v>536</v>
      </c>
      <c r="AQ82" s="236" t="s">
        <v>536</v>
      </c>
      <c r="AR82" s="236" t="s">
        <v>536</v>
      </c>
      <c r="AS82" s="236" t="s">
        <v>536</v>
      </c>
      <c r="AT82" s="236" t="s">
        <v>536</v>
      </c>
      <c r="AU82" s="236" t="s">
        <v>536</v>
      </c>
      <c r="AV82" s="236" t="s">
        <v>536</v>
      </c>
      <c r="AW82" s="236" t="s">
        <v>536</v>
      </c>
      <c r="AX82" s="236" t="s">
        <v>536</v>
      </c>
      <c r="AY82" s="236" t="s">
        <v>536</v>
      </c>
      <c r="AZ82" s="720" t="s">
        <v>3236</v>
      </c>
      <c r="BA82" s="225"/>
    </row>
    <row r="83" spans="1:53" ht="409.5" x14ac:dyDescent="0.25">
      <c r="A83" s="107"/>
      <c r="B83" s="103"/>
      <c r="C83" s="103"/>
      <c r="D83" s="103"/>
      <c r="E83" s="106"/>
      <c r="F83" s="204" t="s">
        <v>3199</v>
      </c>
      <c r="G83" s="649" t="s">
        <v>3200</v>
      </c>
      <c r="H83" s="670" t="s">
        <v>3231</v>
      </c>
      <c r="I83" s="711" t="s">
        <v>3232</v>
      </c>
      <c r="J83" s="670">
        <v>18</v>
      </c>
      <c r="K83" s="758" t="s">
        <v>526</v>
      </c>
      <c r="L83" s="815">
        <v>21</v>
      </c>
      <c r="M83" s="760">
        <v>12</v>
      </c>
      <c r="N83" s="225"/>
      <c r="O83" s="225"/>
      <c r="P83" s="714"/>
      <c r="Q83" s="225"/>
      <c r="R83" s="225"/>
      <c r="S83" s="225"/>
      <c r="T83" s="225"/>
      <c r="U83" s="738"/>
      <c r="V83" s="738"/>
      <c r="W83" s="738"/>
      <c r="X83" s="738"/>
      <c r="Y83" s="738"/>
      <c r="Z83" s="738"/>
      <c r="AA83" s="738"/>
      <c r="AB83" s="738"/>
      <c r="AC83" s="738"/>
      <c r="AD83" s="738"/>
      <c r="AE83" s="225"/>
      <c r="AF83" s="225"/>
      <c r="AG83" s="653" t="s">
        <v>3233</v>
      </c>
      <c r="AH83" s="740" t="s">
        <v>960</v>
      </c>
      <c r="AI83" s="740" t="s">
        <v>3244</v>
      </c>
      <c r="AJ83" s="740" t="s">
        <v>1560</v>
      </c>
      <c r="AK83" s="740">
        <v>1230</v>
      </c>
      <c r="AL83" s="820">
        <v>180000</v>
      </c>
      <c r="AM83" s="817" t="s">
        <v>3239</v>
      </c>
      <c r="AN83" s="236" t="s">
        <v>536</v>
      </c>
      <c r="AO83" s="236" t="s">
        <v>536</v>
      </c>
      <c r="AP83" s="236" t="s">
        <v>536</v>
      </c>
      <c r="AQ83" s="236" t="s">
        <v>536</v>
      </c>
      <c r="AR83" s="236" t="s">
        <v>536</v>
      </c>
      <c r="AS83" s="236" t="s">
        <v>536</v>
      </c>
      <c r="AT83" s="236" t="s">
        <v>536</v>
      </c>
      <c r="AU83" s="236" t="s">
        <v>536</v>
      </c>
      <c r="AV83" s="236" t="s">
        <v>536</v>
      </c>
      <c r="AW83" s="236" t="s">
        <v>536</v>
      </c>
      <c r="AX83" s="236" t="s">
        <v>536</v>
      </c>
      <c r="AY83" s="236" t="s">
        <v>536</v>
      </c>
      <c r="AZ83" s="720" t="s">
        <v>3236</v>
      </c>
      <c r="BA83" s="225"/>
    </row>
    <row r="84" spans="1:53" ht="409.5" x14ac:dyDescent="0.25">
      <c r="A84" s="107"/>
      <c r="B84" s="103"/>
      <c r="C84" s="103"/>
      <c r="D84" s="103"/>
      <c r="E84" s="106"/>
      <c r="F84" s="204" t="s">
        <v>3199</v>
      </c>
      <c r="G84" s="649" t="s">
        <v>3200</v>
      </c>
      <c r="H84" s="670" t="s">
        <v>3231</v>
      </c>
      <c r="I84" s="711" t="s">
        <v>3232</v>
      </c>
      <c r="J84" s="670">
        <v>18</v>
      </c>
      <c r="K84" s="758" t="s">
        <v>526</v>
      </c>
      <c r="L84" s="815">
        <v>21</v>
      </c>
      <c r="M84" s="760">
        <v>12</v>
      </c>
      <c r="N84" s="225"/>
      <c r="O84" s="225"/>
      <c r="P84" s="714"/>
      <c r="Q84" s="225"/>
      <c r="R84" s="225"/>
      <c r="S84" s="225"/>
      <c r="T84" s="225"/>
      <c r="U84" s="738"/>
      <c r="V84" s="738"/>
      <c r="W84" s="738"/>
      <c r="X84" s="738"/>
      <c r="Y84" s="738"/>
      <c r="Z84" s="738"/>
      <c r="AA84" s="738"/>
      <c r="AB84" s="738"/>
      <c r="AC84" s="738"/>
      <c r="AD84" s="738"/>
      <c r="AE84" s="225"/>
      <c r="AF84" s="225"/>
      <c r="AG84" s="653" t="s">
        <v>3233</v>
      </c>
      <c r="AH84" s="740" t="s">
        <v>960</v>
      </c>
      <c r="AI84" s="821" t="s">
        <v>3245</v>
      </c>
      <c r="AJ84" s="822" t="s">
        <v>3246</v>
      </c>
      <c r="AK84" s="822"/>
      <c r="AL84" s="823">
        <v>302480</v>
      </c>
      <c r="AM84" s="225"/>
      <c r="AN84" s="236" t="s">
        <v>536</v>
      </c>
      <c r="AO84" s="236" t="s">
        <v>536</v>
      </c>
      <c r="AP84" s="236" t="s">
        <v>536</v>
      </c>
      <c r="AQ84" s="236" t="s">
        <v>536</v>
      </c>
      <c r="AR84" s="236" t="s">
        <v>536</v>
      </c>
      <c r="AS84" s="236" t="s">
        <v>536</v>
      </c>
      <c r="AT84" s="236" t="s">
        <v>536</v>
      </c>
      <c r="AU84" s="236" t="s">
        <v>536</v>
      </c>
      <c r="AV84" s="236" t="s">
        <v>536</v>
      </c>
      <c r="AW84" s="236" t="s">
        <v>536</v>
      </c>
      <c r="AX84" s="236" t="s">
        <v>536</v>
      </c>
      <c r="AY84" s="236" t="s">
        <v>536</v>
      </c>
      <c r="AZ84" s="720" t="s">
        <v>3236</v>
      </c>
      <c r="BA84" s="225"/>
    </row>
    <row r="85" spans="1:53" ht="409.5" x14ac:dyDescent="0.25">
      <c r="A85" s="107"/>
      <c r="B85" s="103"/>
      <c r="C85" s="103"/>
      <c r="D85" s="103"/>
      <c r="E85" s="106"/>
      <c r="F85" s="204" t="s">
        <v>3199</v>
      </c>
      <c r="G85" s="649" t="s">
        <v>3200</v>
      </c>
      <c r="H85" s="670" t="s">
        <v>3231</v>
      </c>
      <c r="I85" s="711" t="s">
        <v>3232</v>
      </c>
      <c r="J85" s="670">
        <v>18</v>
      </c>
      <c r="K85" s="758" t="s">
        <v>526</v>
      </c>
      <c r="L85" s="815">
        <v>21</v>
      </c>
      <c r="M85" s="760">
        <v>12</v>
      </c>
      <c r="N85" s="225"/>
      <c r="O85" s="225"/>
      <c r="P85" s="714"/>
      <c r="Q85" s="225"/>
      <c r="R85" s="225"/>
      <c r="S85" s="225"/>
      <c r="T85" s="225"/>
      <c r="U85" s="738"/>
      <c r="V85" s="738"/>
      <c r="W85" s="738"/>
      <c r="X85" s="738"/>
      <c r="Y85" s="738"/>
      <c r="Z85" s="738"/>
      <c r="AA85" s="738"/>
      <c r="AB85" s="738"/>
      <c r="AC85" s="738"/>
      <c r="AD85" s="738"/>
      <c r="AE85" s="225"/>
      <c r="AF85" s="225"/>
      <c r="AG85" s="653" t="s">
        <v>3233</v>
      </c>
      <c r="AH85" s="740" t="s">
        <v>960</v>
      </c>
      <c r="AI85" s="740" t="s">
        <v>3247</v>
      </c>
      <c r="AJ85" s="739" t="s">
        <v>1560</v>
      </c>
      <c r="AK85" s="739"/>
      <c r="AL85" s="824">
        <v>248740</v>
      </c>
      <c r="AM85" s="243"/>
      <c r="AN85" s="236" t="s">
        <v>536</v>
      </c>
      <c r="AO85" s="236" t="s">
        <v>536</v>
      </c>
      <c r="AP85" s="236" t="s">
        <v>536</v>
      </c>
      <c r="AQ85" s="236" t="s">
        <v>536</v>
      </c>
      <c r="AR85" s="236" t="s">
        <v>536</v>
      </c>
      <c r="AS85" s="236" t="s">
        <v>536</v>
      </c>
      <c r="AT85" s="236" t="s">
        <v>536</v>
      </c>
      <c r="AU85" s="236" t="s">
        <v>536</v>
      </c>
      <c r="AV85" s="236" t="s">
        <v>536</v>
      </c>
      <c r="AW85" s="236" t="s">
        <v>536</v>
      </c>
      <c r="AX85" s="236" t="s">
        <v>536</v>
      </c>
      <c r="AY85" s="236" t="s">
        <v>536</v>
      </c>
      <c r="AZ85" s="720" t="s">
        <v>3236</v>
      </c>
      <c r="BA85" s="225"/>
    </row>
    <row r="86" spans="1:53" ht="409.5" x14ac:dyDescent="0.25">
      <c r="A86" s="200"/>
      <c r="B86" s="201"/>
      <c r="C86" s="201"/>
      <c r="D86" s="201"/>
      <c r="E86" s="199"/>
      <c r="F86" s="204" t="s">
        <v>3199</v>
      </c>
      <c r="G86" s="649" t="s">
        <v>3200</v>
      </c>
      <c r="H86" s="670" t="s">
        <v>3231</v>
      </c>
      <c r="I86" s="711" t="s">
        <v>3232</v>
      </c>
      <c r="J86" s="670">
        <v>18</v>
      </c>
      <c r="K86" s="758" t="s">
        <v>526</v>
      </c>
      <c r="L86" s="815">
        <v>21</v>
      </c>
      <c r="M86" s="760">
        <v>12</v>
      </c>
      <c r="N86" s="246"/>
      <c r="O86" s="246"/>
      <c r="P86" s="716"/>
      <c r="Q86" s="246"/>
      <c r="R86" s="246"/>
      <c r="S86" s="246"/>
      <c r="T86" s="246"/>
      <c r="U86" s="744"/>
      <c r="V86" s="744"/>
      <c r="W86" s="744"/>
      <c r="X86" s="744"/>
      <c r="Y86" s="744"/>
      <c r="Z86" s="744"/>
      <c r="AA86" s="744"/>
      <c r="AB86" s="744"/>
      <c r="AC86" s="744"/>
      <c r="AD86" s="744"/>
      <c r="AE86" s="246"/>
      <c r="AF86" s="246"/>
      <c r="AG86" s="653" t="s">
        <v>3233</v>
      </c>
      <c r="AH86" s="740" t="s">
        <v>960</v>
      </c>
      <c r="AI86" s="740" t="s">
        <v>3248</v>
      </c>
      <c r="AJ86" s="739" t="s">
        <v>1560</v>
      </c>
      <c r="AK86" s="739"/>
      <c r="AL86" s="824">
        <v>317074</v>
      </c>
      <c r="AM86" s="243"/>
      <c r="AN86" s="236" t="s">
        <v>536</v>
      </c>
      <c r="AO86" s="236" t="s">
        <v>536</v>
      </c>
      <c r="AP86" s="236" t="s">
        <v>536</v>
      </c>
      <c r="AQ86" s="236" t="s">
        <v>536</v>
      </c>
      <c r="AR86" s="236" t="s">
        <v>536</v>
      </c>
      <c r="AS86" s="236" t="s">
        <v>536</v>
      </c>
      <c r="AT86" s="236" t="s">
        <v>536</v>
      </c>
      <c r="AU86" s="236" t="s">
        <v>536</v>
      </c>
      <c r="AV86" s="236" t="s">
        <v>536</v>
      </c>
      <c r="AW86" s="236" t="s">
        <v>536</v>
      </c>
      <c r="AX86" s="236" t="s">
        <v>536</v>
      </c>
      <c r="AY86" s="236" t="s">
        <v>536</v>
      </c>
      <c r="AZ86" s="720" t="s">
        <v>3236</v>
      </c>
      <c r="BA86" s="225"/>
    </row>
    <row r="87" spans="1:53" ht="409.5" x14ac:dyDescent="0.25">
      <c r="A87" s="200"/>
      <c r="B87" s="201"/>
      <c r="C87" s="201"/>
      <c r="D87" s="201"/>
      <c r="E87" s="199"/>
      <c r="F87" s="204" t="s">
        <v>3199</v>
      </c>
      <c r="G87" s="649" t="s">
        <v>3200</v>
      </c>
      <c r="H87" s="670" t="s">
        <v>3231</v>
      </c>
      <c r="I87" s="711" t="s">
        <v>3232</v>
      </c>
      <c r="J87" s="670">
        <v>18</v>
      </c>
      <c r="K87" s="758" t="s">
        <v>526</v>
      </c>
      <c r="L87" s="815">
        <v>21</v>
      </c>
      <c r="M87" s="760">
        <v>12</v>
      </c>
      <c r="N87" s="246"/>
      <c r="O87" s="246"/>
      <c r="P87" s="716"/>
      <c r="Q87" s="246"/>
      <c r="R87" s="246"/>
      <c r="S87" s="246"/>
      <c r="T87" s="246"/>
      <c r="U87" s="744"/>
      <c r="V87" s="744"/>
      <c r="W87" s="744"/>
      <c r="X87" s="744"/>
      <c r="Y87" s="744"/>
      <c r="Z87" s="744"/>
      <c r="AA87" s="744"/>
      <c r="AB87" s="744"/>
      <c r="AC87" s="744"/>
      <c r="AD87" s="744"/>
      <c r="AE87" s="246"/>
      <c r="AF87" s="246"/>
      <c r="AG87" s="653" t="s">
        <v>3233</v>
      </c>
      <c r="AH87" s="740" t="s">
        <v>960</v>
      </c>
      <c r="AI87" s="821" t="s">
        <v>3249</v>
      </c>
      <c r="AJ87" s="739" t="s">
        <v>1471</v>
      </c>
      <c r="AK87" s="739"/>
      <c r="AL87" s="824">
        <v>215090</v>
      </c>
      <c r="AM87" s="243"/>
      <c r="AN87" s="236" t="s">
        <v>536</v>
      </c>
      <c r="AO87" s="236" t="s">
        <v>536</v>
      </c>
      <c r="AP87" s="236" t="s">
        <v>536</v>
      </c>
      <c r="AQ87" s="236" t="s">
        <v>536</v>
      </c>
      <c r="AR87" s="236" t="s">
        <v>536</v>
      </c>
      <c r="AS87" s="236" t="s">
        <v>536</v>
      </c>
      <c r="AT87" s="236" t="s">
        <v>536</v>
      </c>
      <c r="AU87" s="236" t="s">
        <v>536</v>
      </c>
      <c r="AV87" s="236" t="s">
        <v>536</v>
      </c>
      <c r="AW87" s="236" t="s">
        <v>536</v>
      </c>
      <c r="AX87" s="236" t="s">
        <v>536</v>
      </c>
      <c r="AY87" s="236" t="s">
        <v>536</v>
      </c>
      <c r="AZ87" s="720" t="s">
        <v>3236</v>
      </c>
      <c r="BA87" s="225"/>
    </row>
    <row r="88" spans="1:53" ht="409.5" x14ac:dyDescent="0.25">
      <c r="A88" s="662"/>
      <c r="B88" s="659"/>
      <c r="C88" s="659"/>
      <c r="D88" s="659"/>
      <c r="E88" s="717"/>
      <c r="F88" s="204" t="s">
        <v>3199</v>
      </c>
      <c r="G88" s="649" t="s">
        <v>3200</v>
      </c>
      <c r="H88" s="670" t="s">
        <v>3231</v>
      </c>
      <c r="I88" s="711" t="s">
        <v>3232</v>
      </c>
      <c r="J88" s="670">
        <v>18</v>
      </c>
      <c r="K88" s="758" t="s">
        <v>526</v>
      </c>
      <c r="L88" s="815">
        <v>21</v>
      </c>
      <c r="M88" s="760">
        <v>12</v>
      </c>
      <c r="N88" s="225"/>
      <c r="O88" s="225"/>
      <c r="P88" s="714"/>
      <c r="Q88" s="225"/>
      <c r="R88" s="225"/>
      <c r="S88" s="225"/>
      <c r="T88" s="225"/>
      <c r="U88" s="738"/>
      <c r="V88" s="738"/>
      <c r="W88" s="738"/>
      <c r="X88" s="738"/>
      <c r="Y88" s="738"/>
      <c r="Z88" s="738"/>
      <c r="AA88" s="738"/>
      <c r="AB88" s="738"/>
      <c r="AC88" s="738"/>
      <c r="AD88" s="738"/>
      <c r="AE88" s="225"/>
      <c r="AF88" s="225"/>
      <c r="AG88" s="653" t="s">
        <v>3233</v>
      </c>
      <c r="AH88" s="740" t="s">
        <v>960</v>
      </c>
      <c r="AI88" s="821" t="s">
        <v>1524</v>
      </c>
      <c r="AJ88" s="739" t="s">
        <v>1471</v>
      </c>
      <c r="AK88" s="739"/>
      <c r="AL88" s="824">
        <v>63000</v>
      </c>
      <c r="AM88" s="243"/>
      <c r="AN88" s="236" t="s">
        <v>536</v>
      </c>
      <c r="AO88" s="236" t="s">
        <v>536</v>
      </c>
      <c r="AP88" s="236" t="s">
        <v>536</v>
      </c>
      <c r="AQ88" s="236" t="s">
        <v>536</v>
      </c>
      <c r="AR88" s="236" t="s">
        <v>536</v>
      </c>
      <c r="AS88" s="236" t="s">
        <v>536</v>
      </c>
      <c r="AT88" s="236" t="s">
        <v>536</v>
      </c>
      <c r="AU88" s="236" t="s">
        <v>536</v>
      </c>
      <c r="AV88" s="236" t="s">
        <v>536</v>
      </c>
      <c r="AW88" s="236" t="s">
        <v>536</v>
      </c>
      <c r="AX88" s="236" t="s">
        <v>536</v>
      </c>
      <c r="AY88" s="236" t="s">
        <v>536</v>
      </c>
      <c r="AZ88" s="720" t="s">
        <v>3236</v>
      </c>
      <c r="BA88" s="225"/>
    </row>
    <row r="89" spans="1:53" x14ac:dyDescent="0.25">
      <c r="A89" s="664"/>
      <c r="B89" s="665"/>
      <c r="C89" s="665"/>
      <c r="D89" s="665"/>
      <c r="E89" s="698"/>
      <c r="F89" s="665"/>
      <c r="G89" s="704"/>
      <c r="H89" s="666"/>
      <c r="I89" s="718"/>
      <c r="J89" s="666"/>
      <c r="K89" s="748"/>
      <c r="L89" s="825"/>
      <c r="M89" s="750"/>
      <c r="N89" s="751"/>
      <c r="O89" s="751"/>
      <c r="P89" s="719"/>
      <c r="Q89" s="751"/>
      <c r="R89" s="751"/>
      <c r="S89" s="751"/>
      <c r="T89" s="751"/>
      <c r="U89" s="752"/>
      <c r="V89" s="752"/>
      <c r="W89" s="752"/>
      <c r="X89" s="752"/>
      <c r="Y89" s="752"/>
      <c r="Z89" s="752"/>
      <c r="AA89" s="752"/>
      <c r="AB89" s="752"/>
      <c r="AC89" s="752"/>
      <c r="AD89" s="752"/>
      <c r="AE89" s="751"/>
      <c r="AF89" s="751"/>
      <c r="AG89" s="753"/>
      <c r="AH89" s="754"/>
      <c r="AI89" s="755"/>
      <c r="AJ89" s="754"/>
      <c r="AK89" s="754"/>
      <c r="AL89" s="767"/>
      <c r="AM89" s="751"/>
      <c r="AN89" s="751"/>
      <c r="AO89" s="751"/>
      <c r="AP89" s="751"/>
      <c r="AQ89" s="751"/>
      <c r="AR89" s="751"/>
      <c r="AS89" s="751"/>
      <c r="AT89" s="751"/>
      <c r="AU89" s="751"/>
      <c r="AV89" s="751"/>
      <c r="AW89" s="751"/>
      <c r="AX89" s="751"/>
      <c r="AY89" s="751"/>
      <c r="AZ89" s="751"/>
      <c r="BA89" s="751"/>
    </row>
    <row r="90" spans="1:53" ht="270" x14ac:dyDescent="0.25">
      <c r="A90" s="202" t="s">
        <v>1245</v>
      </c>
      <c r="B90" s="204" t="s">
        <v>3099</v>
      </c>
      <c r="C90" s="204" t="s">
        <v>3250</v>
      </c>
      <c r="D90" s="204" t="s">
        <v>3251</v>
      </c>
      <c r="E90" s="203" t="s">
        <v>3252</v>
      </c>
      <c r="F90" s="204" t="s">
        <v>3199</v>
      </c>
      <c r="G90" s="649" t="s">
        <v>3200</v>
      </c>
      <c r="H90" s="681" t="s">
        <v>3253</v>
      </c>
      <c r="I90" s="711" t="s">
        <v>3254</v>
      </c>
      <c r="J90" s="670">
        <v>0.4</v>
      </c>
      <c r="K90" s="758" t="s">
        <v>526</v>
      </c>
      <c r="L90" s="826">
        <v>0.26</v>
      </c>
      <c r="M90" s="776">
        <v>0.26</v>
      </c>
      <c r="N90" s="266"/>
      <c r="O90" s="266"/>
      <c r="P90" s="671">
        <f>3200000</f>
        <v>3200000</v>
      </c>
      <c r="Q90" s="266"/>
      <c r="R90" s="266"/>
      <c r="S90" s="266"/>
      <c r="T90" s="266"/>
      <c r="U90" s="761"/>
      <c r="V90" s="761"/>
      <c r="W90" s="761"/>
      <c r="X90" s="761"/>
      <c r="Y90" s="761"/>
      <c r="Z90" s="761"/>
      <c r="AA90" s="761"/>
      <c r="AB90" s="761"/>
      <c r="AC90" s="761"/>
      <c r="AD90" s="761"/>
      <c r="AE90" s="266"/>
      <c r="AF90" s="266"/>
      <c r="AG90" s="827" t="s">
        <v>3255</v>
      </c>
      <c r="AH90" s="762" t="s">
        <v>960</v>
      </c>
      <c r="AI90" s="763" t="s">
        <v>3256</v>
      </c>
      <c r="AJ90" s="762" t="s">
        <v>3257</v>
      </c>
      <c r="AK90" s="762"/>
      <c r="AL90" s="828">
        <v>5000000</v>
      </c>
      <c r="AM90" s="764"/>
      <c r="AN90" s="829" t="s">
        <v>536</v>
      </c>
      <c r="AO90" s="829" t="s">
        <v>536</v>
      </c>
      <c r="AP90" s="279" t="s">
        <v>536</v>
      </c>
      <c r="AQ90" s="279" t="s">
        <v>536</v>
      </c>
      <c r="AR90" s="279" t="s">
        <v>536</v>
      </c>
      <c r="AS90" s="279" t="s">
        <v>536</v>
      </c>
      <c r="AT90" s="279" t="s">
        <v>536</v>
      </c>
      <c r="AU90" s="279" t="s">
        <v>536</v>
      </c>
      <c r="AV90" s="279" t="s">
        <v>536</v>
      </c>
      <c r="AW90" s="279" t="s">
        <v>536</v>
      </c>
      <c r="AX90" s="279" t="s">
        <v>536</v>
      </c>
      <c r="AY90" s="279" t="s">
        <v>536</v>
      </c>
      <c r="AZ90" s="720" t="s">
        <v>3258</v>
      </c>
      <c r="BA90" s="266"/>
    </row>
    <row r="91" spans="1:53" x14ac:dyDescent="0.25">
      <c r="A91" s="687"/>
      <c r="B91" s="491"/>
      <c r="C91" s="491"/>
      <c r="D91" s="491"/>
      <c r="E91" s="493"/>
      <c r="F91" s="491"/>
      <c r="G91" s="721"/>
      <c r="H91" s="691"/>
      <c r="I91" s="722"/>
      <c r="J91" s="691"/>
      <c r="K91" s="781"/>
      <c r="L91" s="830"/>
      <c r="M91" s="831"/>
      <c r="N91" s="492"/>
      <c r="O91" s="492"/>
      <c r="P91" s="692"/>
      <c r="Q91" s="492"/>
      <c r="R91" s="492"/>
      <c r="S91" s="492"/>
      <c r="T91" s="492"/>
      <c r="U91" s="784"/>
      <c r="V91" s="784"/>
      <c r="W91" s="784"/>
      <c r="X91" s="784"/>
      <c r="Y91" s="784"/>
      <c r="Z91" s="784"/>
      <c r="AA91" s="784"/>
      <c r="AB91" s="784"/>
      <c r="AC91" s="784"/>
      <c r="AD91" s="784"/>
      <c r="AE91" s="492"/>
      <c r="AF91" s="492"/>
      <c r="AG91" s="785"/>
      <c r="AH91" s="786"/>
      <c r="AI91" s="494"/>
      <c r="AJ91" s="786"/>
      <c r="AK91" s="786"/>
      <c r="AL91" s="787"/>
      <c r="AM91" s="492"/>
      <c r="AN91" s="492"/>
      <c r="AO91" s="492"/>
      <c r="AP91" s="492"/>
      <c r="AQ91" s="492"/>
      <c r="AR91" s="492"/>
      <c r="AS91" s="492"/>
      <c r="AT91" s="492"/>
      <c r="AU91" s="492"/>
      <c r="AV91" s="492"/>
      <c r="AW91" s="492"/>
      <c r="AX91" s="492"/>
      <c r="AY91" s="492"/>
      <c r="AZ91" s="492"/>
      <c r="BA91" s="492"/>
    </row>
    <row r="92" spans="1:53" ht="240" x14ac:dyDescent="0.25">
      <c r="A92" s="107" t="s">
        <v>1245</v>
      </c>
      <c r="B92" s="103" t="s">
        <v>3099</v>
      </c>
      <c r="C92" s="103" t="s">
        <v>3259</v>
      </c>
      <c r="D92" s="107" t="s">
        <v>3260</v>
      </c>
      <c r="E92" s="106">
        <v>1</v>
      </c>
      <c r="F92" s="103" t="s">
        <v>3261</v>
      </c>
      <c r="G92" s="649" t="s">
        <v>3262</v>
      </c>
      <c r="H92" s="723" t="s">
        <v>3263</v>
      </c>
      <c r="I92" s="723" t="s">
        <v>3264</v>
      </c>
      <c r="J92" s="651">
        <v>2</v>
      </c>
      <c r="K92" s="735" t="s">
        <v>526</v>
      </c>
      <c r="L92" s="832">
        <v>30</v>
      </c>
      <c r="M92" s="737">
        <v>20</v>
      </c>
      <c r="N92" s="225"/>
      <c r="O92" s="225"/>
      <c r="P92" s="652">
        <v>4237244</v>
      </c>
      <c r="Q92" s="225"/>
      <c r="R92" s="225"/>
      <c r="S92" s="225"/>
      <c r="T92" s="225"/>
      <c r="U92" s="738"/>
      <c r="V92" s="738"/>
      <c r="W92" s="738"/>
      <c r="X92" s="738"/>
      <c r="Y92" s="738"/>
      <c r="Z92" s="738"/>
      <c r="AA92" s="738"/>
      <c r="AB92" s="738"/>
      <c r="AC92" s="738"/>
      <c r="AD92" s="738"/>
      <c r="AE92" s="225"/>
      <c r="AF92" s="225"/>
      <c r="AG92" s="653" t="s">
        <v>3265</v>
      </c>
      <c r="AH92" s="743">
        <v>2018003190110</v>
      </c>
      <c r="AI92" s="740" t="s">
        <v>3131</v>
      </c>
      <c r="AJ92" s="739" t="s">
        <v>1560</v>
      </c>
      <c r="AK92" s="739">
        <v>4326</v>
      </c>
      <c r="AL92" s="742">
        <f>443507652/1000</f>
        <v>443507.652</v>
      </c>
      <c r="AM92" s="243"/>
      <c r="AN92" s="236" t="s">
        <v>536</v>
      </c>
      <c r="AO92" s="236" t="s">
        <v>536</v>
      </c>
      <c r="AP92" s="236" t="s">
        <v>536</v>
      </c>
      <c r="AQ92" s="236" t="s">
        <v>536</v>
      </c>
      <c r="AR92" s="236" t="s">
        <v>536</v>
      </c>
      <c r="AS92" s="236" t="s">
        <v>536</v>
      </c>
      <c r="AT92" s="236" t="s">
        <v>536</v>
      </c>
      <c r="AU92" s="236" t="s">
        <v>536</v>
      </c>
      <c r="AV92" s="236" t="s">
        <v>536</v>
      </c>
      <c r="AW92" s="236" t="s">
        <v>536</v>
      </c>
      <c r="AX92" s="236" t="s">
        <v>536</v>
      </c>
      <c r="AY92" s="236" t="s">
        <v>536</v>
      </c>
      <c r="AZ92" s="256" t="s">
        <v>3218</v>
      </c>
      <c r="BA92" s="225"/>
    </row>
    <row r="93" spans="1:53" ht="240" x14ac:dyDescent="0.25">
      <c r="A93" s="107"/>
      <c r="B93" s="103"/>
      <c r="C93" s="103"/>
      <c r="D93" s="107"/>
      <c r="E93" s="106"/>
      <c r="F93" s="103" t="s">
        <v>3261</v>
      </c>
      <c r="G93" s="649" t="s">
        <v>3262</v>
      </c>
      <c r="H93" s="723" t="s">
        <v>3263</v>
      </c>
      <c r="I93" s="723" t="s">
        <v>3264</v>
      </c>
      <c r="J93" s="651">
        <v>2</v>
      </c>
      <c r="K93" s="735" t="s">
        <v>526</v>
      </c>
      <c r="L93" s="832">
        <v>30</v>
      </c>
      <c r="M93" s="737">
        <v>20</v>
      </c>
      <c r="N93" s="225"/>
      <c r="O93" s="225"/>
      <c r="P93" s="652"/>
      <c r="Q93" s="225"/>
      <c r="R93" s="225"/>
      <c r="S93" s="225"/>
      <c r="T93" s="225"/>
      <c r="U93" s="738"/>
      <c r="V93" s="738"/>
      <c r="W93" s="738"/>
      <c r="X93" s="738"/>
      <c r="Y93" s="738"/>
      <c r="Z93" s="738"/>
      <c r="AA93" s="738"/>
      <c r="AB93" s="738"/>
      <c r="AC93" s="738"/>
      <c r="AD93" s="738"/>
      <c r="AE93" s="225"/>
      <c r="AF93" s="225"/>
      <c r="AG93" s="724" t="s">
        <v>3266</v>
      </c>
      <c r="AH93" s="743"/>
      <c r="AI93" s="740" t="s">
        <v>1694</v>
      </c>
      <c r="AJ93" s="739" t="s">
        <v>1471</v>
      </c>
      <c r="AK93" s="739">
        <v>2771</v>
      </c>
      <c r="AL93" s="742">
        <v>980000</v>
      </c>
      <c r="AM93" s="243"/>
      <c r="AN93" s="236" t="s">
        <v>536</v>
      </c>
      <c r="AO93" s="236" t="s">
        <v>536</v>
      </c>
      <c r="AP93" s="236" t="s">
        <v>536</v>
      </c>
      <c r="AQ93" s="236" t="s">
        <v>536</v>
      </c>
      <c r="AR93" s="236" t="s">
        <v>536</v>
      </c>
      <c r="AS93" s="236" t="s">
        <v>536</v>
      </c>
      <c r="AT93" s="236" t="s">
        <v>536</v>
      </c>
      <c r="AU93" s="236" t="s">
        <v>536</v>
      </c>
      <c r="AV93" s="236" t="s">
        <v>536</v>
      </c>
      <c r="AW93" s="236" t="s">
        <v>536</v>
      </c>
      <c r="AX93" s="236" t="s">
        <v>536</v>
      </c>
      <c r="AY93" s="236" t="s">
        <v>536</v>
      </c>
      <c r="AZ93" s="256" t="s">
        <v>3218</v>
      </c>
      <c r="BA93" s="225"/>
    </row>
    <row r="94" spans="1:53" ht="240" x14ac:dyDescent="0.25">
      <c r="A94" s="107"/>
      <c r="B94" s="103"/>
      <c r="C94" s="103"/>
      <c r="D94" s="107"/>
      <c r="E94" s="106"/>
      <c r="F94" s="103" t="s">
        <v>3261</v>
      </c>
      <c r="G94" s="649" t="s">
        <v>3262</v>
      </c>
      <c r="H94" s="723" t="s">
        <v>3263</v>
      </c>
      <c r="I94" s="723" t="s">
        <v>3264</v>
      </c>
      <c r="J94" s="651">
        <v>2</v>
      </c>
      <c r="K94" s="735" t="s">
        <v>526</v>
      </c>
      <c r="L94" s="832">
        <v>30</v>
      </c>
      <c r="M94" s="737">
        <v>20</v>
      </c>
      <c r="N94" s="225"/>
      <c r="O94" s="225"/>
      <c r="P94" s="652"/>
      <c r="Q94" s="225"/>
      <c r="R94" s="225"/>
      <c r="S94" s="225"/>
      <c r="T94" s="225"/>
      <c r="U94" s="738"/>
      <c r="V94" s="738"/>
      <c r="W94" s="738"/>
      <c r="X94" s="738"/>
      <c r="Y94" s="738"/>
      <c r="Z94" s="738"/>
      <c r="AA94" s="738"/>
      <c r="AB94" s="738"/>
      <c r="AC94" s="738"/>
      <c r="AD94" s="738"/>
      <c r="AE94" s="225"/>
      <c r="AF94" s="225"/>
      <c r="AG94" s="724" t="s">
        <v>3267</v>
      </c>
      <c r="AH94" s="743"/>
      <c r="AI94" s="740" t="s">
        <v>1692</v>
      </c>
      <c r="AJ94" s="739" t="s">
        <v>1460</v>
      </c>
      <c r="AK94" s="739">
        <v>14118</v>
      </c>
      <c r="AL94" s="742">
        <f>469290425/1000</f>
        <v>469290.42499999999</v>
      </c>
      <c r="AM94" s="243"/>
      <c r="AN94" s="236" t="s">
        <v>536</v>
      </c>
      <c r="AO94" s="236" t="s">
        <v>536</v>
      </c>
      <c r="AP94" s="236" t="s">
        <v>536</v>
      </c>
      <c r="AQ94" s="236" t="s">
        <v>536</v>
      </c>
      <c r="AR94" s="236" t="s">
        <v>536</v>
      </c>
      <c r="AS94" s="236" t="s">
        <v>536</v>
      </c>
      <c r="AT94" s="236" t="s">
        <v>536</v>
      </c>
      <c r="AU94" s="236" t="s">
        <v>536</v>
      </c>
      <c r="AV94" s="236" t="s">
        <v>536</v>
      </c>
      <c r="AW94" s="236" t="s">
        <v>536</v>
      </c>
      <c r="AX94" s="236" t="s">
        <v>536</v>
      </c>
      <c r="AY94" s="236" t="s">
        <v>536</v>
      </c>
      <c r="AZ94" s="256" t="s">
        <v>3218</v>
      </c>
      <c r="BA94" s="225"/>
    </row>
    <row r="95" spans="1:53" ht="240" x14ac:dyDescent="0.25">
      <c r="A95" s="107"/>
      <c r="B95" s="103"/>
      <c r="C95" s="103"/>
      <c r="D95" s="107"/>
      <c r="E95" s="106"/>
      <c r="F95" s="103" t="s">
        <v>3261</v>
      </c>
      <c r="G95" s="649" t="s">
        <v>3262</v>
      </c>
      <c r="H95" s="723" t="s">
        <v>3263</v>
      </c>
      <c r="I95" s="723" t="s">
        <v>3264</v>
      </c>
      <c r="J95" s="651">
        <v>2</v>
      </c>
      <c r="K95" s="735" t="s">
        <v>526</v>
      </c>
      <c r="L95" s="832">
        <v>30</v>
      </c>
      <c r="M95" s="737">
        <v>20</v>
      </c>
      <c r="N95" s="225"/>
      <c r="O95" s="225"/>
      <c r="P95" s="652"/>
      <c r="Q95" s="225"/>
      <c r="R95" s="225"/>
      <c r="S95" s="225"/>
      <c r="T95" s="225"/>
      <c r="U95" s="738"/>
      <c r="V95" s="738"/>
      <c r="W95" s="738"/>
      <c r="X95" s="738"/>
      <c r="Y95" s="738"/>
      <c r="Z95" s="738"/>
      <c r="AA95" s="738"/>
      <c r="AB95" s="738"/>
      <c r="AC95" s="738"/>
      <c r="AD95" s="738"/>
      <c r="AE95" s="225"/>
      <c r="AF95" s="225"/>
      <c r="AG95" s="724" t="s">
        <v>3268</v>
      </c>
      <c r="AH95" s="743"/>
      <c r="AI95" s="740" t="s">
        <v>3269</v>
      </c>
      <c r="AJ95" s="739" t="s">
        <v>1560</v>
      </c>
      <c r="AK95" s="739">
        <v>12033</v>
      </c>
      <c r="AL95" s="742">
        <v>571823</v>
      </c>
      <c r="AM95" s="243"/>
      <c r="AN95" s="236" t="s">
        <v>536</v>
      </c>
      <c r="AO95" s="236" t="s">
        <v>536</v>
      </c>
      <c r="AP95" s="236" t="s">
        <v>536</v>
      </c>
      <c r="AQ95" s="236" t="s">
        <v>536</v>
      </c>
      <c r="AR95" s="236" t="s">
        <v>536</v>
      </c>
      <c r="AS95" s="236" t="s">
        <v>536</v>
      </c>
      <c r="AT95" s="236" t="s">
        <v>536</v>
      </c>
      <c r="AU95" s="236" t="s">
        <v>536</v>
      </c>
      <c r="AV95" s="236" t="s">
        <v>536</v>
      </c>
      <c r="AW95" s="236" t="s">
        <v>536</v>
      </c>
      <c r="AX95" s="236" t="s">
        <v>536</v>
      </c>
      <c r="AY95" s="236" t="s">
        <v>536</v>
      </c>
      <c r="AZ95" s="256" t="s">
        <v>3218</v>
      </c>
      <c r="BA95" s="225"/>
    </row>
    <row r="96" spans="1:53" ht="240" x14ac:dyDescent="0.25">
      <c r="A96" s="107"/>
      <c r="B96" s="103"/>
      <c r="C96" s="103"/>
      <c r="D96" s="107"/>
      <c r="E96" s="106"/>
      <c r="F96" s="103" t="s">
        <v>3261</v>
      </c>
      <c r="G96" s="649" t="s">
        <v>3262</v>
      </c>
      <c r="H96" s="723" t="s">
        <v>3263</v>
      </c>
      <c r="I96" s="723" t="s">
        <v>3264</v>
      </c>
      <c r="J96" s="651">
        <v>2</v>
      </c>
      <c r="K96" s="735" t="s">
        <v>526</v>
      </c>
      <c r="L96" s="832">
        <v>30</v>
      </c>
      <c r="M96" s="737">
        <v>20</v>
      </c>
      <c r="N96" s="225"/>
      <c r="O96" s="225"/>
      <c r="P96" s="652"/>
      <c r="Q96" s="225"/>
      <c r="R96" s="225"/>
      <c r="S96" s="225"/>
      <c r="T96" s="225"/>
      <c r="U96" s="738"/>
      <c r="V96" s="738"/>
      <c r="W96" s="738"/>
      <c r="X96" s="738"/>
      <c r="Y96" s="738"/>
      <c r="Z96" s="738"/>
      <c r="AA96" s="738"/>
      <c r="AB96" s="738"/>
      <c r="AC96" s="738"/>
      <c r="AD96" s="738"/>
      <c r="AE96" s="225"/>
      <c r="AF96" s="225"/>
      <c r="AG96" s="724" t="s">
        <v>3270</v>
      </c>
      <c r="AH96" s="743"/>
      <c r="AI96" s="740" t="s">
        <v>3121</v>
      </c>
      <c r="AJ96" s="739" t="s">
        <v>1471</v>
      </c>
      <c r="AK96" s="739">
        <v>1700</v>
      </c>
      <c r="AL96" s="742">
        <v>443508</v>
      </c>
      <c r="AM96" s="243"/>
      <c r="AN96" s="236" t="s">
        <v>536</v>
      </c>
      <c r="AO96" s="236" t="s">
        <v>536</v>
      </c>
      <c r="AP96" s="236" t="s">
        <v>536</v>
      </c>
      <c r="AQ96" s="236" t="s">
        <v>536</v>
      </c>
      <c r="AR96" s="236" t="s">
        <v>536</v>
      </c>
      <c r="AS96" s="236" t="s">
        <v>536</v>
      </c>
      <c r="AT96" s="236" t="s">
        <v>536</v>
      </c>
      <c r="AU96" s="236" t="s">
        <v>536</v>
      </c>
      <c r="AV96" s="236" t="s">
        <v>536</v>
      </c>
      <c r="AW96" s="236" t="s">
        <v>536</v>
      </c>
      <c r="AX96" s="236" t="s">
        <v>536</v>
      </c>
      <c r="AY96" s="236" t="s">
        <v>536</v>
      </c>
      <c r="AZ96" s="256" t="s">
        <v>3218</v>
      </c>
      <c r="BA96" s="225"/>
    </row>
    <row r="97" spans="1:53" ht="240" x14ac:dyDescent="0.25">
      <c r="A97" s="107"/>
      <c r="B97" s="103"/>
      <c r="C97" s="103"/>
      <c r="D97" s="107"/>
      <c r="E97" s="106"/>
      <c r="F97" s="103" t="s">
        <v>3261</v>
      </c>
      <c r="G97" s="649" t="s">
        <v>3262</v>
      </c>
      <c r="H97" s="723" t="s">
        <v>3263</v>
      </c>
      <c r="I97" s="723" t="s">
        <v>3264</v>
      </c>
      <c r="J97" s="651">
        <v>2</v>
      </c>
      <c r="K97" s="735" t="s">
        <v>526</v>
      </c>
      <c r="L97" s="832">
        <v>30</v>
      </c>
      <c r="M97" s="737">
        <v>20</v>
      </c>
      <c r="N97" s="225"/>
      <c r="O97" s="225"/>
      <c r="P97" s="652"/>
      <c r="Q97" s="225"/>
      <c r="R97" s="225"/>
      <c r="S97" s="225"/>
      <c r="T97" s="225"/>
      <c r="U97" s="738"/>
      <c r="V97" s="738"/>
      <c r="W97" s="738"/>
      <c r="X97" s="738"/>
      <c r="Y97" s="738"/>
      <c r="Z97" s="738"/>
      <c r="AA97" s="738"/>
      <c r="AB97" s="738"/>
      <c r="AC97" s="738"/>
      <c r="AD97" s="738"/>
      <c r="AE97" s="225"/>
      <c r="AF97" s="225"/>
      <c r="AG97" s="724" t="s">
        <v>3271</v>
      </c>
      <c r="AH97" s="743"/>
      <c r="AI97" s="740" t="s">
        <v>3190</v>
      </c>
      <c r="AJ97" s="739" t="s">
        <v>1460</v>
      </c>
      <c r="AK97" s="739">
        <v>1700</v>
      </c>
      <c r="AL97" s="742">
        <f>515091500/1000</f>
        <v>515091.5</v>
      </c>
      <c r="AM97" s="243"/>
      <c r="AN97" s="236" t="s">
        <v>536</v>
      </c>
      <c r="AO97" s="236" t="s">
        <v>536</v>
      </c>
      <c r="AP97" s="236" t="s">
        <v>536</v>
      </c>
      <c r="AQ97" s="236" t="s">
        <v>536</v>
      </c>
      <c r="AR97" s="236" t="s">
        <v>536</v>
      </c>
      <c r="AS97" s="236" t="s">
        <v>536</v>
      </c>
      <c r="AT97" s="236" t="s">
        <v>536</v>
      </c>
      <c r="AU97" s="236" t="s">
        <v>536</v>
      </c>
      <c r="AV97" s="236" t="s">
        <v>536</v>
      </c>
      <c r="AW97" s="236" t="s">
        <v>536</v>
      </c>
      <c r="AX97" s="236" t="s">
        <v>536</v>
      </c>
      <c r="AY97" s="236" t="s">
        <v>536</v>
      </c>
      <c r="AZ97" s="256" t="s">
        <v>3218</v>
      </c>
      <c r="BA97" s="225"/>
    </row>
    <row r="98" spans="1:53" ht="240" x14ac:dyDescent="0.25">
      <c r="A98" s="107"/>
      <c r="B98" s="103"/>
      <c r="C98" s="103"/>
      <c r="D98" s="107"/>
      <c r="E98" s="106"/>
      <c r="F98" s="103" t="s">
        <v>3261</v>
      </c>
      <c r="G98" s="649" t="s">
        <v>3262</v>
      </c>
      <c r="H98" s="723" t="s">
        <v>3263</v>
      </c>
      <c r="I98" s="723" t="s">
        <v>3264</v>
      </c>
      <c r="J98" s="651">
        <v>2</v>
      </c>
      <c r="K98" s="735" t="s">
        <v>526</v>
      </c>
      <c r="L98" s="832">
        <v>30</v>
      </c>
      <c r="M98" s="737">
        <v>20</v>
      </c>
      <c r="N98" s="225"/>
      <c r="O98" s="225"/>
      <c r="P98" s="652"/>
      <c r="Q98" s="225"/>
      <c r="R98" s="225"/>
      <c r="S98" s="225"/>
      <c r="T98" s="225"/>
      <c r="U98" s="738"/>
      <c r="V98" s="738"/>
      <c r="W98" s="738"/>
      <c r="X98" s="738"/>
      <c r="Y98" s="738"/>
      <c r="Z98" s="738"/>
      <c r="AA98" s="738"/>
      <c r="AB98" s="738"/>
      <c r="AC98" s="738"/>
      <c r="AD98" s="738"/>
      <c r="AE98" s="225"/>
      <c r="AF98" s="225"/>
      <c r="AG98" s="724" t="s">
        <v>3272</v>
      </c>
      <c r="AH98" s="743"/>
      <c r="AI98" s="740" t="s">
        <v>1799</v>
      </c>
      <c r="AJ98" s="739" t="s">
        <v>1539</v>
      </c>
      <c r="AK98" s="739">
        <v>3300</v>
      </c>
      <c r="AL98" s="742">
        <v>126000</v>
      </c>
      <c r="AM98" s="243"/>
      <c r="AN98" s="236" t="s">
        <v>536</v>
      </c>
      <c r="AO98" s="236" t="s">
        <v>536</v>
      </c>
      <c r="AP98" s="236" t="s">
        <v>536</v>
      </c>
      <c r="AQ98" s="236" t="s">
        <v>536</v>
      </c>
      <c r="AR98" s="236" t="s">
        <v>536</v>
      </c>
      <c r="AS98" s="236" t="s">
        <v>536</v>
      </c>
      <c r="AT98" s="236" t="s">
        <v>536</v>
      </c>
      <c r="AU98" s="236" t="s">
        <v>536</v>
      </c>
      <c r="AV98" s="236" t="s">
        <v>536</v>
      </c>
      <c r="AW98" s="236" t="s">
        <v>536</v>
      </c>
      <c r="AX98" s="236" t="s">
        <v>536</v>
      </c>
      <c r="AY98" s="236" t="s">
        <v>536</v>
      </c>
      <c r="AZ98" s="256" t="s">
        <v>3218</v>
      </c>
      <c r="BA98" s="225"/>
    </row>
    <row r="99" spans="1:53" ht="240" x14ac:dyDescent="0.25">
      <c r="A99" s="107"/>
      <c r="B99" s="103"/>
      <c r="C99" s="103"/>
      <c r="D99" s="107"/>
      <c r="E99" s="106"/>
      <c r="F99" s="103" t="s">
        <v>3261</v>
      </c>
      <c r="G99" s="649" t="s">
        <v>3262</v>
      </c>
      <c r="H99" s="723" t="s">
        <v>3263</v>
      </c>
      <c r="I99" s="723" t="s">
        <v>3264</v>
      </c>
      <c r="J99" s="651">
        <v>2</v>
      </c>
      <c r="K99" s="735" t="s">
        <v>526</v>
      </c>
      <c r="L99" s="832">
        <v>30</v>
      </c>
      <c r="M99" s="737">
        <v>20</v>
      </c>
      <c r="N99" s="225"/>
      <c r="O99" s="225"/>
      <c r="P99" s="652"/>
      <c r="Q99" s="225"/>
      <c r="R99" s="225"/>
      <c r="S99" s="225"/>
      <c r="T99" s="225"/>
      <c r="U99" s="738"/>
      <c r="V99" s="738"/>
      <c r="W99" s="738"/>
      <c r="X99" s="738"/>
      <c r="Y99" s="738"/>
      <c r="Z99" s="738"/>
      <c r="AA99" s="738"/>
      <c r="AB99" s="738"/>
      <c r="AC99" s="738"/>
      <c r="AD99" s="738"/>
      <c r="AE99" s="225"/>
      <c r="AF99" s="225"/>
      <c r="AG99" s="724" t="s">
        <v>3273</v>
      </c>
      <c r="AH99" s="743"/>
      <c r="AI99" s="740" t="s">
        <v>3186</v>
      </c>
      <c r="AJ99" s="739" t="s">
        <v>3186</v>
      </c>
      <c r="AK99" s="739">
        <v>3000</v>
      </c>
      <c r="AL99" s="742">
        <v>150000</v>
      </c>
      <c r="AM99" s="243"/>
      <c r="AN99" s="236" t="s">
        <v>536</v>
      </c>
      <c r="AO99" s="236" t="s">
        <v>536</v>
      </c>
      <c r="AP99" s="236" t="s">
        <v>536</v>
      </c>
      <c r="AQ99" s="236" t="s">
        <v>536</v>
      </c>
      <c r="AR99" s="236" t="s">
        <v>536</v>
      </c>
      <c r="AS99" s="236" t="s">
        <v>536</v>
      </c>
      <c r="AT99" s="236" t="s">
        <v>536</v>
      </c>
      <c r="AU99" s="236" t="s">
        <v>536</v>
      </c>
      <c r="AV99" s="236" t="s">
        <v>536</v>
      </c>
      <c r="AW99" s="236" t="s">
        <v>536</v>
      </c>
      <c r="AX99" s="236" t="s">
        <v>536</v>
      </c>
      <c r="AY99" s="236" t="s">
        <v>536</v>
      </c>
      <c r="AZ99" s="256" t="s">
        <v>3218</v>
      </c>
      <c r="BA99" s="225"/>
    </row>
    <row r="100" spans="1:53" ht="240" x14ac:dyDescent="0.25">
      <c r="A100" s="107"/>
      <c r="B100" s="103"/>
      <c r="C100" s="103"/>
      <c r="D100" s="107"/>
      <c r="E100" s="106"/>
      <c r="F100" s="103" t="s">
        <v>3261</v>
      </c>
      <c r="G100" s="649" t="s">
        <v>3262</v>
      </c>
      <c r="H100" s="723" t="s">
        <v>3263</v>
      </c>
      <c r="I100" s="723" t="s">
        <v>3264</v>
      </c>
      <c r="J100" s="651">
        <v>2</v>
      </c>
      <c r="K100" s="735" t="s">
        <v>526</v>
      </c>
      <c r="L100" s="832">
        <v>30</v>
      </c>
      <c r="M100" s="737">
        <v>20</v>
      </c>
      <c r="N100" s="225"/>
      <c r="O100" s="225"/>
      <c r="P100" s="652"/>
      <c r="Q100" s="225"/>
      <c r="R100" s="225"/>
      <c r="S100" s="225"/>
      <c r="T100" s="225"/>
      <c r="U100" s="738"/>
      <c r="V100" s="738"/>
      <c r="W100" s="738"/>
      <c r="X100" s="738"/>
      <c r="Y100" s="738"/>
      <c r="Z100" s="738"/>
      <c r="AA100" s="738"/>
      <c r="AB100" s="738"/>
      <c r="AC100" s="738"/>
      <c r="AD100" s="738"/>
      <c r="AE100" s="225"/>
      <c r="AF100" s="225"/>
      <c r="AG100" s="724" t="s">
        <v>3274</v>
      </c>
      <c r="AH100" s="743"/>
      <c r="AI100" s="740" t="s">
        <v>3112</v>
      </c>
      <c r="AJ100" s="739" t="s">
        <v>1460</v>
      </c>
      <c r="AK100" s="739">
        <v>13000</v>
      </c>
      <c r="AL100" s="742">
        <v>126000</v>
      </c>
      <c r="AM100" s="243"/>
      <c r="AN100" s="236" t="s">
        <v>536</v>
      </c>
      <c r="AO100" s="236" t="s">
        <v>536</v>
      </c>
      <c r="AP100" s="236" t="s">
        <v>536</v>
      </c>
      <c r="AQ100" s="236" t="s">
        <v>536</v>
      </c>
      <c r="AR100" s="236" t="s">
        <v>536</v>
      </c>
      <c r="AS100" s="236" t="s">
        <v>536</v>
      </c>
      <c r="AT100" s="236" t="s">
        <v>536</v>
      </c>
      <c r="AU100" s="236" t="s">
        <v>536</v>
      </c>
      <c r="AV100" s="236" t="s">
        <v>536</v>
      </c>
      <c r="AW100" s="236" t="s">
        <v>536</v>
      </c>
      <c r="AX100" s="236" t="s">
        <v>536</v>
      </c>
      <c r="AY100" s="236" t="s">
        <v>536</v>
      </c>
      <c r="AZ100" s="256" t="s">
        <v>3218</v>
      </c>
      <c r="BA100" s="225"/>
    </row>
    <row r="101" spans="1:53" ht="240" x14ac:dyDescent="0.25">
      <c r="A101" s="107"/>
      <c r="B101" s="103"/>
      <c r="C101" s="103"/>
      <c r="D101" s="107"/>
      <c r="E101" s="106"/>
      <c r="F101" s="103" t="s">
        <v>3261</v>
      </c>
      <c r="G101" s="649" t="s">
        <v>3262</v>
      </c>
      <c r="H101" s="723" t="s">
        <v>3263</v>
      </c>
      <c r="I101" s="723" t="s">
        <v>3264</v>
      </c>
      <c r="J101" s="651">
        <v>2</v>
      </c>
      <c r="K101" s="735" t="s">
        <v>526</v>
      </c>
      <c r="L101" s="832">
        <v>30</v>
      </c>
      <c r="M101" s="737">
        <v>20</v>
      </c>
      <c r="N101" s="225"/>
      <c r="O101" s="225"/>
      <c r="P101" s="652"/>
      <c r="Q101" s="225"/>
      <c r="R101" s="225"/>
      <c r="S101" s="225"/>
      <c r="T101" s="225"/>
      <c r="U101" s="738"/>
      <c r="V101" s="738"/>
      <c r="W101" s="738"/>
      <c r="X101" s="738"/>
      <c r="Y101" s="738"/>
      <c r="Z101" s="738"/>
      <c r="AA101" s="738"/>
      <c r="AB101" s="738"/>
      <c r="AC101" s="738"/>
      <c r="AD101" s="738"/>
      <c r="AE101" s="225"/>
      <c r="AF101" s="225"/>
      <c r="AG101" s="724" t="s">
        <v>3275</v>
      </c>
      <c r="AH101" s="743"/>
      <c r="AI101" s="740" t="s">
        <v>3276</v>
      </c>
      <c r="AJ101" s="739" t="s">
        <v>3246</v>
      </c>
      <c r="AK101" s="739">
        <v>19000</v>
      </c>
      <c r="AL101" s="742">
        <v>1330000</v>
      </c>
      <c r="AM101" s="243"/>
      <c r="AN101" s="236" t="s">
        <v>536</v>
      </c>
      <c r="AO101" s="236" t="s">
        <v>536</v>
      </c>
      <c r="AP101" s="236" t="s">
        <v>536</v>
      </c>
      <c r="AQ101" s="236" t="s">
        <v>536</v>
      </c>
      <c r="AR101" s="236" t="s">
        <v>536</v>
      </c>
      <c r="AS101" s="236" t="s">
        <v>536</v>
      </c>
      <c r="AT101" s="236" t="s">
        <v>536</v>
      </c>
      <c r="AU101" s="236" t="s">
        <v>536</v>
      </c>
      <c r="AV101" s="236" t="s">
        <v>536</v>
      </c>
      <c r="AW101" s="236" t="s">
        <v>536</v>
      </c>
      <c r="AX101" s="236" t="s">
        <v>536</v>
      </c>
      <c r="AY101" s="236" t="s">
        <v>536</v>
      </c>
      <c r="AZ101" s="256" t="s">
        <v>3218</v>
      </c>
      <c r="BA101" s="225"/>
    </row>
    <row r="102" spans="1:53" ht="240" x14ac:dyDescent="0.25">
      <c r="A102" s="107"/>
      <c r="B102" s="103"/>
      <c r="C102" s="103"/>
      <c r="D102" s="107"/>
      <c r="E102" s="106"/>
      <c r="F102" s="103" t="s">
        <v>3261</v>
      </c>
      <c r="G102" s="649" t="s">
        <v>3262</v>
      </c>
      <c r="H102" s="723" t="s">
        <v>3263</v>
      </c>
      <c r="I102" s="723" t="s">
        <v>3264</v>
      </c>
      <c r="J102" s="651">
        <v>2</v>
      </c>
      <c r="K102" s="735" t="s">
        <v>526</v>
      </c>
      <c r="L102" s="832">
        <v>30</v>
      </c>
      <c r="M102" s="737">
        <v>20</v>
      </c>
      <c r="N102" s="225"/>
      <c r="O102" s="225"/>
      <c r="P102" s="652"/>
      <c r="Q102" s="225"/>
      <c r="R102" s="225"/>
      <c r="S102" s="225"/>
      <c r="T102" s="225"/>
      <c r="U102" s="738"/>
      <c r="V102" s="738"/>
      <c r="W102" s="738"/>
      <c r="X102" s="738"/>
      <c r="Y102" s="738"/>
      <c r="Z102" s="738"/>
      <c r="AA102" s="738"/>
      <c r="AB102" s="738"/>
      <c r="AC102" s="738"/>
      <c r="AD102" s="738"/>
      <c r="AE102" s="225"/>
      <c r="AF102" s="225"/>
      <c r="AG102" s="724" t="s">
        <v>3277</v>
      </c>
      <c r="AH102" s="743"/>
      <c r="AI102" s="740" t="s">
        <v>3245</v>
      </c>
      <c r="AJ102" s="739" t="s">
        <v>3246</v>
      </c>
      <c r="AK102" s="739"/>
      <c r="AL102" s="742">
        <v>30000</v>
      </c>
      <c r="AM102" s="243"/>
      <c r="AN102" s="236" t="s">
        <v>536</v>
      </c>
      <c r="AO102" s="236" t="s">
        <v>536</v>
      </c>
      <c r="AP102" s="236" t="s">
        <v>536</v>
      </c>
      <c r="AQ102" s="236" t="s">
        <v>536</v>
      </c>
      <c r="AR102" s="236" t="s">
        <v>536</v>
      </c>
      <c r="AS102" s="236" t="s">
        <v>536</v>
      </c>
      <c r="AT102" s="236" t="s">
        <v>536</v>
      </c>
      <c r="AU102" s="236" t="s">
        <v>536</v>
      </c>
      <c r="AV102" s="236" t="s">
        <v>536</v>
      </c>
      <c r="AW102" s="236" t="s">
        <v>536</v>
      </c>
      <c r="AX102" s="236" t="s">
        <v>536</v>
      </c>
      <c r="AY102" s="236" t="s">
        <v>536</v>
      </c>
      <c r="AZ102" s="256" t="s">
        <v>3218</v>
      </c>
      <c r="BA102" s="225"/>
    </row>
    <row r="103" spans="1:53" ht="240" x14ac:dyDescent="0.25">
      <c r="A103" s="107"/>
      <c r="B103" s="103"/>
      <c r="C103" s="103"/>
      <c r="D103" s="107"/>
      <c r="E103" s="106"/>
      <c r="F103" s="103" t="s">
        <v>3261</v>
      </c>
      <c r="G103" s="649" t="s">
        <v>3262</v>
      </c>
      <c r="H103" s="723" t="s">
        <v>3263</v>
      </c>
      <c r="I103" s="723" t="s">
        <v>3264</v>
      </c>
      <c r="J103" s="651">
        <v>2</v>
      </c>
      <c r="K103" s="735" t="s">
        <v>526</v>
      </c>
      <c r="L103" s="832">
        <v>30</v>
      </c>
      <c r="M103" s="737">
        <v>20</v>
      </c>
      <c r="N103" s="225"/>
      <c r="O103" s="225"/>
      <c r="P103" s="652"/>
      <c r="Q103" s="225"/>
      <c r="R103" s="225"/>
      <c r="S103" s="225"/>
      <c r="T103" s="225"/>
      <c r="U103" s="738"/>
      <c r="V103" s="738"/>
      <c r="W103" s="738"/>
      <c r="X103" s="738"/>
      <c r="Y103" s="738"/>
      <c r="Z103" s="738"/>
      <c r="AA103" s="738"/>
      <c r="AB103" s="738"/>
      <c r="AC103" s="738"/>
      <c r="AD103" s="738"/>
      <c r="AE103" s="225"/>
      <c r="AF103" s="225"/>
      <c r="AG103" s="724" t="s">
        <v>3278</v>
      </c>
      <c r="AH103" s="743"/>
      <c r="AI103" s="740" t="s">
        <v>1459</v>
      </c>
      <c r="AJ103" s="739" t="s">
        <v>1539</v>
      </c>
      <c r="AK103" s="739">
        <v>5000</v>
      </c>
      <c r="AL103" s="742">
        <v>126000</v>
      </c>
      <c r="AM103" s="243"/>
      <c r="AN103" s="236" t="s">
        <v>536</v>
      </c>
      <c r="AO103" s="236" t="s">
        <v>536</v>
      </c>
      <c r="AP103" s="236" t="s">
        <v>536</v>
      </c>
      <c r="AQ103" s="236" t="s">
        <v>536</v>
      </c>
      <c r="AR103" s="236" t="s">
        <v>536</v>
      </c>
      <c r="AS103" s="236" t="s">
        <v>536</v>
      </c>
      <c r="AT103" s="236" t="s">
        <v>536</v>
      </c>
      <c r="AU103" s="236" t="s">
        <v>536</v>
      </c>
      <c r="AV103" s="236" t="s">
        <v>536</v>
      </c>
      <c r="AW103" s="236" t="s">
        <v>536</v>
      </c>
      <c r="AX103" s="236" t="s">
        <v>536</v>
      </c>
      <c r="AY103" s="236" t="s">
        <v>536</v>
      </c>
      <c r="AZ103" s="256" t="s">
        <v>3218</v>
      </c>
      <c r="BA103" s="225"/>
    </row>
    <row r="104" spans="1:53" ht="180" x14ac:dyDescent="0.25">
      <c r="A104" s="107"/>
      <c r="B104" s="103"/>
      <c r="C104" s="103"/>
      <c r="D104" s="107"/>
      <c r="E104" s="106"/>
      <c r="F104" s="103" t="s">
        <v>3261</v>
      </c>
      <c r="G104" s="649" t="s">
        <v>3262</v>
      </c>
      <c r="H104" s="723" t="s">
        <v>3263</v>
      </c>
      <c r="I104" s="723" t="s">
        <v>3264</v>
      </c>
      <c r="J104" s="651">
        <v>2</v>
      </c>
      <c r="K104" s="735" t="s">
        <v>526</v>
      </c>
      <c r="L104" s="832">
        <v>30</v>
      </c>
      <c r="M104" s="737">
        <v>20</v>
      </c>
      <c r="N104" s="225"/>
      <c r="O104" s="225"/>
      <c r="P104" s="652"/>
      <c r="Q104" s="225"/>
      <c r="R104" s="225"/>
      <c r="S104" s="225"/>
      <c r="T104" s="225"/>
      <c r="U104" s="738"/>
      <c r="V104" s="738"/>
      <c r="W104" s="738"/>
      <c r="X104" s="738"/>
      <c r="Y104" s="738"/>
      <c r="Z104" s="738"/>
      <c r="AA104" s="738"/>
      <c r="AB104" s="738"/>
      <c r="AC104" s="738"/>
      <c r="AD104" s="738"/>
      <c r="AE104" s="225"/>
      <c r="AF104" s="225"/>
      <c r="AG104" s="724" t="s">
        <v>3279</v>
      </c>
      <c r="AH104" s="743"/>
      <c r="AI104" s="740" t="s">
        <v>1694</v>
      </c>
      <c r="AJ104" s="739" t="s">
        <v>1471</v>
      </c>
      <c r="AK104" s="739">
        <v>250000</v>
      </c>
      <c r="AL104" s="742">
        <v>200000</v>
      </c>
      <c r="AM104" s="243"/>
      <c r="AN104" s="236"/>
      <c r="AO104" s="236"/>
      <c r="AP104" s="236"/>
      <c r="AQ104" s="236"/>
      <c r="AR104" s="236"/>
      <c r="AS104" s="236"/>
      <c r="AT104" s="236"/>
      <c r="AU104" s="236"/>
      <c r="AV104" s="236"/>
      <c r="AW104" s="236"/>
      <c r="AX104" s="236"/>
      <c r="AY104" s="236"/>
      <c r="AZ104" s="256"/>
      <c r="BA104" s="225"/>
    </row>
    <row r="105" spans="1:53" ht="180" x14ac:dyDescent="0.25">
      <c r="A105" s="107"/>
      <c r="B105" s="103"/>
      <c r="C105" s="103"/>
      <c r="D105" s="107"/>
      <c r="E105" s="106"/>
      <c r="F105" s="103" t="s">
        <v>3261</v>
      </c>
      <c r="G105" s="649" t="s">
        <v>3262</v>
      </c>
      <c r="H105" s="723" t="s">
        <v>3263</v>
      </c>
      <c r="I105" s="723" t="s">
        <v>3264</v>
      </c>
      <c r="J105" s="651">
        <v>2</v>
      </c>
      <c r="K105" s="735" t="s">
        <v>526</v>
      </c>
      <c r="L105" s="832">
        <v>30</v>
      </c>
      <c r="M105" s="737">
        <v>20</v>
      </c>
      <c r="N105" s="225"/>
      <c r="O105" s="225"/>
      <c r="P105" s="652"/>
      <c r="Q105" s="225"/>
      <c r="R105" s="225"/>
      <c r="S105" s="225"/>
      <c r="T105" s="225"/>
      <c r="U105" s="738"/>
      <c r="V105" s="738"/>
      <c r="W105" s="738"/>
      <c r="X105" s="738"/>
      <c r="Y105" s="738"/>
      <c r="Z105" s="738"/>
      <c r="AA105" s="738"/>
      <c r="AB105" s="738"/>
      <c r="AC105" s="738"/>
      <c r="AD105" s="738"/>
      <c r="AE105" s="225"/>
      <c r="AF105" s="225"/>
      <c r="AG105" s="724" t="s">
        <v>3280</v>
      </c>
      <c r="AH105" s="743"/>
      <c r="AI105" s="740" t="s">
        <v>1459</v>
      </c>
      <c r="AJ105" s="739" t="s">
        <v>1539</v>
      </c>
      <c r="AK105" s="739"/>
      <c r="AL105" s="742">
        <f>443507652/1000</f>
        <v>443507.652</v>
      </c>
      <c r="AM105" s="243"/>
      <c r="AN105" s="236"/>
      <c r="AO105" s="236"/>
      <c r="AP105" s="236"/>
      <c r="AQ105" s="236"/>
      <c r="AR105" s="236"/>
      <c r="AS105" s="236"/>
      <c r="AT105" s="236"/>
      <c r="AU105" s="236"/>
      <c r="AV105" s="236"/>
      <c r="AW105" s="236"/>
      <c r="AX105" s="236"/>
      <c r="AY105" s="236"/>
      <c r="AZ105" s="256"/>
      <c r="BA105" s="225"/>
    </row>
    <row r="106" spans="1:53" x14ac:dyDescent="0.25">
      <c r="A106" s="702"/>
      <c r="B106" s="703"/>
      <c r="C106" s="703"/>
      <c r="D106" s="702"/>
      <c r="E106" s="725"/>
      <c r="F106" s="703"/>
      <c r="G106" s="709"/>
      <c r="H106" s="726"/>
      <c r="I106" s="726"/>
      <c r="J106" s="704"/>
      <c r="K106" s="802"/>
      <c r="L106" s="833"/>
      <c r="M106" s="834"/>
      <c r="N106" s="805"/>
      <c r="O106" s="805"/>
      <c r="P106" s="706"/>
      <c r="Q106" s="805"/>
      <c r="R106" s="805"/>
      <c r="S106" s="805"/>
      <c r="T106" s="805"/>
      <c r="U106" s="806"/>
      <c r="V106" s="806"/>
      <c r="W106" s="806"/>
      <c r="X106" s="806"/>
      <c r="Y106" s="806"/>
      <c r="Z106" s="806"/>
      <c r="AA106" s="806"/>
      <c r="AB106" s="806"/>
      <c r="AC106" s="806"/>
      <c r="AD106" s="806"/>
      <c r="AE106" s="805"/>
      <c r="AF106" s="805"/>
      <c r="AG106" s="727"/>
      <c r="AH106" s="835"/>
      <c r="AI106" s="809"/>
      <c r="AJ106" s="808"/>
      <c r="AK106" s="808"/>
      <c r="AL106" s="810"/>
      <c r="AM106" s="805"/>
      <c r="AN106" s="805"/>
      <c r="AO106" s="805"/>
      <c r="AP106" s="805"/>
      <c r="AQ106" s="805"/>
      <c r="AR106" s="805"/>
      <c r="AS106" s="805"/>
      <c r="AT106" s="805"/>
      <c r="AU106" s="805"/>
      <c r="AV106" s="805"/>
      <c r="AW106" s="805"/>
      <c r="AX106" s="805"/>
      <c r="AY106" s="805"/>
      <c r="AZ106" s="805"/>
      <c r="BA106" s="805"/>
    </row>
    <row r="107" spans="1:53" ht="240" x14ac:dyDescent="0.25">
      <c r="A107" s="107" t="s">
        <v>1245</v>
      </c>
      <c r="B107" s="103" t="s">
        <v>3099</v>
      </c>
      <c r="C107" s="967" t="s">
        <v>3281</v>
      </c>
      <c r="D107" s="967" t="s">
        <v>3282</v>
      </c>
      <c r="E107" s="103" t="s">
        <v>3283</v>
      </c>
      <c r="F107" s="103" t="s">
        <v>3261</v>
      </c>
      <c r="G107" s="649" t="s">
        <v>3262</v>
      </c>
      <c r="H107" s="651" t="s">
        <v>3284</v>
      </c>
      <c r="I107" s="651" t="s">
        <v>3285</v>
      </c>
      <c r="J107" s="734">
        <v>2</v>
      </c>
      <c r="K107" s="735" t="s">
        <v>526</v>
      </c>
      <c r="L107" s="736">
        <v>5</v>
      </c>
      <c r="M107" s="737">
        <v>5</v>
      </c>
      <c r="N107" s="225"/>
      <c r="O107" s="225"/>
      <c r="P107" s="652">
        <v>4050876</v>
      </c>
      <c r="Q107" s="225"/>
      <c r="R107" s="225"/>
      <c r="S107" s="225"/>
      <c r="T107" s="225"/>
      <c r="U107" s="738"/>
      <c r="V107" s="738"/>
      <c r="W107" s="738"/>
      <c r="X107" s="738"/>
      <c r="Y107" s="738"/>
      <c r="Z107" s="738"/>
      <c r="AA107" s="738"/>
      <c r="AB107" s="738"/>
      <c r="AC107" s="738"/>
      <c r="AD107" s="738"/>
      <c r="AE107" s="225"/>
      <c r="AF107" s="225"/>
      <c r="AG107" s="724" t="s">
        <v>3286</v>
      </c>
      <c r="AH107" s="739"/>
      <c r="AI107" s="740" t="s">
        <v>1692</v>
      </c>
      <c r="AJ107" s="739" t="s">
        <v>1460</v>
      </c>
      <c r="AK107" s="739">
        <v>7000</v>
      </c>
      <c r="AL107" s="742">
        <v>830000</v>
      </c>
      <c r="AM107" s="243"/>
      <c r="AN107" s="236" t="s">
        <v>536</v>
      </c>
      <c r="AO107" s="236" t="s">
        <v>536</v>
      </c>
      <c r="AP107" s="236" t="s">
        <v>536</v>
      </c>
      <c r="AQ107" s="236" t="s">
        <v>536</v>
      </c>
      <c r="AR107" s="236" t="s">
        <v>536</v>
      </c>
      <c r="AS107" s="236" t="s">
        <v>536</v>
      </c>
      <c r="AT107" s="236" t="s">
        <v>536</v>
      </c>
      <c r="AU107" s="236" t="s">
        <v>536</v>
      </c>
      <c r="AV107" s="236" t="s">
        <v>536</v>
      </c>
      <c r="AW107" s="236" t="s">
        <v>536</v>
      </c>
      <c r="AX107" s="236" t="s">
        <v>536</v>
      </c>
      <c r="AY107" s="236" t="s">
        <v>536</v>
      </c>
      <c r="AZ107" s="256" t="s">
        <v>3218</v>
      </c>
      <c r="BA107" s="225"/>
    </row>
    <row r="108" spans="1:53" ht="240" x14ac:dyDescent="0.25">
      <c r="A108" s="107"/>
      <c r="B108" s="103"/>
      <c r="C108" s="967"/>
      <c r="D108" s="967"/>
      <c r="E108" s="103"/>
      <c r="F108" s="103" t="s">
        <v>3261</v>
      </c>
      <c r="G108" s="649" t="s">
        <v>3262</v>
      </c>
      <c r="H108" s="651" t="s">
        <v>3284</v>
      </c>
      <c r="I108" s="651" t="s">
        <v>3285</v>
      </c>
      <c r="J108" s="734">
        <v>2</v>
      </c>
      <c r="K108" s="735" t="s">
        <v>526</v>
      </c>
      <c r="L108" s="736">
        <v>5</v>
      </c>
      <c r="M108" s="737">
        <v>5</v>
      </c>
      <c r="N108" s="225"/>
      <c r="O108" s="225"/>
      <c r="P108" s="652"/>
      <c r="Q108" s="225"/>
      <c r="R108" s="225"/>
      <c r="S108" s="225"/>
      <c r="T108" s="225"/>
      <c r="U108" s="738"/>
      <c r="V108" s="738"/>
      <c r="W108" s="738"/>
      <c r="X108" s="738"/>
      <c r="Y108" s="738"/>
      <c r="Z108" s="738"/>
      <c r="AA108" s="738"/>
      <c r="AB108" s="738"/>
      <c r="AC108" s="738"/>
      <c r="AD108" s="738"/>
      <c r="AE108" s="225"/>
      <c r="AF108" s="225"/>
      <c r="AG108" s="724" t="s">
        <v>3287</v>
      </c>
      <c r="AH108" s="739"/>
      <c r="AI108" s="740" t="s">
        <v>3127</v>
      </c>
      <c r="AJ108" s="739" t="s">
        <v>1551</v>
      </c>
      <c r="AK108" s="739">
        <v>300</v>
      </c>
      <c r="AL108" s="742">
        <v>435478</v>
      </c>
      <c r="AM108" s="243"/>
      <c r="AN108" s="236" t="s">
        <v>536</v>
      </c>
      <c r="AO108" s="236" t="s">
        <v>536</v>
      </c>
      <c r="AP108" s="236" t="s">
        <v>536</v>
      </c>
      <c r="AQ108" s="236" t="s">
        <v>536</v>
      </c>
      <c r="AR108" s="236" t="s">
        <v>536</v>
      </c>
      <c r="AS108" s="236" t="s">
        <v>536</v>
      </c>
      <c r="AT108" s="236" t="s">
        <v>536</v>
      </c>
      <c r="AU108" s="236" t="s">
        <v>536</v>
      </c>
      <c r="AV108" s="236" t="s">
        <v>536</v>
      </c>
      <c r="AW108" s="236" t="s">
        <v>536</v>
      </c>
      <c r="AX108" s="236" t="s">
        <v>536</v>
      </c>
      <c r="AY108" s="236" t="s">
        <v>536</v>
      </c>
      <c r="AZ108" s="256" t="s">
        <v>3218</v>
      </c>
      <c r="BA108" s="225"/>
    </row>
    <row r="109" spans="1:53" ht="240" x14ac:dyDescent="0.25">
      <c r="A109" s="107"/>
      <c r="B109" s="103"/>
      <c r="C109" s="967"/>
      <c r="D109" s="967"/>
      <c r="E109" s="103"/>
      <c r="F109" s="103" t="s">
        <v>3261</v>
      </c>
      <c r="G109" s="649" t="s">
        <v>3262</v>
      </c>
      <c r="H109" s="651" t="s">
        <v>3284</v>
      </c>
      <c r="I109" s="651" t="s">
        <v>3285</v>
      </c>
      <c r="J109" s="734">
        <v>2</v>
      </c>
      <c r="K109" s="735" t="s">
        <v>526</v>
      </c>
      <c r="L109" s="736">
        <v>5</v>
      </c>
      <c r="M109" s="737">
        <v>5</v>
      </c>
      <c r="N109" s="225"/>
      <c r="O109" s="225"/>
      <c r="P109" s="652"/>
      <c r="Q109" s="225"/>
      <c r="R109" s="225"/>
      <c r="S109" s="225"/>
      <c r="T109" s="225"/>
      <c r="U109" s="738"/>
      <c r="V109" s="738"/>
      <c r="W109" s="738"/>
      <c r="X109" s="738"/>
      <c r="Y109" s="738"/>
      <c r="Z109" s="738"/>
      <c r="AA109" s="738"/>
      <c r="AB109" s="738"/>
      <c r="AC109" s="738"/>
      <c r="AD109" s="738"/>
      <c r="AE109" s="225"/>
      <c r="AF109" s="225"/>
      <c r="AG109" s="724" t="s">
        <v>3288</v>
      </c>
      <c r="AH109" s="739"/>
      <c r="AI109" s="740" t="s">
        <v>3127</v>
      </c>
      <c r="AJ109" s="739" t="s">
        <v>1551</v>
      </c>
      <c r="AK109" s="739">
        <v>220</v>
      </c>
      <c r="AL109" s="742">
        <v>370585</v>
      </c>
      <c r="AM109" s="243"/>
      <c r="AN109" s="236" t="s">
        <v>536</v>
      </c>
      <c r="AO109" s="236" t="s">
        <v>536</v>
      </c>
      <c r="AP109" s="236" t="s">
        <v>536</v>
      </c>
      <c r="AQ109" s="236" t="s">
        <v>536</v>
      </c>
      <c r="AR109" s="236" t="s">
        <v>536</v>
      </c>
      <c r="AS109" s="236" t="s">
        <v>536</v>
      </c>
      <c r="AT109" s="236" t="s">
        <v>536</v>
      </c>
      <c r="AU109" s="236" t="s">
        <v>536</v>
      </c>
      <c r="AV109" s="236" t="s">
        <v>536</v>
      </c>
      <c r="AW109" s="236" t="s">
        <v>536</v>
      </c>
      <c r="AX109" s="236" t="s">
        <v>536</v>
      </c>
      <c r="AY109" s="236" t="s">
        <v>536</v>
      </c>
      <c r="AZ109" s="256" t="s">
        <v>3218</v>
      </c>
      <c r="BA109" s="225"/>
    </row>
    <row r="110" spans="1:53" ht="240" x14ac:dyDescent="0.25">
      <c r="A110" s="107"/>
      <c r="B110" s="103"/>
      <c r="C110" s="967"/>
      <c r="D110" s="967"/>
      <c r="E110" s="103"/>
      <c r="F110" s="103" t="s">
        <v>3261</v>
      </c>
      <c r="G110" s="649" t="s">
        <v>3262</v>
      </c>
      <c r="H110" s="651" t="s">
        <v>3284</v>
      </c>
      <c r="I110" s="651" t="s">
        <v>3285</v>
      </c>
      <c r="J110" s="734">
        <v>2</v>
      </c>
      <c r="K110" s="735" t="s">
        <v>526</v>
      </c>
      <c r="L110" s="736">
        <v>5</v>
      </c>
      <c r="M110" s="737">
        <v>5</v>
      </c>
      <c r="N110" s="225"/>
      <c r="O110" s="225"/>
      <c r="P110" s="652"/>
      <c r="Q110" s="225"/>
      <c r="R110" s="225"/>
      <c r="S110" s="225"/>
      <c r="T110" s="225"/>
      <c r="U110" s="738"/>
      <c r="V110" s="738"/>
      <c r="W110" s="738"/>
      <c r="X110" s="738"/>
      <c r="Y110" s="738"/>
      <c r="Z110" s="738"/>
      <c r="AA110" s="738"/>
      <c r="AB110" s="738"/>
      <c r="AC110" s="738"/>
      <c r="AD110" s="738"/>
      <c r="AE110" s="225"/>
      <c r="AF110" s="225"/>
      <c r="AG110" s="724" t="s">
        <v>3289</v>
      </c>
      <c r="AH110" s="739"/>
      <c r="AI110" s="740" t="s">
        <v>1692</v>
      </c>
      <c r="AJ110" s="739" t="s">
        <v>1460</v>
      </c>
      <c r="AK110" s="739">
        <v>544</v>
      </c>
      <c r="AL110" s="742">
        <v>478000</v>
      </c>
      <c r="AM110" s="243"/>
      <c r="AN110" s="236" t="s">
        <v>536</v>
      </c>
      <c r="AO110" s="236" t="s">
        <v>536</v>
      </c>
      <c r="AP110" s="236" t="s">
        <v>536</v>
      </c>
      <c r="AQ110" s="236" t="s">
        <v>536</v>
      </c>
      <c r="AR110" s="236" t="s">
        <v>536</v>
      </c>
      <c r="AS110" s="236" t="s">
        <v>536</v>
      </c>
      <c r="AT110" s="236" t="s">
        <v>536</v>
      </c>
      <c r="AU110" s="236" t="s">
        <v>536</v>
      </c>
      <c r="AV110" s="236" t="s">
        <v>536</v>
      </c>
      <c r="AW110" s="236" t="s">
        <v>536</v>
      </c>
      <c r="AX110" s="236" t="s">
        <v>536</v>
      </c>
      <c r="AY110" s="236" t="s">
        <v>536</v>
      </c>
      <c r="AZ110" s="256" t="s">
        <v>3218</v>
      </c>
      <c r="BA110" s="225"/>
    </row>
    <row r="111" spans="1:53" ht="240" x14ac:dyDescent="0.25">
      <c r="A111" s="107"/>
      <c r="B111" s="103"/>
      <c r="C111" s="967"/>
      <c r="D111" s="967"/>
      <c r="E111" s="103"/>
      <c r="F111" s="103" t="s">
        <v>3261</v>
      </c>
      <c r="G111" s="649" t="s">
        <v>3262</v>
      </c>
      <c r="H111" s="651" t="s">
        <v>3284</v>
      </c>
      <c r="I111" s="651" t="s">
        <v>3285</v>
      </c>
      <c r="J111" s="734">
        <v>2</v>
      </c>
      <c r="K111" s="735" t="s">
        <v>526</v>
      </c>
      <c r="L111" s="736">
        <v>5</v>
      </c>
      <c r="M111" s="737">
        <v>5</v>
      </c>
      <c r="N111" s="225"/>
      <c r="O111" s="225"/>
      <c r="P111" s="652"/>
      <c r="Q111" s="225"/>
      <c r="R111" s="225"/>
      <c r="S111" s="225"/>
      <c r="T111" s="225"/>
      <c r="U111" s="738"/>
      <c r="V111" s="738"/>
      <c r="W111" s="738"/>
      <c r="X111" s="738"/>
      <c r="Y111" s="738"/>
      <c r="Z111" s="738"/>
      <c r="AA111" s="738"/>
      <c r="AB111" s="738"/>
      <c r="AC111" s="738"/>
      <c r="AD111" s="738"/>
      <c r="AE111" s="225"/>
      <c r="AF111" s="225"/>
      <c r="AG111" s="724" t="s">
        <v>3290</v>
      </c>
      <c r="AH111" s="739"/>
      <c r="AI111" s="740" t="s">
        <v>1556</v>
      </c>
      <c r="AJ111" s="739" t="s">
        <v>1551</v>
      </c>
      <c r="AK111" s="739">
        <v>800</v>
      </c>
      <c r="AL111" s="742">
        <v>620306</v>
      </c>
      <c r="AM111" s="243"/>
      <c r="AN111" s="236" t="s">
        <v>536</v>
      </c>
      <c r="AO111" s="236" t="s">
        <v>536</v>
      </c>
      <c r="AP111" s="236" t="s">
        <v>536</v>
      </c>
      <c r="AQ111" s="236" t="s">
        <v>536</v>
      </c>
      <c r="AR111" s="236" t="s">
        <v>536</v>
      </c>
      <c r="AS111" s="236" t="s">
        <v>536</v>
      </c>
      <c r="AT111" s="236" t="s">
        <v>536</v>
      </c>
      <c r="AU111" s="236" t="s">
        <v>536</v>
      </c>
      <c r="AV111" s="236" t="s">
        <v>536</v>
      </c>
      <c r="AW111" s="236" t="s">
        <v>536</v>
      </c>
      <c r="AX111" s="236" t="s">
        <v>536</v>
      </c>
      <c r="AY111" s="236" t="s">
        <v>536</v>
      </c>
      <c r="AZ111" s="256" t="s">
        <v>3218</v>
      </c>
      <c r="BA111" s="225"/>
    </row>
    <row r="112" spans="1:53" ht="240" x14ac:dyDescent="0.25">
      <c r="A112" s="107"/>
      <c r="B112" s="103"/>
      <c r="C112" s="967"/>
      <c r="D112" s="967"/>
      <c r="E112" s="103"/>
      <c r="F112" s="103" t="s">
        <v>3261</v>
      </c>
      <c r="G112" s="649" t="s">
        <v>3262</v>
      </c>
      <c r="H112" s="651" t="s">
        <v>3284</v>
      </c>
      <c r="I112" s="651" t="s">
        <v>3285</v>
      </c>
      <c r="J112" s="734">
        <v>2</v>
      </c>
      <c r="K112" s="735" t="s">
        <v>526</v>
      </c>
      <c r="L112" s="736">
        <v>5</v>
      </c>
      <c r="M112" s="737">
        <v>5</v>
      </c>
      <c r="N112" s="225"/>
      <c r="O112" s="225"/>
      <c r="P112" s="652"/>
      <c r="Q112" s="225"/>
      <c r="R112" s="225"/>
      <c r="S112" s="225"/>
      <c r="T112" s="225"/>
      <c r="U112" s="738"/>
      <c r="V112" s="738"/>
      <c r="W112" s="738"/>
      <c r="X112" s="738"/>
      <c r="Y112" s="738"/>
      <c r="Z112" s="738"/>
      <c r="AA112" s="738"/>
      <c r="AB112" s="738"/>
      <c r="AC112" s="738"/>
      <c r="AD112" s="738"/>
      <c r="AE112" s="225"/>
      <c r="AF112" s="225"/>
      <c r="AG112" s="724" t="s">
        <v>3291</v>
      </c>
      <c r="AH112" s="739"/>
      <c r="AI112" s="740" t="s">
        <v>1538</v>
      </c>
      <c r="AJ112" s="739" t="s">
        <v>1539</v>
      </c>
      <c r="AK112" s="739">
        <v>1530</v>
      </c>
      <c r="AL112" s="742">
        <v>722899</v>
      </c>
      <c r="AM112" s="243"/>
      <c r="AN112" s="236" t="s">
        <v>536</v>
      </c>
      <c r="AO112" s="236" t="s">
        <v>536</v>
      </c>
      <c r="AP112" s="236" t="s">
        <v>536</v>
      </c>
      <c r="AQ112" s="236" t="s">
        <v>536</v>
      </c>
      <c r="AR112" s="236" t="s">
        <v>536</v>
      </c>
      <c r="AS112" s="236" t="s">
        <v>536</v>
      </c>
      <c r="AT112" s="236" t="s">
        <v>536</v>
      </c>
      <c r="AU112" s="236" t="s">
        <v>536</v>
      </c>
      <c r="AV112" s="236" t="s">
        <v>536</v>
      </c>
      <c r="AW112" s="236" t="s">
        <v>536</v>
      </c>
      <c r="AX112" s="236" t="s">
        <v>536</v>
      </c>
      <c r="AY112" s="236" t="s">
        <v>536</v>
      </c>
      <c r="AZ112" s="256" t="s">
        <v>3218</v>
      </c>
      <c r="BA112" s="225"/>
    </row>
    <row r="113" spans="1:53" ht="240" x14ac:dyDescent="0.25">
      <c r="A113" s="107"/>
      <c r="B113" s="103"/>
      <c r="C113" s="967"/>
      <c r="D113" s="967"/>
      <c r="E113" s="103"/>
      <c r="F113" s="103" t="s">
        <v>3261</v>
      </c>
      <c r="G113" s="649" t="s">
        <v>3262</v>
      </c>
      <c r="H113" s="651" t="s">
        <v>3284</v>
      </c>
      <c r="I113" s="651" t="s">
        <v>3285</v>
      </c>
      <c r="J113" s="734">
        <v>2</v>
      </c>
      <c r="K113" s="735" t="s">
        <v>526</v>
      </c>
      <c r="L113" s="736">
        <v>5</v>
      </c>
      <c r="M113" s="737">
        <v>5</v>
      </c>
      <c r="N113" s="225"/>
      <c r="O113" s="225"/>
      <c r="P113" s="652"/>
      <c r="Q113" s="225"/>
      <c r="R113" s="225"/>
      <c r="S113" s="225"/>
      <c r="T113" s="225"/>
      <c r="U113" s="738"/>
      <c r="V113" s="738"/>
      <c r="W113" s="738"/>
      <c r="X113" s="738"/>
      <c r="Y113" s="738"/>
      <c r="Z113" s="738"/>
      <c r="AA113" s="738"/>
      <c r="AB113" s="738"/>
      <c r="AC113" s="738"/>
      <c r="AD113" s="738"/>
      <c r="AE113" s="225"/>
      <c r="AF113" s="225"/>
      <c r="AG113" s="724" t="s">
        <v>3292</v>
      </c>
      <c r="AH113" s="739"/>
      <c r="AI113" s="740" t="s">
        <v>1799</v>
      </c>
      <c r="AJ113" s="739" t="s">
        <v>1539</v>
      </c>
      <c r="AK113" s="739">
        <v>3387</v>
      </c>
      <c r="AL113" s="742">
        <v>74756</v>
      </c>
      <c r="AM113" s="243"/>
      <c r="AN113" s="236" t="s">
        <v>536</v>
      </c>
      <c r="AO113" s="236" t="s">
        <v>536</v>
      </c>
      <c r="AP113" s="236" t="s">
        <v>536</v>
      </c>
      <c r="AQ113" s="236" t="s">
        <v>536</v>
      </c>
      <c r="AR113" s="236" t="s">
        <v>536</v>
      </c>
      <c r="AS113" s="236" t="s">
        <v>536</v>
      </c>
      <c r="AT113" s="236" t="s">
        <v>536</v>
      </c>
      <c r="AU113" s="236" t="s">
        <v>536</v>
      </c>
      <c r="AV113" s="236" t="s">
        <v>536</v>
      </c>
      <c r="AW113" s="236" t="s">
        <v>536</v>
      </c>
      <c r="AX113" s="236" t="s">
        <v>536</v>
      </c>
      <c r="AY113" s="236" t="s">
        <v>536</v>
      </c>
      <c r="AZ113" s="256" t="s">
        <v>3218</v>
      </c>
      <c r="BA113" s="225"/>
    </row>
    <row r="114" spans="1:53" ht="240" x14ac:dyDescent="0.25">
      <c r="A114" s="107"/>
      <c r="B114" s="103"/>
      <c r="C114" s="967"/>
      <c r="D114" s="967"/>
      <c r="E114" s="103"/>
      <c r="F114" s="103" t="s">
        <v>3261</v>
      </c>
      <c r="G114" s="649" t="s">
        <v>3262</v>
      </c>
      <c r="H114" s="651" t="s">
        <v>3284</v>
      </c>
      <c r="I114" s="651" t="s">
        <v>3285</v>
      </c>
      <c r="J114" s="734">
        <v>2</v>
      </c>
      <c r="K114" s="735" t="s">
        <v>526</v>
      </c>
      <c r="L114" s="736">
        <v>5</v>
      </c>
      <c r="M114" s="737">
        <v>5</v>
      </c>
      <c r="N114" s="225"/>
      <c r="O114" s="225"/>
      <c r="P114" s="652"/>
      <c r="Q114" s="225"/>
      <c r="R114" s="225"/>
      <c r="S114" s="225"/>
      <c r="T114" s="225"/>
      <c r="U114" s="738"/>
      <c r="V114" s="738"/>
      <c r="W114" s="738"/>
      <c r="X114" s="738"/>
      <c r="Y114" s="738"/>
      <c r="Z114" s="738"/>
      <c r="AA114" s="738"/>
      <c r="AB114" s="738"/>
      <c r="AC114" s="738"/>
      <c r="AD114" s="738"/>
      <c r="AE114" s="225"/>
      <c r="AF114" s="225"/>
      <c r="AG114" s="724" t="s">
        <v>3293</v>
      </c>
      <c r="AH114" s="739"/>
      <c r="AI114" s="740" t="s">
        <v>3190</v>
      </c>
      <c r="AJ114" s="739" t="s">
        <v>1460</v>
      </c>
      <c r="AK114" s="739">
        <v>4000</v>
      </c>
      <c r="AL114" s="742">
        <f>900830420/1000</f>
        <v>900830.42</v>
      </c>
      <c r="AM114" s="243"/>
      <c r="AN114" s="236" t="s">
        <v>536</v>
      </c>
      <c r="AO114" s="236" t="s">
        <v>536</v>
      </c>
      <c r="AP114" s="236" t="s">
        <v>536</v>
      </c>
      <c r="AQ114" s="236" t="s">
        <v>536</v>
      </c>
      <c r="AR114" s="236" t="s">
        <v>536</v>
      </c>
      <c r="AS114" s="236" t="s">
        <v>536</v>
      </c>
      <c r="AT114" s="236" t="s">
        <v>536</v>
      </c>
      <c r="AU114" s="236" t="s">
        <v>536</v>
      </c>
      <c r="AV114" s="236" t="s">
        <v>536</v>
      </c>
      <c r="AW114" s="236" t="s">
        <v>536</v>
      </c>
      <c r="AX114" s="236" t="s">
        <v>536</v>
      </c>
      <c r="AY114" s="236" t="s">
        <v>536</v>
      </c>
      <c r="AZ114" s="256" t="s">
        <v>3218</v>
      </c>
      <c r="BA114" s="225"/>
    </row>
    <row r="115" spans="1:53" ht="240" x14ac:dyDescent="0.25">
      <c r="A115" s="107"/>
      <c r="B115" s="103"/>
      <c r="C115" s="967"/>
      <c r="D115" s="967"/>
      <c r="E115" s="103"/>
      <c r="F115" s="103" t="s">
        <v>3261</v>
      </c>
      <c r="G115" s="649" t="s">
        <v>3262</v>
      </c>
      <c r="H115" s="651" t="s">
        <v>3284</v>
      </c>
      <c r="I115" s="651" t="s">
        <v>3285</v>
      </c>
      <c r="J115" s="734">
        <v>2</v>
      </c>
      <c r="K115" s="735" t="s">
        <v>526</v>
      </c>
      <c r="L115" s="736">
        <v>5</v>
      </c>
      <c r="M115" s="737">
        <v>5</v>
      </c>
      <c r="N115" s="225"/>
      <c r="O115" s="225"/>
      <c r="P115" s="652"/>
      <c r="Q115" s="225"/>
      <c r="R115" s="225"/>
      <c r="S115" s="225"/>
      <c r="T115" s="225"/>
      <c r="U115" s="738"/>
      <c r="V115" s="738"/>
      <c r="W115" s="738"/>
      <c r="X115" s="738"/>
      <c r="Y115" s="738"/>
      <c r="Z115" s="738"/>
      <c r="AA115" s="738"/>
      <c r="AB115" s="738"/>
      <c r="AC115" s="738"/>
      <c r="AD115" s="738"/>
      <c r="AE115" s="225"/>
      <c r="AF115" s="225"/>
      <c r="AG115" s="724" t="s">
        <v>3294</v>
      </c>
      <c r="AH115" s="739"/>
      <c r="AI115" s="740" t="s">
        <v>1692</v>
      </c>
      <c r="AJ115" s="739" t="s">
        <v>1460</v>
      </c>
      <c r="AK115" s="739">
        <v>1117</v>
      </c>
      <c r="AL115" s="742">
        <v>600000</v>
      </c>
      <c r="AM115" s="243"/>
      <c r="AN115" s="236" t="s">
        <v>536</v>
      </c>
      <c r="AO115" s="236" t="s">
        <v>536</v>
      </c>
      <c r="AP115" s="236" t="s">
        <v>536</v>
      </c>
      <c r="AQ115" s="236" t="s">
        <v>536</v>
      </c>
      <c r="AR115" s="236" t="s">
        <v>536</v>
      </c>
      <c r="AS115" s="236" t="s">
        <v>536</v>
      </c>
      <c r="AT115" s="236" t="s">
        <v>536</v>
      </c>
      <c r="AU115" s="236" t="s">
        <v>536</v>
      </c>
      <c r="AV115" s="236" t="s">
        <v>536</v>
      </c>
      <c r="AW115" s="236" t="s">
        <v>536</v>
      </c>
      <c r="AX115" s="236" t="s">
        <v>536</v>
      </c>
      <c r="AY115" s="236" t="s">
        <v>536</v>
      </c>
      <c r="AZ115" s="256" t="s">
        <v>3218</v>
      </c>
      <c r="BA115" s="225"/>
    </row>
    <row r="116" spans="1:53" x14ac:dyDescent="0.25">
      <c r="A116" s="702"/>
      <c r="B116" s="703"/>
      <c r="C116" s="967"/>
      <c r="D116" s="967"/>
      <c r="E116" s="703"/>
      <c r="F116" s="703"/>
      <c r="G116" s="709"/>
      <c r="H116" s="704"/>
      <c r="I116" s="704"/>
      <c r="J116" s="802"/>
      <c r="K116" s="802"/>
      <c r="L116" s="836"/>
      <c r="M116" s="834"/>
      <c r="N116" s="805"/>
      <c r="O116" s="805"/>
      <c r="P116" s="706"/>
      <c r="Q116" s="805"/>
      <c r="R116" s="805"/>
      <c r="S116" s="805"/>
      <c r="T116" s="805"/>
      <c r="U116" s="806"/>
      <c r="V116" s="806"/>
      <c r="W116" s="806"/>
      <c r="X116" s="806"/>
      <c r="Y116" s="806"/>
      <c r="Z116" s="806"/>
      <c r="AA116" s="806"/>
      <c r="AB116" s="806"/>
      <c r="AC116" s="806"/>
      <c r="AD116" s="806"/>
      <c r="AE116" s="805"/>
      <c r="AF116" s="805"/>
      <c r="AG116" s="807"/>
      <c r="AH116" s="808"/>
      <c r="AI116" s="809"/>
      <c r="AJ116" s="808"/>
      <c r="AK116" s="808"/>
      <c r="AL116" s="810"/>
      <c r="AM116" s="805"/>
      <c r="AN116" s="805"/>
      <c r="AO116" s="805"/>
      <c r="AP116" s="805"/>
      <c r="AQ116" s="805"/>
      <c r="AR116" s="805"/>
      <c r="AS116" s="805"/>
      <c r="AT116" s="805"/>
      <c r="AU116" s="805"/>
      <c r="AV116" s="805"/>
      <c r="AW116" s="805"/>
      <c r="AX116" s="805"/>
      <c r="AY116" s="805"/>
      <c r="AZ116" s="805"/>
      <c r="BA116" s="805"/>
    </row>
    <row r="117" spans="1:53" ht="240" x14ac:dyDescent="0.25">
      <c r="A117" s="107" t="s">
        <v>1245</v>
      </c>
      <c r="B117" s="103" t="s">
        <v>3099</v>
      </c>
      <c r="C117" s="967"/>
      <c r="D117" s="967"/>
      <c r="E117" s="103"/>
      <c r="F117" s="103" t="s">
        <v>3261</v>
      </c>
      <c r="G117" s="649" t="s">
        <v>3262</v>
      </c>
      <c r="H117" s="651" t="s">
        <v>3295</v>
      </c>
      <c r="I117" s="651" t="s">
        <v>3296</v>
      </c>
      <c r="J117" s="734">
        <v>3</v>
      </c>
      <c r="K117" s="735" t="s">
        <v>526</v>
      </c>
      <c r="L117" s="736">
        <v>20</v>
      </c>
      <c r="M117" s="737">
        <v>18</v>
      </c>
      <c r="N117" s="225"/>
      <c r="O117" s="225"/>
      <c r="P117" s="652">
        <v>2155758</v>
      </c>
      <c r="Q117" s="225"/>
      <c r="R117" s="225"/>
      <c r="S117" s="225"/>
      <c r="T117" s="225"/>
      <c r="U117" s="738"/>
      <c r="V117" s="738"/>
      <c r="W117" s="738"/>
      <c r="X117" s="738"/>
      <c r="Y117" s="738"/>
      <c r="Z117" s="738"/>
      <c r="AA117" s="738"/>
      <c r="AB117" s="738"/>
      <c r="AC117" s="738"/>
      <c r="AD117" s="738"/>
      <c r="AE117" s="225"/>
      <c r="AF117" s="225"/>
      <c r="AG117" s="724" t="s">
        <v>3297</v>
      </c>
      <c r="AH117" s="739"/>
      <c r="AI117" s="740" t="s">
        <v>1524</v>
      </c>
      <c r="AJ117" s="739" t="s">
        <v>1471</v>
      </c>
      <c r="AK117" s="739">
        <v>936</v>
      </c>
      <c r="AL117" s="742">
        <f>217000/3</f>
        <v>72333.333333333328</v>
      </c>
      <c r="AM117" s="243"/>
      <c r="AN117" s="236" t="s">
        <v>536</v>
      </c>
      <c r="AO117" s="236" t="s">
        <v>536</v>
      </c>
      <c r="AP117" s="236" t="s">
        <v>536</v>
      </c>
      <c r="AQ117" s="236" t="s">
        <v>536</v>
      </c>
      <c r="AR117" s="236" t="s">
        <v>536</v>
      </c>
      <c r="AS117" s="236" t="s">
        <v>536</v>
      </c>
      <c r="AT117" s="236" t="s">
        <v>536</v>
      </c>
      <c r="AU117" s="236" t="s">
        <v>536</v>
      </c>
      <c r="AV117" s="236" t="s">
        <v>536</v>
      </c>
      <c r="AW117" s="236" t="s">
        <v>536</v>
      </c>
      <c r="AX117" s="236" t="s">
        <v>536</v>
      </c>
      <c r="AY117" s="236" t="s">
        <v>536</v>
      </c>
      <c r="AZ117" s="256" t="s">
        <v>3218</v>
      </c>
      <c r="BA117" s="225"/>
    </row>
    <row r="118" spans="1:53" ht="240" x14ac:dyDescent="0.25">
      <c r="A118" s="107"/>
      <c r="B118" s="103"/>
      <c r="C118" s="106"/>
      <c r="D118" s="106"/>
      <c r="E118" s="106"/>
      <c r="F118" s="103" t="s">
        <v>3261</v>
      </c>
      <c r="G118" s="649" t="s">
        <v>3262</v>
      </c>
      <c r="H118" s="651" t="s">
        <v>3295</v>
      </c>
      <c r="I118" s="651" t="s">
        <v>3296</v>
      </c>
      <c r="J118" s="734">
        <v>3</v>
      </c>
      <c r="K118" s="735" t="s">
        <v>526</v>
      </c>
      <c r="L118" s="736">
        <v>20</v>
      </c>
      <c r="M118" s="737">
        <v>18</v>
      </c>
      <c r="N118" s="225"/>
      <c r="O118" s="225"/>
      <c r="P118" s="652"/>
      <c r="Q118" s="225"/>
      <c r="R118" s="225"/>
      <c r="S118" s="225"/>
      <c r="T118" s="225"/>
      <c r="U118" s="738"/>
      <c r="V118" s="738"/>
      <c r="W118" s="738"/>
      <c r="X118" s="738"/>
      <c r="Y118" s="738"/>
      <c r="Z118" s="738"/>
      <c r="AA118" s="738"/>
      <c r="AB118" s="738"/>
      <c r="AC118" s="738"/>
      <c r="AD118" s="738"/>
      <c r="AE118" s="225"/>
      <c r="AF118" s="225"/>
      <c r="AG118" s="724" t="s">
        <v>3298</v>
      </c>
      <c r="AH118" s="739"/>
      <c r="AI118" s="740" t="s">
        <v>1524</v>
      </c>
      <c r="AJ118" s="739" t="s">
        <v>1471</v>
      </c>
      <c r="AK118" s="739"/>
      <c r="AL118" s="742">
        <f>AL117</f>
        <v>72333.333333333328</v>
      </c>
      <c r="AM118" s="243"/>
      <c r="AN118" s="236" t="s">
        <v>536</v>
      </c>
      <c r="AO118" s="236" t="s">
        <v>536</v>
      </c>
      <c r="AP118" s="236" t="s">
        <v>536</v>
      </c>
      <c r="AQ118" s="236" t="s">
        <v>536</v>
      </c>
      <c r="AR118" s="236" t="s">
        <v>536</v>
      </c>
      <c r="AS118" s="236" t="s">
        <v>536</v>
      </c>
      <c r="AT118" s="236" t="s">
        <v>536</v>
      </c>
      <c r="AU118" s="236" t="s">
        <v>536</v>
      </c>
      <c r="AV118" s="236" t="s">
        <v>536</v>
      </c>
      <c r="AW118" s="236" t="s">
        <v>536</v>
      </c>
      <c r="AX118" s="236" t="s">
        <v>536</v>
      </c>
      <c r="AY118" s="236" t="s">
        <v>536</v>
      </c>
      <c r="AZ118" s="256" t="s">
        <v>3218</v>
      </c>
      <c r="BA118" s="225"/>
    </row>
    <row r="119" spans="1:53" ht="240" x14ac:dyDescent="0.25">
      <c r="A119" s="107"/>
      <c r="B119" s="103"/>
      <c r="C119" s="106"/>
      <c r="D119" s="106"/>
      <c r="E119" s="106"/>
      <c r="F119" s="103" t="s">
        <v>3261</v>
      </c>
      <c r="G119" s="649" t="s">
        <v>3262</v>
      </c>
      <c r="H119" s="651" t="s">
        <v>3295</v>
      </c>
      <c r="I119" s="651" t="s">
        <v>3296</v>
      </c>
      <c r="J119" s="734">
        <v>3</v>
      </c>
      <c r="K119" s="735" t="s">
        <v>526</v>
      </c>
      <c r="L119" s="736">
        <v>20</v>
      </c>
      <c r="M119" s="737">
        <v>18</v>
      </c>
      <c r="N119" s="225"/>
      <c r="O119" s="225"/>
      <c r="P119" s="652"/>
      <c r="Q119" s="225"/>
      <c r="R119" s="225"/>
      <c r="S119" s="225"/>
      <c r="T119" s="225"/>
      <c r="U119" s="738"/>
      <c r="V119" s="738"/>
      <c r="W119" s="738"/>
      <c r="X119" s="738"/>
      <c r="Y119" s="738"/>
      <c r="Z119" s="738"/>
      <c r="AA119" s="738"/>
      <c r="AB119" s="738"/>
      <c r="AC119" s="738"/>
      <c r="AD119" s="738"/>
      <c r="AE119" s="225"/>
      <c r="AF119" s="225"/>
      <c r="AG119" s="724" t="s">
        <v>3299</v>
      </c>
      <c r="AH119" s="739"/>
      <c r="AI119" s="740" t="s">
        <v>1524</v>
      </c>
      <c r="AJ119" s="739" t="s">
        <v>1471</v>
      </c>
      <c r="AK119" s="739"/>
      <c r="AL119" s="742">
        <f>AL118</f>
        <v>72333.333333333328</v>
      </c>
      <c r="AM119" s="243"/>
      <c r="AN119" s="236" t="s">
        <v>536</v>
      </c>
      <c r="AO119" s="236" t="s">
        <v>536</v>
      </c>
      <c r="AP119" s="236" t="s">
        <v>536</v>
      </c>
      <c r="AQ119" s="236" t="s">
        <v>536</v>
      </c>
      <c r="AR119" s="236" t="s">
        <v>536</v>
      </c>
      <c r="AS119" s="236" t="s">
        <v>536</v>
      </c>
      <c r="AT119" s="236" t="s">
        <v>536</v>
      </c>
      <c r="AU119" s="236" t="s">
        <v>536</v>
      </c>
      <c r="AV119" s="236" t="s">
        <v>536</v>
      </c>
      <c r="AW119" s="236" t="s">
        <v>536</v>
      </c>
      <c r="AX119" s="236" t="s">
        <v>536</v>
      </c>
      <c r="AY119" s="236" t="s">
        <v>536</v>
      </c>
      <c r="AZ119" s="256" t="s">
        <v>3218</v>
      </c>
      <c r="BA119" s="225"/>
    </row>
    <row r="120" spans="1:53" ht="240" x14ac:dyDescent="0.25">
      <c r="A120" s="107"/>
      <c r="B120" s="103"/>
      <c r="C120" s="106"/>
      <c r="D120" s="106"/>
      <c r="E120" s="106"/>
      <c r="F120" s="103" t="s">
        <v>3261</v>
      </c>
      <c r="G120" s="649" t="s">
        <v>3262</v>
      </c>
      <c r="H120" s="651" t="s">
        <v>3295</v>
      </c>
      <c r="I120" s="651" t="s">
        <v>3296</v>
      </c>
      <c r="J120" s="734">
        <v>3</v>
      </c>
      <c r="K120" s="735" t="s">
        <v>526</v>
      </c>
      <c r="L120" s="736">
        <v>20</v>
      </c>
      <c r="M120" s="737">
        <v>18</v>
      </c>
      <c r="N120" s="225"/>
      <c r="O120" s="225"/>
      <c r="P120" s="652"/>
      <c r="Q120" s="225"/>
      <c r="R120" s="225"/>
      <c r="S120" s="225"/>
      <c r="T120" s="225"/>
      <c r="U120" s="738"/>
      <c r="V120" s="738"/>
      <c r="W120" s="738"/>
      <c r="X120" s="738"/>
      <c r="Y120" s="738"/>
      <c r="Z120" s="738"/>
      <c r="AA120" s="738"/>
      <c r="AB120" s="738"/>
      <c r="AC120" s="738"/>
      <c r="AD120" s="738"/>
      <c r="AE120" s="225"/>
      <c r="AF120" s="225"/>
      <c r="AG120" s="724" t="s">
        <v>3300</v>
      </c>
      <c r="AH120" s="739"/>
      <c r="AI120" s="740" t="s">
        <v>3121</v>
      </c>
      <c r="AJ120" s="739" t="s">
        <v>1471</v>
      </c>
      <c r="AK120" s="739"/>
      <c r="AL120" s="742">
        <v>70000</v>
      </c>
      <c r="AM120" s="243"/>
      <c r="AN120" s="236" t="s">
        <v>536</v>
      </c>
      <c r="AO120" s="236" t="s">
        <v>536</v>
      </c>
      <c r="AP120" s="236" t="s">
        <v>536</v>
      </c>
      <c r="AQ120" s="236" t="s">
        <v>536</v>
      </c>
      <c r="AR120" s="236" t="s">
        <v>536</v>
      </c>
      <c r="AS120" s="236" t="s">
        <v>536</v>
      </c>
      <c r="AT120" s="236" t="s">
        <v>536</v>
      </c>
      <c r="AU120" s="236" t="s">
        <v>536</v>
      </c>
      <c r="AV120" s="236" t="s">
        <v>536</v>
      </c>
      <c r="AW120" s="236" t="s">
        <v>536</v>
      </c>
      <c r="AX120" s="236" t="s">
        <v>536</v>
      </c>
      <c r="AY120" s="236" t="s">
        <v>536</v>
      </c>
      <c r="AZ120" s="256" t="s">
        <v>3218</v>
      </c>
      <c r="BA120" s="225"/>
    </row>
    <row r="121" spans="1:53" ht="240" x14ac:dyDescent="0.25">
      <c r="A121" s="107"/>
      <c r="B121" s="103"/>
      <c r="C121" s="106"/>
      <c r="D121" s="106"/>
      <c r="E121" s="106"/>
      <c r="F121" s="103" t="s">
        <v>3261</v>
      </c>
      <c r="G121" s="649" t="s">
        <v>3262</v>
      </c>
      <c r="H121" s="651" t="s">
        <v>3295</v>
      </c>
      <c r="I121" s="651" t="s">
        <v>3296</v>
      </c>
      <c r="J121" s="734">
        <v>3</v>
      </c>
      <c r="K121" s="735" t="s">
        <v>526</v>
      </c>
      <c r="L121" s="736">
        <v>20</v>
      </c>
      <c r="M121" s="737">
        <v>18</v>
      </c>
      <c r="N121" s="225"/>
      <c r="O121" s="225"/>
      <c r="P121" s="652"/>
      <c r="Q121" s="225"/>
      <c r="R121" s="225"/>
      <c r="S121" s="225"/>
      <c r="T121" s="225"/>
      <c r="U121" s="738"/>
      <c r="V121" s="738"/>
      <c r="W121" s="738"/>
      <c r="X121" s="738"/>
      <c r="Y121" s="738"/>
      <c r="Z121" s="738"/>
      <c r="AA121" s="738"/>
      <c r="AB121" s="738"/>
      <c r="AC121" s="738"/>
      <c r="AD121" s="738"/>
      <c r="AE121" s="225"/>
      <c r="AF121" s="225"/>
      <c r="AG121" s="724" t="s">
        <v>3301</v>
      </c>
      <c r="AH121" s="739"/>
      <c r="AI121" s="740" t="s">
        <v>3248</v>
      </c>
      <c r="AJ121" s="739" t="s">
        <v>1560</v>
      </c>
      <c r="AK121" s="739"/>
      <c r="AL121" s="742">
        <v>30000</v>
      </c>
      <c r="AM121" s="243"/>
      <c r="AN121" s="236" t="s">
        <v>536</v>
      </c>
      <c r="AO121" s="236" t="s">
        <v>536</v>
      </c>
      <c r="AP121" s="236" t="s">
        <v>536</v>
      </c>
      <c r="AQ121" s="236" t="s">
        <v>536</v>
      </c>
      <c r="AR121" s="236" t="s">
        <v>536</v>
      </c>
      <c r="AS121" s="236" t="s">
        <v>536</v>
      </c>
      <c r="AT121" s="236" t="s">
        <v>536</v>
      </c>
      <c r="AU121" s="236" t="s">
        <v>536</v>
      </c>
      <c r="AV121" s="236" t="s">
        <v>536</v>
      </c>
      <c r="AW121" s="236" t="s">
        <v>536</v>
      </c>
      <c r="AX121" s="236" t="s">
        <v>536</v>
      </c>
      <c r="AY121" s="236" t="s">
        <v>536</v>
      </c>
      <c r="AZ121" s="256" t="s">
        <v>3218</v>
      </c>
      <c r="BA121" s="225"/>
    </row>
    <row r="122" spans="1:53" ht="240" x14ac:dyDescent="0.25">
      <c r="A122" s="107"/>
      <c r="B122" s="103"/>
      <c r="C122" s="106"/>
      <c r="D122" s="106"/>
      <c r="E122" s="106"/>
      <c r="F122" s="103" t="s">
        <v>3261</v>
      </c>
      <c r="G122" s="649" t="s">
        <v>3262</v>
      </c>
      <c r="H122" s="651" t="s">
        <v>3295</v>
      </c>
      <c r="I122" s="651" t="s">
        <v>3296</v>
      </c>
      <c r="J122" s="734">
        <v>3</v>
      </c>
      <c r="K122" s="735" t="s">
        <v>526</v>
      </c>
      <c r="L122" s="736">
        <v>20</v>
      </c>
      <c r="M122" s="737">
        <v>18</v>
      </c>
      <c r="N122" s="225"/>
      <c r="O122" s="225"/>
      <c r="P122" s="652"/>
      <c r="Q122" s="225"/>
      <c r="R122" s="225"/>
      <c r="S122" s="225"/>
      <c r="T122" s="225"/>
      <c r="U122" s="738"/>
      <c r="V122" s="738"/>
      <c r="W122" s="738"/>
      <c r="X122" s="738"/>
      <c r="Y122" s="738"/>
      <c r="Z122" s="738"/>
      <c r="AA122" s="738"/>
      <c r="AB122" s="738"/>
      <c r="AC122" s="738"/>
      <c r="AD122" s="738"/>
      <c r="AE122" s="225"/>
      <c r="AF122" s="225"/>
      <c r="AG122" s="728" t="s">
        <v>3302</v>
      </c>
      <c r="AH122" s="739"/>
      <c r="AI122" s="740" t="s">
        <v>1559</v>
      </c>
      <c r="AJ122" s="739" t="s">
        <v>1560</v>
      </c>
      <c r="AK122" s="739"/>
      <c r="AL122" s="742">
        <v>400000</v>
      </c>
      <c r="AM122" s="243"/>
      <c r="AN122" s="236" t="s">
        <v>536</v>
      </c>
      <c r="AO122" s="236" t="s">
        <v>536</v>
      </c>
      <c r="AP122" s="236" t="s">
        <v>536</v>
      </c>
      <c r="AQ122" s="236" t="s">
        <v>536</v>
      </c>
      <c r="AR122" s="236" t="s">
        <v>536</v>
      </c>
      <c r="AS122" s="236" t="s">
        <v>536</v>
      </c>
      <c r="AT122" s="236" t="s">
        <v>536</v>
      </c>
      <c r="AU122" s="236" t="s">
        <v>536</v>
      </c>
      <c r="AV122" s="236" t="s">
        <v>536</v>
      </c>
      <c r="AW122" s="236" t="s">
        <v>536</v>
      </c>
      <c r="AX122" s="236" t="s">
        <v>536</v>
      </c>
      <c r="AY122" s="236" t="s">
        <v>536</v>
      </c>
      <c r="AZ122" s="256" t="s">
        <v>3218</v>
      </c>
      <c r="BA122" s="225"/>
    </row>
    <row r="123" spans="1:53" ht="240" x14ac:dyDescent="0.25">
      <c r="A123" s="107"/>
      <c r="B123" s="103"/>
      <c r="C123" s="106"/>
      <c r="D123" s="106"/>
      <c r="E123" s="106"/>
      <c r="F123" s="103" t="s">
        <v>3261</v>
      </c>
      <c r="G123" s="649" t="s">
        <v>3262</v>
      </c>
      <c r="H123" s="651" t="s">
        <v>3295</v>
      </c>
      <c r="I123" s="651" t="s">
        <v>3296</v>
      </c>
      <c r="J123" s="734">
        <v>3</v>
      </c>
      <c r="K123" s="735" t="s">
        <v>526</v>
      </c>
      <c r="L123" s="736">
        <v>20</v>
      </c>
      <c r="M123" s="737">
        <v>18</v>
      </c>
      <c r="N123" s="225"/>
      <c r="O123" s="225"/>
      <c r="P123" s="652"/>
      <c r="Q123" s="225"/>
      <c r="R123" s="225"/>
      <c r="S123" s="225"/>
      <c r="T123" s="225"/>
      <c r="U123" s="738"/>
      <c r="V123" s="738"/>
      <c r="W123" s="738"/>
      <c r="X123" s="738"/>
      <c r="Y123" s="738"/>
      <c r="Z123" s="738"/>
      <c r="AA123" s="738"/>
      <c r="AB123" s="738"/>
      <c r="AC123" s="738"/>
      <c r="AD123" s="738"/>
      <c r="AE123" s="225"/>
      <c r="AF123" s="225"/>
      <c r="AG123" s="724" t="s">
        <v>3303</v>
      </c>
      <c r="AH123" s="739"/>
      <c r="AI123" s="740" t="s">
        <v>3195</v>
      </c>
      <c r="AJ123" s="739" t="s">
        <v>1471</v>
      </c>
      <c r="AK123" s="739">
        <v>475</v>
      </c>
      <c r="AL123" s="742">
        <v>1300000</v>
      </c>
      <c r="AM123" s="243"/>
      <c r="AN123" s="236" t="s">
        <v>536</v>
      </c>
      <c r="AO123" s="236" t="s">
        <v>536</v>
      </c>
      <c r="AP123" s="236" t="s">
        <v>536</v>
      </c>
      <c r="AQ123" s="236" t="s">
        <v>536</v>
      </c>
      <c r="AR123" s="236" t="s">
        <v>536</v>
      </c>
      <c r="AS123" s="236" t="s">
        <v>536</v>
      </c>
      <c r="AT123" s="236" t="s">
        <v>536</v>
      </c>
      <c r="AU123" s="236" t="s">
        <v>536</v>
      </c>
      <c r="AV123" s="236" t="s">
        <v>536</v>
      </c>
      <c r="AW123" s="236" t="s">
        <v>536</v>
      </c>
      <c r="AX123" s="236" t="s">
        <v>536</v>
      </c>
      <c r="AY123" s="236" t="s">
        <v>536</v>
      </c>
      <c r="AZ123" s="256" t="s">
        <v>3218</v>
      </c>
      <c r="BA123" s="225"/>
    </row>
    <row r="124" spans="1:53" ht="240" x14ac:dyDescent="0.25">
      <c r="A124" s="107"/>
      <c r="B124" s="103"/>
      <c r="C124" s="106"/>
      <c r="D124" s="106"/>
      <c r="E124" s="106"/>
      <c r="F124" s="103" t="s">
        <v>3261</v>
      </c>
      <c r="G124" s="649" t="s">
        <v>3262</v>
      </c>
      <c r="H124" s="651" t="s">
        <v>3295</v>
      </c>
      <c r="I124" s="651" t="s">
        <v>3296</v>
      </c>
      <c r="J124" s="734">
        <v>3</v>
      </c>
      <c r="K124" s="735" t="s">
        <v>526</v>
      </c>
      <c r="L124" s="736">
        <v>20</v>
      </c>
      <c r="M124" s="737">
        <v>18</v>
      </c>
      <c r="N124" s="225"/>
      <c r="O124" s="225"/>
      <c r="P124" s="652"/>
      <c r="Q124" s="225"/>
      <c r="R124" s="225"/>
      <c r="S124" s="225"/>
      <c r="T124" s="225"/>
      <c r="U124" s="738"/>
      <c r="V124" s="738"/>
      <c r="W124" s="738"/>
      <c r="X124" s="738"/>
      <c r="Y124" s="738"/>
      <c r="Z124" s="738"/>
      <c r="AA124" s="738"/>
      <c r="AB124" s="738"/>
      <c r="AC124" s="738"/>
      <c r="AD124" s="738"/>
      <c r="AE124" s="225"/>
      <c r="AF124" s="225"/>
      <c r="AG124" s="724" t="s">
        <v>3304</v>
      </c>
      <c r="AH124" s="739"/>
      <c r="AI124" s="740" t="s">
        <v>1524</v>
      </c>
      <c r="AJ124" s="739" t="s">
        <v>1471</v>
      </c>
      <c r="AK124" s="739"/>
      <c r="AL124" s="742">
        <v>100000</v>
      </c>
      <c r="AM124" s="243"/>
      <c r="AN124" s="236" t="s">
        <v>536</v>
      </c>
      <c r="AO124" s="236" t="s">
        <v>536</v>
      </c>
      <c r="AP124" s="236" t="s">
        <v>536</v>
      </c>
      <c r="AQ124" s="236" t="s">
        <v>536</v>
      </c>
      <c r="AR124" s="236" t="s">
        <v>536</v>
      </c>
      <c r="AS124" s="236" t="s">
        <v>536</v>
      </c>
      <c r="AT124" s="236" t="s">
        <v>536</v>
      </c>
      <c r="AU124" s="236" t="s">
        <v>536</v>
      </c>
      <c r="AV124" s="236" t="s">
        <v>536</v>
      </c>
      <c r="AW124" s="236" t="s">
        <v>536</v>
      </c>
      <c r="AX124" s="236" t="s">
        <v>536</v>
      </c>
      <c r="AY124" s="236" t="s">
        <v>536</v>
      </c>
      <c r="AZ124" s="256" t="s">
        <v>3218</v>
      </c>
      <c r="BA124" s="225"/>
    </row>
    <row r="125" spans="1:53" ht="240" x14ac:dyDescent="0.25">
      <c r="A125" s="107"/>
      <c r="B125" s="103"/>
      <c r="C125" s="106"/>
      <c r="D125" s="106"/>
      <c r="E125" s="106"/>
      <c r="F125" s="103" t="s">
        <v>3261</v>
      </c>
      <c r="G125" s="649" t="s">
        <v>3262</v>
      </c>
      <c r="H125" s="651" t="s">
        <v>3295</v>
      </c>
      <c r="I125" s="651" t="s">
        <v>3296</v>
      </c>
      <c r="J125" s="734">
        <v>3</v>
      </c>
      <c r="K125" s="735" t="s">
        <v>526</v>
      </c>
      <c r="L125" s="736">
        <v>20</v>
      </c>
      <c r="M125" s="737">
        <v>18</v>
      </c>
      <c r="N125" s="225"/>
      <c r="O125" s="225"/>
      <c r="P125" s="652"/>
      <c r="Q125" s="225"/>
      <c r="R125" s="225"/>
      <c r="S125" s="225"/>
      <c r="T125" s="225"/>
      <c r="U125" s="738"/>
      <c r="V125" s="738"/>
      <c r="W125" s="738"/>
      <c r="X125" s="738"/>
      <c r="Y125" s="738"/>
      <c r="Z125" s="738"/>
      <c r="AA125" s="738"/>
      <c r="AB125" s="738"/>
      <c r="AC125" s="738"/>
      <c r="AD125" s="738"/>
      <c r="AE125" s="225"/>
      <c r="AF125" s="225"/>
      <c r="AG125" s="724" t="s">
        <v>3305</v>
      </c>
      <c r="AH125" s="739"/>
      <c r="AI125" s="740" t="s">
        <v>3245</v>
      </c>
      <c r="AJ125" s="739" t="s">
        <v>3246</v>
      </c>
      <c r="AK125" s="739">
        <v>75</v>
      </c>
      <c r="AL125" s="742">
        <v>725820</v>
      </c>
      <c r="AM125" s="243"/>
      <c r="AN125" s="236" t="s">
        <v>536</v>
      </c>
      <c r="AO125" s="236" t="s">
        <v>536</v>
      </c>
      <c r="AP125" s="236" t="s">
        <v>536</v>
      </c>
      <c r="AQ125" s="236" t="s">
        <v>536</v>
      </c>
      <c r="AR125" s="236" t="s">
        <v>536</v>
      </c>
      <c r="AS125" s="236" t="s">
        <v>536</v>
      </c>
      <c r="AT125" s="236" t="s">
        <v>536</v>
      </c>
      <c r="AU125" s="236" t="s">
        <v>536</v>
      </c>
      <c r="AV125" s="236" t="s">
        <v>536</v>
      </c>
      <c r="AW125" s="236" t="s">
        <v>536</v>
      </c>
      <c r="AX125" s="236" t="s">
        <v>536</v>
      </c>
      <c r="AY125" s="236" t="s">
        <v>536</v>
      </c>
      <c r="AZ125" s="256" t="s">
        <v>3218</v>
      </c>
      <c r="BA125" s="225"/>
    </row>
    <row r="126" spans="1:53" ht="240" x14ac:dyDescent="0.25">
      <c r="A126" s="107"/>
      <c r="B126" s="103"/>
      <c r="C126" s="106"/>
      <c r="D126" s="106"/>
      <c r="E126" s="106"/>
      <c r="F126" s="103" t="s">
        <v>3261</v>
      </c>
      <c r="G126" s="649" t="s">
        <v>3262</v>
      </c>
      <c r="H126" s="651" t="s">
        <v>3295</v>
      </c>
      <c r="I126" s="651" t="s">
        <v>3296</v>
      </c>
      <c r="J126" s="734">
        <v>3</v>
      </c>
      <c r="K126" s="735" t="s">
        <v>526</v>
      </c>
      <c r="L126" s="736">
        <v>20</v>
      </c>
      <c r="M126" s="737">
        <v>18</v>
      </c>
      <c r="N126" s="225"/>
      <c r="O126" s="225"/>
      <c r="P126" s="652"/>
      <c r="Q126" s="225"/>
      <c r="R126" s="225"/>
      <c r="S126" s="225"/>
      <c r="T126" s="225"/>
      <c r="U126" s="738"/>
      <c r="V126" s="738"/>
      <c r="W126" s="738"/>
      <c r="X126" s="738"/>
      <c r="Y126" s="738"/>
      <c r="Z126" s="738"/>
      <c r="AA126" s="738"/>
      <c r="AB126" s="738"/>
      <c r="AC126" s="738"/>
      <c r="AD126" s="738"/>
      <c r="AE126" s="225"/>
      <c r="AF126" s="225"/>
      <c r="AG126" s="724" t="s">
        <v>3306</v>
      </c>
      <c r="AH126" s="739"/>
      <c r="AI126" s="740" t="s">
        <v>3123</v>
      </c>
      <c r="AJ126" s="739" t="s">
        <v>1539</v>
      </c>
      <c r="AK126" s="739">
        <v>100</v>
      </c>
      <c r="AL126" s="742">
        <v>300000</v>
      </c>
      <c r="AM126" s="243"/>
      <c r="AN126" s="236" t="s">
        <v>536</v>
      </c>
      <c r="AO126" s="236" t="s">
        <v>536</v>
      </c>
      <c r="AP126" s="236" t="s">
        <v>536</v>
      </c>
      <c r="AQ126" s="236" t="s">
        <v>536</v>
      </c>
      <c r="AR126" s="236" t="s">
        <v>536</v>
      </c>
      <c r="AS126" s="236" t="s">
        <v>536</v>
      </c>
      <c r="AT126" s="236" t="s">
        <v>536</v>
      </c>
      <c r="AU126" s="236" t="s">
        <v>536</v>
      </c>
      <c r="AV126" s="236" t="s">
        <v>536</v>
      </c>
      <c r="AW126" s="236" t="s">
        <v>536</v>
      </c>
      <c r="AX126" s="236" t="s">
        <v>536</v>
      </c>
      <c r="AY126" s="236" t="s">
        <v>536</v>
      </c>
      <c r="AZ126" s="256" t="s">
        <v>3218</v>
      </c>
      <c r="BA126" s="225"/>
    </row>
    <row r="127" spans="1:53" ht="240" x14ac:dyDescent="0.25">
      <c r="A127" s="107"/>
      <c r="B127" s="103"/>
      <c r="C127" s="106"/>
      <c r="D127" s="106"/>
      <c r="E127" s="106"/>
      <c r="F127" s="103" t="s">
        <v>3261</v>
      </c>
      <c r="G127" s="649" t="s">
        <v>3262</v>
      </c>
      <c r="H127" s="651" t="s">
        <v>3295</v>
      </c>
      <c r="I127" s="651" t="s">
        <v>3296</v>
      </c>
      <c r="J127" s="734">
        <v>3</v>
      </c>
      <c r="K127" s="735" t="s">
        <v>526</v>
      </c>
      <c r="L127" s="736">
        <v>20</v>
      </c>
      <c r="M127" s="737">
        <v>18</v>
      </c>
      <c r="N127" s="225"/>
      <c r="O127" s="225"/>
      <c r="P127" s="652"/>
      <c r="Q127" s="225"/>
      <c r="R127" s="225"/>
      <c r="S127" s="225"/>
      <c r="T127" s="225"/>
      <c r="U127" s="738"/>
      <c r="V127" s="738"/>
      <c r="W127" s="738"/>
      <c r="X127" s="738"/>
      <c r="Y127" s="738"/>
      <c r="Z127" s="738"/>
      <c r="AA127" s="738"/>
      <c r="AB127" s="738"/>
      <c r="AC127" s="738"/>
      <c r="AD127" s="738"/>
      <c r="AE127" s="225"/>
      <c r="AF127" s="225"/>
      <c r="AG127" s="724" t="s">
        <v>3307</v>
      </c>
      <c r="AH127" s="739"/>
      <c r="AI127" s="740" t="s">
        <v>1799</v>
      </c>
      <c r="AJ127" s="739" t="s">
        <v>1539</v>
      </c>
      <c r="AK127" s="739">
        <v>70</v>
      </c>
      <c r="AL127" s="742">
        <v>350000</v>
      </c>
      <c r="AM127" s="243"/>
      <c r="AN127" s="236" t="s">
        <v>536</v>
      </c>
      <c r="AO127" s="236" t="s">
        <v>536</v>
      </c>
      <c r="AP127" s="236" t="s">
        <v>536</v>
      </c>
      <c r="AQ127" s="236" t="s">
        <v>536</v>
      </c>
      <c r="AR127" s="236" t="s">
        <v>536</v>
      </c>
      <c r="AS127" s="236" t="s">
        <v>536</v>
      </c>
      <c r="AT127" s="236" t="s">
        <v>536</v>
      </c>
      <c r="AU127" s="236" t="s">
        <v>536</v>
      </c>
      <c r="AV127" s="236" t="s">
        <v>536</v>
      </c>
      <c r="AW127" s="236" t="s">
        <v>536</v>
      </c>
      <c r="AX127" s="236" t="s">
        <v>536</v>
      </c>
      <c r="AY127" s="236" t="s">
        <v>536</v>
      </c>
      <c r="AZ127" s="256" t="s">
        <v>3218</v>
      </c>
      <c r="BA127" s="225"/>
    </row>
    <row r="128" spans="1:53" ht="240" x14ac:dyDescent="0.25">
      <c r="A128" s="107"/>
      <c r="B128" s="103"/>
      <c r="C128" s="106"/>
      <c r="D128" s="106"/>
      <c r="E128" s="106"/>
      <c r="F128" s="103" t="s">
        <v>3261</v>
      </c>
      <c r="G128" s="649" t="s">
        <v>3262</v>
      </c>
      <c r="H128" s="651" t="s">
        <v>3295</v>
      </c>
      <c r="I128" s="651" t="s">
        <v>3296</v>
      </c>
      <c r="J128" s="734">
        <v>3</v>
      </c>
      <c r="K128" s="735" t="s">
        <v>526</v>
      </c>
      <c r="L128" s="736">
        <v>20</v>
      </c>
      <c r="M128" s="737">
        <v>18</v>
      </c>
      <c r="N128" s="225"/>
      <c r="O128" s="225"/>
      <c r="P128" s="652"/>
      <c r="Q128" s="225"/>
      <c r="R128" s="225"/>
      <c r="S128" s="225"/>
      <c r="T128" s="225"/>
      <c r="U128" s="738"/>
      <c r="V128" s="738"/>
      <c r="W128" s="738"/>
      <c r="X128" s="738"/>
      <c r="Y128" s="738"/>
      <c r="Z128" s="738"/>
      <c r="AA128" s="738"/>
      <c r="AB128" s="738"/>
      <c r="AC128" s="738"/>
      <c r="AD128" s="738"/>
      <c r="AE128" s="225"/>
      <c r="AF128" s="225"/>
      <c r="AG128" s="724" t="s">
        <v>3308</v>
      </c>
      <c r="AH128" s="739"/>
      <c r="AI128" s="740" t="s">
        <v>1459</v>
      </c>
      <c r="AJ128" s="739" t="s">
        <v>1539</v>
      </c>
      <c r="AK128" s="739">
        <v>500</v>
      </c>
      <c r="AL128" s="742">
        <v>1300000</v>
      </c>
      <c r="AM128" s="243"/>
      <c r="AN128" s="236" t="s">
        <v>536</v>
      </c>
      <c r="AO128" s="236" t="s">
        <v>536</v>
      </c>
      <c r="AP128" s="236" t="s">
        <v>536</v>
      </c>
      <c r="AQ128" s="236" t="s">
        <v>536</v>
      </c>
      <c r="AR128" s="236" t="s">
        <v>536</v>
      </c>
      <c r="AS128" s="236" t="s">
        <v>536</v>
      </c>
      <c r="AT128" s="236" t="s">
        <v>536</v>
      </c>
      <c r="AU128" s="236" t="s">
        <v>536</v>
      </c>
      <c r="AV128" s="236" t="s">
        <v>536</v>
      </c>
      <c r="AW128" s="236" t="s">
        <v>536</v>
      </c>
      <c r="AX128" s="236" t="s">
        <v>536</v>
      </c>
      <c r="AY128" s="236" t="s">
        <v>536</v>
      </c>
      <c r="AZ128" s="256" t="s">
        <v>3218</v>
      </c>
      <c r="BA128" s="225"/>
    </row>
    <row r="129" spans="1:53" ht="240" x14ac:dyDescent="0.25">
      <c r="A129" s="107"/>
      <c r="B129" s="103"/>
      <c r="C129" s="106"/>
      <c r="D129" s="106"/>
      <c r="E129" s="106"/>
      <c r="F129" s="103" t="s">
        <v>3261</v>
      </c>
      <c r="G129" s="649" t="s">
        <v>3262</v>
      </c>
      <c r="H129" s="651" t="s">
        <v>3295</v>
      </c>
      <c r="I129" s="651" t="s">
        <v>3296</v>
      </c>
      <c r="J129" s="734">
        <v>3</v>
      </c>
      <c r="K129" s="735" t="s">
        <v>526</v>
      </c>
      <c r="L129" s="736">
        <v>20</v>
      </c>
      <c r="M129" s="737">
        <v>18</v>
      </c>
      <c r="N129" s="225"/>
      <c r="O129" s="225"/>
      <c r="P129" s="652"/>
      <c r="Q129" s="225"/>
      <c r="R129" s="225"/>
      <c r="S129" s="225"/>
      <c r="T129" s="225"/>
      <c r="U129" s="738"/>
      <c r="V129" s="738"/>
      <c r="W129" s="738"/>
      <c r="X129" s="738"/>
      <c r="Y129" s="738"/>
      <c r="Z129" s="738"/>
      <c r="AA129" s="738"/>
      <c r="AB129" s="738"/>
      <c r="AC129" s="738"/>
      <c r="AD129" s="738"/>
      <c r="AE129" s="225"/>
      <c r="AF129" s="225"/>
      <c r="AG129" s="724" t="s">
        <v>3309</v>
      </c>
      <c r="AH129" s="739"/>
      <c r="AI129" s="740" t="s">
        <v>3237</v>
      </c>
      <c r="AJ129" s="739" t="s">
        <v>1471</v>
      </c>
      <c r="AK129" s="739">
        <v>700</v>
      </c>
      <c r="AL129" s="742">
        <v>50000</v>
      </c>
      <c r="AM129" s="243"/>
      <c r="AN129" s="236" t="s">
        <v>536</v>
      </c>
      <c r="AO129" s="236" t="s">
        <v>536</v>
      </c>
      <c r="AP129" s="236" t="s">
        <v>536</v>
      </c>
      <c r="AQ129" s="236" t="s">
        <v>536</v>
      </c>
      <c r="AR129" s="236" t="s">
        <v>536</v>
      </c>
      <c r="AS129" s="236" t="s">
        <v>536</v>
      </c>
      <c r="AT129" s="236" t="s">
        <v>536</v>
      </c>
      <c r="AU129" s="236" t="s">
        <v>536</v>
      </c>
      <c r="AV129" s="236" t="s">
        <v>536</v>
      </c>
      <c r="AW129" s="236" t="s">
        <v>536</v>
      </c>
      <c r="AX129" s="236" t="s">
        <v>536</v>
      </c>
      <c r="AY129" s="236" t="s">
        <v>536</v>
      </c>
      <c r="AZ129" s="256" t="s">
        <v>3218</v>
      </c>
      <c r="BA129" s="225"/>
    </row>
    <row r="130" spans="1:53" ht="240" x14ac:dyDescent="0.25">
      <c r="A130" s="107"/>
      <c r="B130" s="103"/>
      <c r="C130" s="106"/>
      <c r="D130" s="106"/>
      <c r="E130" s="106"/>
      <c r="F130" s="103" t="s">
        <v>3261</v>
      </c>
      <c r="G130" s="649" t="s">
        <v>3262</v>
      </c>
      <c r="H130" s="651" t="s">
        <v>3295</v>
      </c>
      <c r="I130" s="651" t="s">
        <v>3296</v>
      </c>
      <c r="J130" s="734">
        <v>3</v>
      </c>
      <c r="K130" s="735" t="s">
        <v>526</v>
      </c>
      <c r="L130" s="736">
        <v>20</v>
      </c>
      <c r="M130" s="737">
        <v>18</v>
      </c>
      <c r="N130" s="225"/>
      <c r="O130" s="225"/>
      <c r="P130" s="652"/>
      <c r="Q130" s="225"/>
      <c r="R130" s="225"/>
      <c r="S130" s="225"/>
      <c r="T130" s="225"/>
      <c r="U130" s="738"/>
      <c r="V130" s="738"/>
      <c r="W130" s="738"/>
      <c r="X130" s="738"/>
      <c r="Y130" s="738"/>
      <c r="Z130" s="738"/>
      <c r="AA130" s="738"/>
      <c r="AB130" s="738"/>
      <c r="AC130" s="738"/>
      <c r="AD130" s="738"/>
      <c r="AE130" s="225"/>
      <c r="AF130" s="225"/>
      <c r="AG130" s="724" t="s">
        <v>3310</v>
      </c>
      <c r="AH130" s="739"/>
      <c r="AI130" s="740" t="s">
        <v>1538</v>
      </c>
      <c r="AJ130" s="739" t="s">
        <v>1539</v>
      </c>
      <c r="AK130" s="739"/>
      <c r="AL130" s="742">
        <v>150000</v>
      </c>
      <c r="AM130" s="243"/>
      <c r="AN130" s="236" t="s">
        <v>536</v>
      </c>
      <c r="AO130" s="236" t="s">
        <v>536</v>
      </c>
      <c r="AP130" s="236" t="s">
        <v>536</v>
      </c>
      <c r="AQ130" s="236" t="s">
        <v>536</v>
      </c>
      <c r="AR130" s="236" t="s">
        <v>536</v>
      </c>
      <c r="AS130" s="236" t="s">
        <v>536</v>
      </c>
      <c r="AT130" s="236" t="s">
        <v>536</v>
      </c>
      <c r="AU130" s="236" t="s">
        <v>536</v>
      </c>
      <c r="AV130" s="236" t="s">
        <v>536</v>
      </c>
      <c r="AW130" s="236" t="s">
        <v>536</v>
      </c>
      <c r="AX130" s="236" t="s">
        <v>536</v>
      </c>
      <c r="AY130" s="236" t="s">
        <v>536</v>
      </c>
      <c r="AZ130" s="256" t="s">
        <v>3218</v>
      </c>
      <c r="BA130" s="225"/>
    </row>
    <row r="131" spans="1:53" ht="240" x14ac:dyDescent="0.25">
      <c r="A131" s="107"/>
      <c r="B131" s="103"/>
      <c r="C131" s="106"/>
      <c r="D131" s="106"/>
      <c r="E131" s="106"/>
      <c r="F131" s="103" t="s">
        <v>3261</v>
      </c>
      <c r="G131" s="649" t="s">
        <v>3262</v>
      </c>
      <c r="H131" s="651" t="s">
        <v>3295</v>
      </c>
      <c r="I131" s="651" t="s">
        <v>3296</v>
      </c>
      <c r="J131" s="734">
        <v>3</v>
      </c>
      <c r="K131" s="735" t="s">
        <v>526</v>
      </c>
      <c r="L131" s="736">
        <v>20</v>
      </c>
      <c r="M131" s="737">
        <v>18</v>
      </c>
      <c r="N131" s="225"/>
      <c r="O131" s="225"/>
      <c r="P131" s="652"/>
      <c r="Q131" s="225"/>
      <c r="R131" s="225"/>
      <c r="S131" s="225"/>
      <c r="T131" s="225"/>
      <c r="U131" s="738"/>
      <c r="V131" s="738"/>
      <c r="W131" s="738"/>
      <c r="X131" s="738"/>
      <c r="Y131" s="738"/>
      <c r="Z131" s="738"/>
      <c r="AA131" s="738"/>
      <c r="AB131" s="738"/>
      <c r="AC131" s="738"/>
      <c r="AD131" s="738"/>
      <c r="AE131" s="225"/>
      <c r="AF131" s="225"/>
      <c r="AG131" s="724" t="s">
        <v>3311</v>
      </c>
      <c r="AH131" s="739"/>
      <c r="AI131" s="740" t="s">
        <v>1799</v>
      </c>
      <c r="AJ131" s="739" t="s">
        <v>1539</v>
      </c>
      <c r="AK131" s="739"/>
      <c r="AL131" s="742">
        <v>60283</v>
      </c>
      <c r="AM131" s="243"/>
      <c r="AN131" s="236" t="s">
        <v>536</v>
      </c>
      <c r="AO131" s="236" t="s">
        <v>536</v>
      </c>
      <c r="AP131" s="236" t="s">
        <v>536</v>
      </c>
      <c r="AQ131" s="236" t="s">
        <v>536</v>
      </c>
      <c r="AR131" s="236" t="s">
        <v>536</v>
      </c>
      <c r="AS131" s="236" t="s">
        <v>536</v>
      </c>
      <c r="AT131" s="236" t="s">
        <v>536</v>
      </c>
      <c r="AU131" s="236" t="s">
        <v>536</v>
      </c>
      <c r="AV131" s="236" t="s">
        <v>536</v>
      </c>
      <c r="AW131" s="236" t="s">
        <v>536</v>
      </c>
      <c r="AX131" s="236" t="s">
        <v>536</v>
      </c>
      <c r="AY131" s="236" t="s">
        <v>536</v>
      </c>
      <c r="AZ131" s="256" t="s">
        <v>3218</v>
      </c>
      <c r="BA131" s="225"/>
    </row>
    <row r="132" spans="1:53" ht="240" x14ac:dyDescent="0.25">
      <c r="A132" s="107"/>
      <c r="B132" s="103"/>
      <c r="C132" s="106"/>
      <c r="D132" s="106"/>
      <c r="E132" s="106"/>
      <c r="F132" s="103" t="s">
        <v>3261</v>
      </c>
      <c r="G132" s="649" t="s">
        <v>3262</v>
      </c>
      <c r="H132" s="651" t="s">
        <v>3295</v>
      </c>
      <c r="I132" s="651" t="s">
        <v>3296</v>
      </c>
      <c r="J132" s="734">
        <v>3</v>
      </c>
      <c r="K132" s="735" t="s">
        <v>526</v>
      </c>
      <c r="L132" s="736">
        <v>20</v>
      </c>
      <c r="M132" s="737">
        <v>18</v>
      </c>
      <c r="N132" s="225"/>
      <c r="O132" s="225"/>
      <c r="P132" s="652"/>
      <c r="Q132" s="225"/>
      <c r="R132" s="225"/>
      <c r="S132" s="225"/>
      <c r="T132" s="225"/>
      <c r="U132" s="738"/>
      <c r="V132" s="738"/>
      <c r="W132" s="738"/>
      <c r="X132" s="738"/>
      <c r="Y132" s="738"/>
      <c r="Z132" s="738"/>
      <c r="AA132" s="738"/>
      <c r="AB132" s="738"/>
      <c r="AC132" s="738"/>
      <c r="AD132" s="738"/>
      <c r="AE132" s="225"/>
      <c r="AF132" s="225"/>
      <c r="AG132" s="724" t="s">
        <v>3312</v>
      </c>
      <c r="AH132" s="739"/>
      <c r="AI132" s="740" t="s">
        <v>1548</v>
      </c>
      <c r="AJ132" s="739" t="s">
        <v>1471</v>
      </c>
      <c r="AK132" s="739">
        <v>150</v>
      </c>
      <c r="AL132" s="742">
        <v>200000</v>
      </c>
      <c r="AM132" s="243"/>
      <c r="AN132" s="236" t="s">
        <v>536</v>
      </c>
      <c r="AO132" s="236" t="s">
        <v>536</v>
      </c>
      <c r="AP132" s="236" t="s">
        <v>536</v>
      </c>
      <c r="AQ132" s="236" t="s">
        <v>536</v>
      </c>
      <c r="AR132" s="236" t="s">
        <v>536</v>
      </c>
      <c r="AS132" s="236" t="s">
        <v>536</v>
      </c>
      <c r="AT132" s="236" t="s">
        <v>536</v>
      </c>
      <c r="AU132" s="236" t="s">
        <v>536</v>
      </c>
      <c r="AV132" s="236" t="s">
        <v>536</v>
      </c>
      <c r="AW132" s="236" t="s">
        <v>536</v>
      </c>
      <c r="AX132" s="236" t="s">
        <v>536</v>
      </c>
      <c r="AY132" s="236" t="s">
        <v>536</v>
      </c>
      <c r="AZ132" s="256" t="s">
        <v>3218</v>
      </c>
      <c r="BA132" s="225"/>
    </row>
    <row r="133" spans="1:53" ht="240" x14ac:dyDescent="0.25">
      <c r="A133" s="107"/>
      <c r="B133" s="103"/>
      <c r="C133" s="106"/>
      <c r="D133" s="106"/>
      <c r="E133" s="106"/>
      <c r="F133" s="103" t="s">
        <v>3261</v>
      </c>
      <c r="G133" s="649" t="s">
        <v>3262</v>
      </c>
      <c r="H133" s="651" t="s">
        <v>3295</v>
      </c>
      <c r="I133" s="651" t="s">
        <v>3296</v>
      </c>
      <c r="J133" s="734">
        <v>3</v>
      </c>
      <c r="K133" s="735" t="s">
        <v>526</v>
      </c>
      <c r="L133" s="736">
        <v>20</v>
      </c>
      <c r="M133" s="737">
        <v>18</v>
      </c>
      <c r="N133" s="225"/>
      <c r="O133" s="225"/>
      <c r="P133" s="652"/>
      <c r="Q133" s="225"/>
      <c r="R133" s="225"/>
      <c r="S133" s="225"/>
      <c r="T133" s="225"/>
      <c r="U133" s="738"/>
      <c r="V133" s="738"/>
      <c r="W133" s="738"/>
      <c r="X133" s="738"/>
      <c r="Y133" s="738"/>
      <c r="Z133" s="738"/>
      <c r="AA133" s="738"/>
      <c r="AB133" s="738"/>
      <c r="AC133" s="738"/>
      <c r="AD133" s="738"/>
      <c r="AE133" s="225"/>
      <c r="AF133" s="225"/>
      <c r="AG133" s="724" t="s">
        <v>3313</v>
      </c>
      <c r="AH133" s="739"/>
      <c r="AI133" s="740" t="s">
        <v>1548</v>
      </c>
      <c r="AJ133" s="739" t="s">
        <v>1471</v>
      </c>
      <c r="AK133" s="739"/>
      <c r="AL133" s="742">
        <v>90000</v>
      </c>
      <c r="AM133" s="243"/>
      <c r="AN133" s="236" t="s">
        <v>536</v>
      </c>
      <c r="AO133" s="236" t="s">
        <v>536</v>
      </c>
      <c r="AP133" s="236" t="s">
        <v>536</v>
      </c>
      <c r="AQ133" s="236" t="s">
        <v>536</v>
      </c>
      <c r="AR133" s="236" t="s">
        <v>536</v>
      </c>
      <c r="AS133" s="236" t="s">
        <v>536</v>
      </c>
      <c r="AT133" s="236" t="s">
        <v>536</v>
      </c>
      <c r="AU133" s="236" t="s">
        <v>536</v>
      </c>
      <c r="AV133" s="236" t="s">
        <v>536</v>
      </c>
      <c r="AW133" s="236" t="s">
        <v>536</v>
      </c>
      <c r="AX133" s="236" t="s">
        <v>536</v>
      </c>
      <c r="AY133" s="236" t="s">
        <v>536</v>
      </c>
      <c r="AZ133" s="256" t="s">
        <v>3218</v>
      </c>
      <c r="BA133" s="225"/>
    </row>
    <row r="134" spans="1:53" ht="240" x14ac:dyDescent="0.25">
      <c r="A134" s="107"/>
      <c r="B134" s="103"/>
      <c r="C134" s="106"/>
      <c r="D134" s="106"/>
      <c r="E134" s="106"/>
      <c r="F134" s="103" t="s">
        <v>3261</v>
      </c>
      <c r="G134" s="649" t="s">
        <v>3262</v>
      </c>
      <c r="H134" s="651" t="s">
        <v>3295</v>
      </c>
      <c r="I134" s="651" t="s">
        <v>3296</v>
      </c>
      <c r="J134" s="734">
        <v>3</v>
      </c>
      <c r="K134" s="735" t="s">
        <v>526</v>
      </c>
      <c r="L134" s="736">
        <v>20</v>
      </c>
      <c r="M134" s="737">
        <v>18</v>
      </c>
      <c r="N134" s="225"/>
      <c r="O134" s="225"/>
      <c r="P134" s="652"/>
      <c r="Q134" s="225"/>
      <c r="R134" s="225"/>
      <c r="S134" s="225"/>
      <c r="T134" s="225"/>
      <c r="U134" s="738"/>
      <c r="V134" s="738"/>
      <c r="W134" s="738"/>
      <c r="X134" s="738"/>
      <c r="Y134" s="738"/>
      <c r="Z134" s="738"/>
      <c r="AA134" s="738"/>
      <c r="AB134" s="738"/>
      <c r="AC134" s="738"/>
      <c r="AD134" s="738"/>
      <c r="AE134" s="225"/>
      <c r="AF134" s="225"/>
      <c r="AG134" s="724" t="s">
        <v>3314</v>
      </c>
      <c r="AH134" s="739"/>
      <c r="AI134" s="740" t="s">
        <v>1548</v>
      </c>
      <c r="AJ134" s="739" t="s">
        <v>1471</v>
      </c>
      <c r="AK134" s="739"/>
      <c r="AL134" s="742">
        <v>90000</v>
      </c>
      <c r="AM134" s="243"/>
      <c r="AN134" s="236" t="s">
        <v>536</v>
      </c>
      <c r="AO134" s="236" t="s">
        <v>536</v>
      </c>
      <c r="AP134" s="236" t="s">
        <v>536</v>
      </c>
      <c r="AQ134" s="236" t="s">
        <v>536</v>
      </c>
      <c r="AR134" s="236" t="s">
        <v>536</v>
      </c>
      <c r="AS134" s="236" t="s">
        <v>536</v>
      </c>
      <c r="AT134" s="236" t="s">
        <v>536</v>
      </c>
      <c r="AU134" s="236" t="s">
        <v>536</v>
      </c>
      <c r="AV134" s="236" t="s">
        <v>536</v>
      </c>
      <c r="AW134" s="236" t="s">
        <v>536</v>
      </c>
      <c r="AX134" s="236" t="s">
        <v>536</v>
      </c>
      <c r="AY134" s="236" t="s">
        <v>536</v>
      </c>
      <c r="AZ134" s="256" t="s">
        <v>3218</v>
      </c>
      <c r="BA134" s="225"/>
    </row>
    <row r="135" spans="1:53" ht="240" x14ac:dyDescent="0.25">
      <c r="A135" s="107"/>
      <c r="B135" s="103"/>
      <c r="C135" s="106"/>
      <c r="D135" s="106"/>
      <c r="E135" s="106"/>
      <c r="F135" s="103" t="s">
        <v>3261</v>
      </c>
      <c r="G135" s="649" t="s">
        <v>3262</v>
      </c>
      <c r="H135" s="651" t="s">
        <v>3295</v>
      </c>
      <c r="I135" s="651" t="s">
        <v>3296</v>
      </c>
      <c r="J135" s="734">
        <v>3</v>
      </c>
      <c r="K135" s="735" t="s">
        <v>526</v>
      </c>
      <c r="L135" s="736">
        <v>20</v>
      </c>
      <c r="M135" s="737">
        <v>18</v>
      </c>
      <c r="N135" s="225"/>
      <c r="O135" s="225"/>
      <c r="P135" s="652"/>
      <c r="Q135" s="225"/>
      <c r="R135" s="225"/>
      <c r="S135" s="225"/>
      <c r="T135" s="225"/>
      <c r="U135" s="738"/>
      <c r="V135" s="738"/>
      <c r="W135" s="738"/>
      <c r="X135" s="738"/>
      <c r="Y135" s="738"/>
      <c r="Z135" s="738"/>
      <c r="AA135" s="738"/>
      <c r="AB135" s="738"/>
      <c r="AC135" s="738"/>
      <c r="AD135" s="738"/>
      <c r="AE135" s="225"/>
      <c r="AF135" s="225"/>
      <c r="AG135" s="724" t="s">
        <v>3315</v>
      </c>
      <c r="AH135" s="739"/>
      <c r="AI135" s="740" t="s">
        <v>1548</v>
      </c>
      <c r="AJ135" s="739" t="s">
        <v>1471</v>
      </c>
      <c r="AK135" s="739"/>
      <c r="AL135" s="742">
        <v>90000</v>
      </c>
      <c r="AM135" s="243"/>
      <c r="AN135" s="236" t="s">
        <v>536</v>
      </c>
      <c r="AO135" s="236" t="s">
        <v>536</v>
      </c>
      <c r="AP135" s="236" t="s">
        <v>536</v>
      </c>
      <c r="AQ135" s="236" t="s">
        <v>536</v>
      </c>
      <c r="AR135" s="236" t="s">
        <v>536</v>
      </c>
      <c r="AS135" s="236" t="s">
        <v>536</v>
      </c>
      <c r="AT135" s="236" t="s">
        <v>536</v>
      </c>
      <c r="AU135" s="236" t="s">
        <v>536</v>
      </c>
      <c r="AV135" s="236" t="s">
        <v>536</v>
      </c>
      <c r="AW135" s="236" t="s">
        <v>536</v>
      </c>
      <c r="AX135" s="236" t="s">
        <v>536</v>
      </c>
      <c r="AY135" s="236" t="s">
        <v>536</v>
      </c>
      <c r="AZ135" s="256" t="s">
        <v>3218</v>
      </c>
      <c r="BA135" s="225"/>
    </row>
    <row r="136" spans="1:53" ht="240" x14ac:dyDescent="0.25">
      <c r="A136" s="107"/>
      <c r="B136" s="103"/>
      <c r="C136" s="106"/>
      <c r="D136" s="106"/>
      <c r="E136" s="106"/>
      <c r="F136" s="103" t="s">
        <v>3261</v>
      </c>
      <c r="G136" s="649" t="s">
        <v>3262</v>
      </c>
      <c r="H136" s="651" t="s">
        <v>3295</v>
      </c>
      <c r="I136" s="651" t="s">
        <v>3296</v>
      </c>
      <c r="J136" s="734">
        <v>3</v>
      </c>
      <c r="K136" s="735" t="s">
        <v>526</v>
      </c>
      <c r="L136" s="736">
        <v>20</v>
      </c>
      <c r="M136" s="737">
        <v>18</v>
      </c>
      <c r="N136" s="225"/>
      <c r="O136" s="225"/>
      <c r="P136" s="652"/>
      <c r="Q136" s="225"/>
      <c r="R136" s="225"/>
      <c r="S136" s="225"/>
      <c r="T136" s="225"/>
      <c r="U136" s="738"/>
      <c r="V136" s="738"/>
      <c r="W136" s="738"/>
      <c r="X136" s="738"/>
      <c r="Y136" s="738"/>
      <c r="Z136" s="738"/>
      <c r="AA136" s="738"/>
      <c r="AB136" s="738"/>
      <c r="AC136" s="738"/>
      <c r="AD136" s="738"/>
      <c r="AE136" s="225"/>
      <c r="AF136" s="225"/>
      <c r="AG136" s="724" t="s">
        <v>3316</v>
      </c>
      <c r="AH136" s="739"/>
      <c r="AI136" s="740" t="s">
        <v>1543</v>
      </c>
      <c r="AJ136" s="739" t="s">
        <v>1471</v>
      </c>
      <c r="AK136" s="739"/>
      <c r="AL136" s="742">
        <v>90000</v>
      </c>
      <c r="AM136" s="243"/>
      <c r="AN136" s="236" t="s">
        <v>536</v>
      </c>
      <c r="AO136" s="236" t="s">
        <v>536</v>
      </c>
      <c r="AP136" s="236" t="s">
        <v>536</v>
      </c>
      <c r="AQ136" s="236" t="s">
        <v>536</v>
      </c>
      <c r="AR136" s="236" t="s">
        <v>536</v>
      </c>
      <c r="AS136" s="236" t="s">
        <v>536</v>
      </c>
      <c r="AT136" s="236" t="s">
        <v>536</v>
      </c>
      <c r="AU136" s="236" t="s">
        <v>536</v>
      </c>
      <c r="AV136" s="236" t="s">
        <v>536</v>
      </c>
      <c r="AW136" s="236" t="s">
        <v>536</v>
      </c>
      <c r="AX136" s="236" t="s">
        <v>536</v>
      </c>
      <c r="AY136" s="236" t="s">
        <v>536</v>
      </c>
      <c r="AZ136" s="256" t="s">
        <v>3218</v>
      </c>
      <c r="BA136" s="225"/>
    </row>
    <row r="137" spans="1:53" x14ac:dyDescent="0.25">
      <c r="A137" s="702"/>
      <c r="B137" s="703"/>
      <c r="C137" s="725"/>
      <c r="D137" s="725"/>
      <c r="E137" s="725"/>
      <c r="F137" s="703"/>
      <c r="G137" s="709"/>
      <c r="H137" s="704"/>
      <c r="I137" s="704"/>
      <c r="J137" s="802"/>
      <c r="K137" s="802"/>
      <c r="L137" s="836"/>
      <c r="M137" s="834"/>
      <c r="N137" s="805"/>
      <c r="O137" s="805"/>
      <c r="P137" s="706"/>
      <c r="Q137" s="805"/>
      <c r="R137" s="805"/>
      <c r="S137" s="805"/>
      <c r="T137" s="805"/>
      <c r="U137" s="806"/>
      <c r="V137" s="806"/>
      <c r="W137" s="806"/>
      <c r="X137" s="806"/>
      <c r="Y137" s="806"/>
      <c r="Z137" s="806"/>
      <c r="AA137" s="806"/>
      <c r="AB137" s="806"/>
      <c r="AC137" s="806"/>
      <c r="AD137" s="806"/>
      <c r="AE137" s="805"/>
      <c r="AF137" s="805"/>
      <c r="AG137" s="807"/>
      <c r="AH137" s="808"/>
      <c r="AI137" s="809"/>
      <c r="AJ137" s="808"/>
      <c r="AK137" s="808"/>
      <c r="AL137" s="810"/>
      <c r="AM137" s="805"/>
      <c r="AN137" s="805"/>
      <c r="AO137" s="805"/>
      <c r="AP137" s="805"/>
      <c r="AQ137" s="805"/>
      <c r="AR137" s="805"/>
      <c r="AS137" s="805"/>
      <c r="AT137" s="805"/>
      <c r="AU137" s="805"/>
      <c r="AV137" s="805"/>
      <c r="AW137" s="805"/>
      <c r="AX137" s="805"/>
      <c r="AY137" s="805"/>
      <c r="AZ137" s="805"/>
      <c r="BA137" s="805"/>
    </row>
    <row r="138" spans="1:53" ht="240" x14ac:dyDescent="0.25">
      <c r="A138" s="107" t="s">
        <v>1245</v>
      </c>
      <c r="B138" s="103" t="s">
        <v>3099</v>
      </c>
      <c r="C138" s="967" t="s">
        <v>3317</v>
      </c>
      <c r="D138" s="967" t="s">
        <v>3318</v>
      </c>
      <c r="E138" s="103">
        <v>35</v>
      </c>
      <c r="F138" s="103" t="s">
        <v>3261</v>
      </c>
      <c r="G138" s="649" t="s">
        <v>3262</v>
      </c>
      <c r="H138" s="578" t="s">
        <v>3319</v>
      </c>
      <c r="I138" s="729" t="s">
        <v>3320</v>
      </c>
      <c r="J138" s="651">
        <v>15</v>
      </c>
      <c r="K138" s="735" t="s">
        <v>526</v>
      </c>
      <c r="L138" s="832">
        <v>9</v>
      </c>
      <c r="M138" s="556">
        <v>8</v>
      </c>
      <c r="N138" s="225"/>
      <c r="O138" s="225"/>
      <c r="P138" s="652">
        <v>291247</v>
      </c>
      <c r="Q138" s="225"/>
      <c r="R138" s="225"/>
      <c r="S138" s="225"/>
      <c r="T138" s="225"/>
      <c r="U138" s="738"/>
      <c r="V138" s="738"/>
      <c r="W138" s="738"/>
      <c r="X138" s="738"/>
      <c r="Y138" s="738"/>
      <c r="Z138" s="738"/>
      <c r="AA138" s="738"/>
      <c r="AB138" s="738"/>
      <c r="AC138" s="738"/>
      <c r="AD138" s="738"/>
      <c r="AE138" s="225"/>
      <c r="AF138" s="225"/>
      <c r="AG138" s="724" t="s">
        <v>3321</v>
      </c>
      <c r="AH138" s="739"/>
      <c r="AI138" s="740" t="s">
        <v>3237</v>
      </c>
      <c r="AJ138" s="739" t="s">
        <v>1471</v>
      </c>
      <c r="AK138" s="739">
        <v>1560</v>
      </c>
      <c r="AL138" s="742">
        <f>73779258/1000</f>
        <v>73779.258000000002</v>
      </c>
      <c r="AM138" s="243"/>
      <c r="AN138" s="236" t="s">
        <v>536</v>
      </c>
      <c r="AO138" s="236" t="s">
        <v>536</v>
      </c>
      <c r="AP138" s="236" t="s">
        <v>536</v>
      </c>
      <c r="AQ138" s="236" t="s">
        <v>536</v>
      </c>
      <c r="AR138" s="236" t="s">
        <v>536</v>
      </c>
      <c r="AS138" s="236" t="s">
        <v>536</v>
      </c>
      <c r="AT138" s="236" t="s">
        <v>536</v>
      </c>
      <c r="AU138" s="236" t="s">
        <v>536</v>
      </c>
      <c r="AV138" s="236" t="s">
        <v>536</v>
      </c>
      <c r="AW138" s="236" t="s">
        <v>536</v>
      </c>
      <c r="AX138" s="236" t="s">
        <v>536</v>
      </c>
      <c r="AY138" s="236" t="s">
        <v>536</v>
      </c>
      <c r="AZ138" s="256" t="s">
        <v>3218</v>
      </c>
      <c r="BA138" s="225"/>
    </row>
    <row r="139" spans="1:53" ht="240" x14ac:dyDescent="0.25">
      <c r="A139" s="107"/>
      <c r="B139" s="103"/>
      <c r="C139" s="967"/>
      <c r="D139" s="967"/>
      <c r="E139" s="103"/>
      <c r="F139" s="103" t="s">
        <v>3261</v>
      </c>
      <c r="G139" s="649" t="s">
        <v>3262</v>
      </c>
      <c r="H139" s="578" t="s">
        <v>3319</v>
      </c>
      <c r="I139" s="729" t="s">
        <v>3320</v>
      </c>
      <c r="J139" s="651">
        <v>15</v>
      </c>
      <c r="K139" s="735" t="s">
        <v>526</v>
      </c>
      <c r="L139" s="832">
        <v>9</v>
      </c>
      <c r="M139" s="556">
        <v>8</v>
      </c>
      <c r="N139" s="225"/>
      <c r="O139" s="225"/>
      <c r="P139" s="652"/>
      <c r="Q139" s="225"/>
      <c r="R139" s="225"/>
      <c r="S139" s="225"/>
      <c r="T139" s="225"/>
      <c r="U139" s="738"/>
      <c r="V139" s="738"/>
      <c r="W139" s="738"/>
      <c r="X139" s="738"/>
      <c r="Y139" s="738"/>
      <c r="Z139" s="738"/>
      <c r="AA139" s="738"/>
      <c r="AB139" s="738"/>
      <c r="AC139" s="738"/>
      <c r="AD139" s="738"/>
      <c r="AE139" s="225"/>
      <c r="AF139" s="225"/>
      <c r="AG139" s="724" t="s">
        <v>3322</v>
      </c>
      <c r="AH139" s="739"/>
      <c r="AI139" s="740" t="s">
        <v>3123</v>
      </c>
      <c r="AJ139" s="739" t="s">
        <v>1539</v>
      </c>
      <c r="AK139" s="739">
        <v>1301</v>
      </c>
      <c r="AL139" s="742">
        <v>59499</v>
      </c>
      <c r="AM139" s="243"/>
      <c r="AN139" s="236" t="s">
        <v>536</v>
      </c>
      <c r="AO139" s="236" t="s">
        <v>536</v>
      </c>
      <c r="AP139" s="236" t="s">
        <v>536</v>
      </c>
      <c r="AQ139" s="236" t="s">
        <v>536</v>
      </c>
      <c r="AR139" s="236" t="s">
        <v>536</v>
      </c>
      <c r="AS139" s="236" t="s">
        <v>536</v>
      </c>
      <c r="AT139" s="236" t="s">
        <v>536</v>
      </c>
      <c r="AU139" s="236" t="s">
        <v>536</v>
      </c>
      <c r="AV139" s="236" t="s">
        <v>536</v>
      </c>
      <c r="AW139" s="236" t="s">
        <v>536</v>
      </c>
      <c r="AX139" s="236" t="s">
        <v>536</v>
      </c>
      <c r="AY139" s="236" t="s">
        <v>536</v>
      </c>
      <c r="AZ139" s="256" t="s">
        <v>3218</v>
      </c>
      <c r="BA139" s="225"/>
    </row>
    <row r="140" spans="1:53" ht="240" x14ac:dyDescent="0.25">
      <c r="A140" s="107"/>
      <c r="B140" s="103"/>
      <c r="C140" s="967"/>
      <c r="D140" s="967"/>
      <c r="E140" s="103"/>
      <c r="F140" s="103" t="s">
        <v>3261</v>
      </c>
      <c r="G140" s="649" t="s">
        <v>3262</v>
      </c>
      <c r="H140" s="578" t="s">
        <v>3319</v>
      </c>
      <c r="I140" s="729" t="s">
        <v>3320</v>
      </c>
      <c r="J140" s="651">
        <v>15</v>
      </c>
      <c r="K140" s="735" t="s">
        <v>526</v>
      </c>
      <c r="L140" s="832">
        <v>9</v>
      </c>
      <c r="M140" s="556">
        <v>8</v>
      </c>
      <c r="N140" s="225"/>
      <c r="O140" s="225"/>
      <c r="P140" s="652"/>
      <c r="Q140" s="225"/>
      <c r="R140" s="225"/>
      <c r="S140" s="225"/>
      <c r="T140" s="225"/>
      <c r="U140" s="738"/>
      <c r="V140" s="738"/>
      <c r="W140" s="738"/>
      <c r="X140" s="738"/>
      <c r="Y140" s="738"/>
      <c r="Z140" s="738"/>
      <c r="AA140" s="738"/>
      <c r="AB140" s="738"/>
      <c r="AC140" s="738"/>
      <c r="AD140" s="738"/>
      <c r="AE140" s="225"/>
      <c r="AF140" s="225"/>
      <c r="AG140" s="724" t="s">
        <v>3323</v>
      </c>
      <c r="AH140" s="739"/>
      <c r="AI140" s="740" t="s">
        <v>3324</v>
      </c>
      <c r="AJ140" s="739" t="s">
        <v>1539</v>
      </c>
      <c r="AK140" s="739">
        <v>348</v>
      </c>
      <c r="AL140" s="742">
        <v>54739</v>
      </c>
      <c r="AM140" s="243"/>
      <c r="AN140" s="236" t="s">
        <v>536</v>
      </c>
      <c r="AO140" s="236" t="s">
        <v>536</v>
      </c>
      <c r="AP140" s="236" t="s">
        <v>536</v>
      </c>
      <c r="AQ140" s="236" t="s">
        <v>536</v>
      </c>
      <c r="AR140" s="236" t="s">
        <v>536</v>
      </c>
      <c r="AS140" s="236" t="s">
        <v>536</v>
      </c>
      <c r="AT140" s="236" t="s">
        <v>536</v>
      </c>
      <c r="AU140" s="236" t="s">
        <v>536</v>
      </c>
      <c r="AV140" s="236" t="s">
        <v>536</v>
      </c>
      <c r="AW140" s="236" t="s">
        <v>536</v>
      </c>
      <c r="AX140" s="236" t="s">
        <v>536</v>
      </c>
      <c r="AY140" s="236" t="s">
        <v>536</v>
      </c>
      <c r="AZ140" s="256" t="s">
        <v>3218</v>
      </c>
      <c r="BA140" s="225"/>
    </row>
    <row r="141" spans="1:53" ht="240" x14ac:dyDescent="0.25">
      <c r="A141" s="107"/>
      <c r="B141" s="103"/>
      <c r="C141" s="967"/>
      <c r="D141" s="967"/>
      <c r="E141" s="103"/>
      <c r="F141" s="103" t="s">
        <v>3261</v>
      </c>
      <c r="G141" s="649" t="s">
        <v>3262</v>
      </c>
      <c r="H141" s="578" t="s">
        <v>3319</v>
      </c>
      <c r="I141" s="729" t="s">
        <v>3320</v>
      </c>
      <c r="J141" s="651">
        <v>15</v>
      </c>
      <c r="K141" s="735" t="s">
        <v>526</v>
      </c>
      <c r="L141" s="832">
        <v>9</v>
      </c>
      <c r="M141" s="556">
        <v>8</v>
      </c>
      <c r="N141" s="225"/>
      <c r="O141" s="225"/>
      <c r="P141" s="652"/>
      <c r="Q141" s="225"/>
      <c r="R141" s="225"/>
      <c r="S141" s="225"/>
      <c r="T141" s="225"/>
      <c r="U141" s="738"/>
      <c r="V141" s="738"/>
      <c r="W141" s="738"/>
      <c r="X141" s="738"/>
      <c r="Y141" s="738"/>
      <c r="Z141" s="738"/>
      <c r="AA141" s="738"/>
      <c r="AB141" s="738"/>
      <c r="AC141" s="738"/>
      <c r="AD141" s="738"/>
      <c r="AE141" s="225"/>
      <c r="AF141" s="225"/>
      <c r="AG141" s="724" t="s">
        <v>3325</v>
      </c>
      <c r="AH141" s="739"/>
      <c r="AI141" s="740" t="s">
        <v>3193</v>
      </c>
      <c r="AJ141" s="739" t="s">
        <v>1539</v>
      </c>
      <c r="AK141" s="739">
        <v>1751</v>
      </c>
      <c r="AL141" s="742">
        <v>64259</v>
      </c>
      <c r="AM141" s="243"/>
      <c r="AN141" s="236" t="s">
        <v>536</v>
      </c>
      <c r="AO141" s="236" t="s">
        <v>536</v>
      </c>
      <c r="AP141" s="236" t="s">
        <v>536</v>
      </c>
      <c r="AQ141" s="236" t="s">
        <v>536</v>
      </c>
      <c r="AR141" s="236" t="s">
        <v>536</v>
      </c>
      <c r="AS141" s="236" t="s">
        <v>536</v>
      </c>
      <c r="AT141" s="236" t="s">
        <v>536</v>
      </c>
      <c r="AU141" s="236" t="s">
        <v>536</v>
      </c>
      <c r="AV141" s="236" t="s">
        <v>536</v>
      </c>
      <c r="AW141" s="236" t="s">
        <v>536</v>
      </c>
      <c r="AX141" s="236" t="s">
        <v>536</v>
      </c>
      <c r="AY141" s="236" t="s">
        <v>536</v>
      </c>
      <c r="AZ141" s="256" t="s">
        <v>3218</v>
      </c>
      <c r="BA141" s="225"/>
    </row>
    <row r="142" spans="1:53" ht="240" x14ac:dyDescent="0.25">
      <c r="A142" s="107"/>
      <c r="B142" s="103"/>
      <c r="C142" s="967"/>
      <c r="D142" s="967"/>
      <c r="E142" s="103"/>
      <c r="F142" s="103" t="s">
        <v>3261</v>
      </c>
      <c r="G142" s="649" t="s">
        <v>3262</v>
      </c>
      <c r="H142" s="578" t="s">
        <v>3319</v>
      </c>
      <c r="I142" s="729" t="s">
        <v>3320</v>
      </c>
      <c r="J142" s="651">
        <v>15</v>
      </c>
      <c r="K142" s="735" t="s">
        <v>526</v>
      </c>
      <c r="L142" s="832">
        <v>9</v>
      </c>
      <c r="M142" s="556">
        <v>8</v>
      </c>
      <c r="N142" s="225"/>
      <c r="O142" s="225"/>
      <c r="P142" s="652"/>
      <c r="Q142" s="225"/>
      <c r="R142" s="225"/>
      <c r="S142" s="225"/>
      <c r="T142" s="225"/>
      <c r="U142" s="738"/>
      <c r="V142" s="738"/>
      <c r="W142" s="738"/>
      <c r="X142" s="738"/>
      <c r="Y142" s="738"/>
      <c r="Z142" s="738"/>
      <c r="AA142" s="738"/>
      <c r="AB142" s="738"/>
      <c r="AC142" s="738"/>
      <c r="AD142" s="738"/>
      <c r="AE142" s="225"/>
      <c r="AF142" s="225"/>
      <c r="AG142" s="724" t="s">
        <v>3326</v>
      </c>
      <c r="AH142" s="739"/>
      <c r="AI142" s="740" t="s">
        <v>1690</v>
      </c>
      <c r="AJ142" s="739" t="s">
        <v>1551</v>
      </c>
      <c r="AK142" s="739">
        <v>1971</v>
      </c>
      <c r="AL142" s="742">
        <v>64259</v>
      </c>
      <c r="AM142" s="243"/>
      <c r="AN142" s="236" t="s">
        <v>536</v>
      </c>
      <c r="AO142" s="236" t="s">
        <v>536</v>
      </c>
      <c r="AP142" s="236" t="s">
        <v>536</v>
      </c>
      <c r="AQ142" s="236" t="s">
        <v>536</v>
      </c>
      <c r="AR142" s="236" t="s">
        <v>536</v>
      </c>
      <c r="AS142" s="236" t="s">
        <v>536</v>
      </c>
      <c r="AT142" s="236" t="s">
        <v>536</v>
      </c>
      <c r="AU142" s="236" t="s">
        <v>536</v>
      </c>
      <c r="AV142" s="236" t="s">
        <v>536</v>
      </c>
      <c r="AW142" s="236" t="s">
        <v>536</v>
      </c>
      <c r="AX142" s="236" t="s">
        <v>536</v>
      </c>
      <c r="AY142" s="236" t="s">
        <v>536</v>
      </c>
      <c r="AZ142" s="256" t="s">
        <v>3218</v>
      </c>
      <c r="BA142" s="225"/>
    </row>
    <row r="143" spans="1:53" ht="240" x14ac:dyDescent="0.25">
      <c r="A143" s="107"/>
      <c r="B143" s="103"/>
      <c r="C143" s="967"/>
      <c r="D143" s="967"/>
      <c r="E143" s="103"/>
      <c r="F143" s="103" t="s">
        <v>3261</v>
      </c>
      <c r="G143" s="649" t="s">
        <v>3262</v>
      </c>
      <c r="H143" s="578" t="s">
        <v>3319</v>
      </c>
      <c r="I143" s="729" t="s">
        <v>3320</v>
      </c>
      <c r="J143" s="651">
        <v>15</v>
      </c>
      <c r="K143" s="735" t="s">
        <v>526</v>
      </c>
      <c r="L143" s="832">
        <v>9</v>
      </c>
      <c r="M143" s="556">
        <v>8</v>
      </c>
      <c r="N143" s="225"/>
      <c r="O143" s="225"/>
      <c r="P143" s="652"/>
      <c r="Q143" s="225"/>
      <c r="R143" s="225"/>
      <c r="S143" s="225"/>
      <c r="T143" s="225"/>
      <c r="U143" s="738"/>
      <c r="V143" s="738"/>
      <c r="W143" s="738"/>
      <c r="X143" s="738"/>
      <c r="Y143" s="738"/>
      <c r="Z143" s="738"/>
      <c r="AA143" s="738"/>
      <c r="AB143" s="738"/>
      <c r="AC143" s="738"/>
      <c r="AD143" s="738"/>
      <c r="AE143" s="225"/>
      <c r="AF143" s="225"/>
      <c r="AG143" s="724" t="s">
        <v>3327</v>
      </c>
      <c r="AH143" s="739"/>
      <c r="AI143" s="740" t="s">
        <v>1538</v>
      </c>
      <c r="AJ143" s="739" t="s">
        <v>1551</v>
      </c>
      <c r="AK143" s="739">
        <v>1509</v>
      </c>
      <c r="AL143" s="742">
        <v>74206</v>
      </c>
      <c r="AM143" s="243"/>
      <c r="AN143" s="236" t="s">
        <v>536</v>
      </c>
      <c r="AO143" s="236" t="s">
        <v>536</v>
      </c>
      <c r="AP143" s="236" t="s">
        <v>536</v>
      </c>
      <c r="AQ143" s="236" t="s">
        <v>536</v>
      </c>
      <c r="AR143" s="236" t="s">
        <v>536</v>
      </c>
      <c r="AS143" s="236" t="s">
        <v>536</v>
      </c>
      <c r="AT143" s="236" t="s">
        <v>536</v>
      </c>
      <c r="AU143" s="236" t="s">
        <v>536</v>
      </c>
      <c r="AV143" s="236" t="s">
        <v>536</v>
      </c>
      <c r="AW143" s="236" t="s">
        <v>536</v>
      </c>
      <c r="AX143" s="236" t="s">
        <v>536</v>
      </c>
      <c r="AY143" s="236" t="s">
        <v>536</v>
      </c>
      <c r="AZ143" s="256" t="s">
        <v>3218</v>
      </c>
      <c r="BA143" s="225"/>
    </row>
    <row r="144" spans="1:53" ht="240" x14ac:dyDescent="0.25">
      <c r="A144" s="107"/>
      <c r="B144" s="103"/>
      <c r="C144" s="967"/>
      <c r="D144" s="967"/>
      <c r="E144" s="103"/>
      <c r="F144" s="103" t="s">
        <v>3261</v>
      </c>
      <c r="G144" s="649" t="s">
        <v>3262</v>
      </c>
      <c r="H144" s="578" t="s">
        <v>3319</v>
      </c>
      <c r="I144" s="729" t="s">
        <v>3320</v>
      </c>
      <c r="J144" s="651">
        <v>15</v>
      </c>
      <c r="K144" s="735" t="s">
        <v>526</v>
      </c>
      <c r="L144" s="832">
        <v>9</v>
      </c>
      <c r="M144" s="556">
        <v>8</v>
      </c>
      <c r="N144" s="225"/>
      <c r="O144" s="225"/>
      <c r="P144" s="652"/>
      <c r="Q144" s="225"/>
      <c r="R144" s="225"/>
      <c r="S144" s="225"/>
      <c r="T144" s="225"/>
      <c r="U144" s="738"/>
      <c r="V144" s="738"/>
      <c r="W144" s="738"/>
      <c r="X144" s="738"/>
      <c r="Y144" s="738"/>
      <c r="Z144" s="738"/>
      <c r="AA144" s="738"/>
      <c r="AB144" s="738"/>
      <c r="AC144" s="738"/>
      <c r="AD144" s="738"/>
      <c r="AE144" s="225"/>
      <c r="AF144" s="225"/>
      <c r="AG144" s="724" t="s">
        <v>3328</v>
      </c>
      <c r="AH144" s="739"/>
      <c r="AI144" s="740"/>
      <c r="AJ144" s="739"/>
      <c r="AK144" s="739">
        <v>3000</v>
      </c>
      <c r="AL144" s="742">
        <v>38666</v>
      </c>
      <c r="AM144" s="243"/>
      <c r="AN144" s="236" t="s">
        <v>536</v>
      </c>
      <c r="AO144" s="236" t="s">
        <v>536</v>
      </c>
      <c r="AP144" s="236" t="s">
        <v>536</v>
      </c>
      <c r="AQ144" s="236" t="s">
        <v>536</v>
      </c>
      <c r="AR144" s="236" t="s">
        <v>536</v>
      </c>
      <c r="AS144" s="236" t="s">
        <v>536</v>
      </c>
      <c r="AT144" s="236" t="s">
        <v>536</v>
      </c>
      <c r="AU144" s="236" t="s">
        <v>536</v>
      </c>
      <c r="AV144" s="236" t="s">
        <v>536</v>
      </c>
      <c r="AW144" s="236" t="s">
        <v>536</v>
      </c>
      <c r="AX144" s="236" t="s">
        <v>536</v>
      </c>
      <c r="AY144" s="236" t="s">
        <v>536</v>
      </c>
      <c r="AZ144" s="256" t="s">
        <v>3218</v>
      </c>
      <c r="BA144" s="225"/>
    </row>
    <row r="145" spans="1:53" ht="240" x14ac:dyDescent="0.25">
      <c r="A145" s="107"/>
      <c r="B145" s="103"/>
      <c r="C145" s="967"/>
      <c r="D145" s="967"/>
      <c r="E145" s="103"/>
      <c r="F145" s="103" t="s">
        <v>3261</v>
      </c>
      <c r="G145" s="649" t="s">
        <v>3262</v>
      </c>
      <c r="H145" s="578" t="s">
        <v>3319</v>
      </c>
      <c r="I145" s="729" t="s">
        <v>3320</v>
      </c>
      <c r="J145" s="651">
        <v>15</v>
      </c>
      <c r="K145" s="735" t="s">
        <v>526</v>
      </c>
      <c r="L145" s="832">
        <v>9</v>
      </c>
      <c r="M145" s="556">
        <v>8</v>
      </c>
      <c r="N145" s="225"/>
      <c r="O145" s="225"/>
      <c r="P145" s="652"/>
      <c r="Q145" s="225"/>
      <c r="R145" s="225"/>
      <c r="S145" s="225"/>
      <c r="T145" s="225"/>
      <c r="U145" s="738"/>
      <c r="V145" s="738"/>
      <c r="W145" s="738"/>
      <c r="X145" s="738"/>
      <c r="Y145" s="738"/>
      <c r="Z145" s="738"/>
      <c r="AA145" s="738"/>
      <c r="AB145" s="738"/>
      <c r="AC145" s="738"/>
      <c r="AD145" s="738"/>
      <c r="AE145" s="225"/>
      <c r="AF145" s="225"/>
      <c r="AG145" s="724" t="s">
        <v>3329</v>
      </c>
      <c r="AH145" s="739"/>
      <c r="AI145" s="740"/>
      <c r="AJ145" s="739"/>
      <c r="AK145" s="739">
        <v>4570</v>
      </c>
      <c r="AL145" s="742">
        <v>55680</v>
      </c>
      <c r="AM145" s="243"/>
      <c r="AN145" s="236" t="s">
        <v>536</v>
      </c>
      <c r="AO145" s="236" t="s">
        <v>536</v>
      </c>
      <c r="AP145" s="236" t="s">
        <v>536</v>
      </c>
      <c r="AQ145" s="236" t="s">
        <v>536</v>
      </c>
      <c r="AR145" s="236" t="s">
        <v>536</v>
      </c>
      <c r="AS145" s="236" t="s">
        <v>536</v>
      </c>
      <c r="AT145" s="236" t="s">
        <v>536</v>
      </c>
      <c r="AU145" s="236" t="s">
        <v>536</v>
      </c>
      <c r="AV145" s="236" t="s">
        <v>536</v>
      </c>
      <c r="AW145" s="236" t="s">
        <v>536</v>
      </c>
      <c r="AX145" s="236" t="s">
        <v>536</v>
      </c>
      <c r="AY145" s="236" t="s">
        <v>536</v>
      </c>
      <c r="AZ145" s="256" t="s">
        <v>3218</v>
      </c>
      <c r="BA145" s="225"/>
    </row>
    <row r="146" spans="1:53" ht="240" x14ac:dyDescent="0.25">
      <c r="A146" s="107"/>
      <c r="B146" s="103"/>
      <c r="C146" s="967"/>
      <c r="D146" s="967"/>
      <c r="E146" s="103"/>
      <c r="F146" s="103" t="s">
        <v>3261</v>
      </c>
      <c r="G146" s="649" t="s">
        <v>3262</v>
      </c>
      <c r="H146" s="578" t="s">
        <v>3319</v>
      </c>
      <c r="I146" s="729" t="s">
        <v>3320</v>
      </c>
      <c r="J146" s="651">
        <v>15</v>
      </c>
      <c r="K146" s="735" t="s">
        <v>526</v>
      </c>
      <c r="L146" s="832">
        <v>9</v>
      </c>
      <c r="M146" s="556">
        <v>8</v>
      </c>
      <c r="N146" s="225"/>
      <c r="O146" s="225"/>
      <c r="P146" s="652"/>
      <c r="Q146" s="225"/>
      <c r="R146" s="225"/>
      <c r="S146" s="225"/>
      <c r="T146" s="225"/>
      <c r="U146" s="738"/>
      <c r="V146" s="738"/>
      <c r="W146" s="738"/>
      <c r="X146" s="738"/>
      <c r="Y146" s="738"/>
      <c r="Z146" s="738"/>
      <c r="AA146" s="738"/>
      <c r="AB146" s="738"/>
      <c r="AC146" s="738"/>
      <c r="AD146" s="738"/>
      <c r="AE146" s="225"/>
      <c r="AF146" s="225"/>
      <c r="AG146" s="724" t="s">
        <v>3330</v>
      </c>
      <c r="AH146" s="739"/>
      <c r="AI146" s="740" t="s">
        <v>3245</v>
      </c>
      <c r="AJ146" s="739" t="s">
        <v>3246</v>
      </c>
      <c r="AK146" s="739">
        <v>20000</v>
      </c>
      <c r="AL146" s="742">
        <v>27840</v>
      </c>
      <c r="AM146" s="243"/>
      <c r="AN146" s="236" t="s">
        <v>536</v>
      </c>
      <c r="AO146" s="236" t="s">
        <v>536</v>
      </c>
      <c r="AP146" s="236" t="s">
        <v>536</v>
      </c>
      <c r="AQ146" s="236" t="s">
        <v>536</v>
      </c>
      <c r="AR146" s="236" t="s">
        <v>536</v>
      </c>
      <c r="AS146" s="236" t="s">
        <v>536</v>
      </c>
      <c r="AT146" s="236" t="s">
        <v>536</v>
      </c>
      <c r="AU146" s="236" t="s">
        <v>536</v>
      </c>
      <c r="AV146" s="236" t="s">
        <v>536</v>
      </c>
      <c r="AW146" s="236" t="s">
        <v>536</v>
      </c>
      <c r="AX146" s="236" t="s">
        <v>536</v>
      </c>
      <c r="AY146" s="236" t="s">
        <v>536</v>
      </c>
      <c r="AZ146" s="256" t="s">
        <v>3218</v>
      </c>
      <c r="BA146" s="225"/>
    </row>
    <row r="147" spans="1:53" ht="180" x14ac:dyDescent="0.25">
      <c r="A147" s="107"/>
      <c r="B147" s="103"/>
      <c r="C147" s="967"/>
      <c r="D147" s="967"/>
      <c r="E147" s="103"/>
      <c r="F147" s="103" t="s">
        <v>3261</v>
      </c>
      <c r="G147" s="649" t="s">
        <v>3262</v>
      </c>
      <c r="H147" s="578" t="s">
        <v>3319</v>
      </c>
      <c r="I147" s="729" t="s">
        <v>3320</v>
      </c>
      <c r="J147" s="651">
        <v>15</v>
      </c>
      <c r="K147" s="735" t="s">
        <v>526</v>
      </c>
      <c r="L147" s="832">
        <v>9</v>
      </c>
      <c r="M147" s="556">
        <v>8</v>
      </c>
      <c r="N147" s="225"/>
      <c r="O147" s="225"/>
      <c r="P147" s="652"/>
      <c r="Q147" s="225"/>
      <c r="R147" s="225"/>
      <c r="S147" s="225"/>
      <c r="T147" s="225"/>
      <c r="U147" s="738"/>
      <c r="V147" s="738"/>
      <c r="W147" s="738"/>
      <c r="X147" s="738"/>
      <c r="Y147" s="738"/>
      <c r="Z147" s="738"/>
      <c r="AA147" s="738"/>
      <c r="AB147" s="738"/>
      <c r="AC147" s="738"/>
      <c r="AD147" s="738"/>
      <c r="AE147" s="225"/>
      <c r="AF147" s="225"/>
      <c r="AG147" s="724" t="s">
        <v>3331</v>
      </c>
      <c r="AH147" s="739"/>
      <c r="AI147" s="740"/>
      <c r="AJ147" s="739"/>
      <c r="AK147" s="739"/>
      <c r="AL147" s="742">
        <v>83920</v>
      </c>
      <c r="AM147" s="243"/>
      <c r="AN147" s="236"/>
      <c r="AO147" s="236"/>
      <c r="AP147" s="236"/>
      <c r="AQ147" s="236"/>
      <c r="AR147" s="236"/>
      <c r="AS147" s="236"/>
      <c r="AT147" s="236"/>
      <c r="AU147" s="236"/>
      <c r="AV147" s="236"/>
      <c r="AW147" s="236"/>
      <c r="AX147" s="236"/>
      <c r="AY147" s="236"/>
      <c r="AZ147" s="256"/>
      <c r="BA147" s="225"/>
    </row>
    <row r="148" spans="1:53" x14ac:dyDescent="0.25">
      <c r="A148" s="702"/>
      <c r="B148" s="703"/>
      <c r="C148" s="967"/>
      <c r="D148" s="967"/>
      <c r="E148" s="703"/>
      <c r="F148" s="703"/>
      <c r="G148" s="709"/>
      <c r="H148" s="730"/>
      <c r="I148" s="705"/>
      <c r="J148" s="704"/>
      <c r="K148" s="802"/>
      <c r="L148" s="833"/>
      <c r="M148" s="837"/>
      <c r="N148" s="805"/>
      <c r="O148" s="805"/>
      <c r="P148" s="706"/>
      <c r="Q148" s="805"/>
      <c r="R148" s="805"/>
      <c r="S148" s="805"/>
      <c r="T148" s="805"/>
      <c r="U148" s="806"/>
      <c r="V148" s="806"/>
      <c r="W148" s="806"/>
      <c r="X148" s="806"/>
      <c r="Y148" s="806"/>
      <c r="Z148" s="806"/>
      <c r="AA148" s="806"/>
      <c r="AB148" s="806"/>
      <c r="AC148" s="806"/>
      <c r="AD148" s="806"/>
      <c r="AE148" s="805"/>
      <c r="AF148" s="805"/>
      <c r="AG148" s="807"/>
      <c r="AH148" s="808"/>
      <c r="AI148" s="809"/>
      <c r="AJ148" s="808"/>
      <c r="AK148" s="808"/>
      <c r="AL148" s="810"/>
      <c r="AM148" s="805"/>
      <c r="AN148" s="805"/>
      <c r="AO148" s="805"/>
      <c r="AP148" s="805"/>
      <c r="AQ148" s="805"/>
      <c r="AR148" s="805"/>
      <c r="AS148" s="805"/>
      <c r="AT148" s="805"/>
      <c r="AU148" s="805"/>
      <c r="AV148" s="805"/>
      <c r="AW148" s="805"/>
      <c r="AX148" s="805"/>
      <c r="AY148" s="805"/>
      <c r="AZ148" s="805"/>
      <c r="BA148" s="805"/>
    </row>
    <row r="149" spans="1:53" ht="240" x14ac:dyDescent="0.25">
      <c r="A149" s="107" t="s">
        <v>1245</v>
      </c>
      <c r="B149" s="103" t="s">
        <v>3099</v>
      </c>
      <c r="C149" s="967"/>
      <c r="D149" s="967"/>
      <c r="E149" s="103"/>
      <c r="F149" s="103" t="s">
        <v>3261</v>
      </c>
      <c r="G149" s="649" t="s">
        <v>3262</v>
      </c>
      <c r="H149" s="723" t="s">
        <v>3332</v>
      </c>
      <c r="I149" s="723" t="s">
        <v>3333</v>
      </c>
      <c r="J149" s="651">
        <v>5</v>
      </c>
      <c r="K149" s="735" t="s">
        <v>526</v>
      </c>
      <c r="L149" s="832">
        <v>15</v>
      </c>
      <c r="M149" s="556">
        <v>12</v>
      </c>
      <c r="N149" s="225"/>
      <c r="O149" s="225"/>
      <c r="P149" s="652">
        <v>35264</v>
      </c>
      <c r="Q149" s="225"/>
      <c r="R149" s="225"/>
      <c r="S149" s="225"/>
      <c r="T149" s="225"/>
      <c r="U149" s="738"/>
      <c r="V149" s="738"/>
      <c r="W149" s="738"/>
      <c r="X149" s="738"/>
      <c r="Y149" s="738"/>
      <c r="Z149" s="738"/>
      <c r="AA149" s="738"/>
      <c r="AB149" s="738"/>
      <c r="AC149" s="738"/>
      <c r="AD149" s="738"/>
      <c r="AE149" s="225"/>
      <c r="AF149" s="225"/>
      <c r="AG149" s="724" t="s">
        <v>3334</v>
      </c>
      <c r="AH149" s="739"/>
      <c r="AI149" s="740" t="s">
        <v>3193</v>
      </c>
      <c r="AJ149" s="739" t="s">
        <v>1539</v>
      </c>
      <c r="AK149" s="739">
        <v>1768</v>
      </c>
      <c r="AL149" s="742">
        <f>38085120/1000</f>
        <v>38085.120000000003</v>
      </c>
      <c r="AM149" s="243"/>
      <c r="AN149" s="236" t="s">
        <v>536</v>
      </c>
      <c r="AO149" s="236" t="s">
        <v>536</v>
      </c>
      <c r="AP149" s="236" t="s">
        <v>536</v>
      </c>
      <c r="AQ149" s="236" t="s">
        <v>536</v>
      </c>
      <c r="AR149" s="236" t="s">
        <v>536</v>
      </c>
      <c r="AS149" s="236" t="s">
        <v>536</v>
      </c>
      <c r="AT149" s="236" t="s">
        <v>536</v>
      </c>
      <c r="AU149" s="236" t="s">
        <v>536</v>
      </c>
      <c r="AV149" s="236" t="s">
        <v>536</v>
      </c>
      <c r="AW149" s="236" t="s">
        <v>536</v>
      </c>
      <c r="AX149" s="236" t="s">
        <v>536</v>
      </c>
      <c r="AY149" s="236" t="s">
        <v>536</v>
      </c>
      <c r="AZ149" s="256" t="s">
        <v>3218</v>
      </c>
      <c r="BA149" s="225"/>
    </row>
    <row r="150" spans="1:53" ht="240" x14ac:dyDescent="0.25">
      <c r="A150" s="107"/>
      <c r="B150" s="103"/>
      <c r="C150" s="967"/>
      <c r="D150" s="967"/>
      <c r="E150" s="103"/>
      <c r="F150" s="103" t="s">
        <v>3261</v>
      </c>
      <c r="G150" s="649" t="s">
        <v>3262</v>
      </c>
      <c r="H150" s="723" t="s">
        <v>3332</v>
      </c>
      <c r="I150" s="723" t="s">
        <v>3333</v>
      </c>
      <c r="J150" s="651">
        <v>5</v>
      </c>
      <c r="K150" s="735" t="s">
        <v>526</v>
      </c>
      <c r="L150" s="832">
        <v>15</v>
      </c>
      <c r="M150" s="556">
        <v>12</v>
      </c>
      <c r="N150" s="225"/>
      <c r="O150" s="225"/>
      <c r="P150" s="652"/>
      <c r="Q150" s="225"/>
      <c r="R150" s="225"/>
      <c r="S150" s="225"/>
      <c r="T150" s="225"/>
      <c r="U150" s="738"/>
      <c r="V150" s="738"/>
      <c r="W150" s="738"/>
      <c r="X150" s="738"/>
      <c r="Y150" s="738"/>
      <c r="Z150" s="738"/>
      <c r="AA150" s="738"/>
      <c r="AB150" s="738"/>
      <c r="AC150" s="738"/>
      <c r="AD150" s="738"/>
      <c r="AE150" s="225"/>
      <c r="AF150" s="225"/>
      <c r="AG150" s="724" t="s">
        <v>3335</v>
      </c>
      <c r="AH150" s="739"/>
      <c r="AI150" s="740" t="s">
        <v>3123</v>
      </c>
      <c r="AJ150" s="739" t="s">
        <v>1539</v>
      </c>
      <c r="AK150" s="739">
        <v>1320</v>
      </c>
      <c r="AL150" s="742">
        <f>38085120/1000</f>
        <v>38085.120000000003</v>
      </c>
      <c r="AM150" s="243"/>
      <c r="AN150" s="236" t="s">
        <v>536</v>
      </c>
      <c r="AO150" s="236" t="s">
        <v>536</v>
      </c>
      <c r="AP150" s="236" t="s">
        <v>536</v>
      </c>
      <c r="AQ150" s="236" t="s">
        <v>536</v>
      </c>
      <c r="AR150" s="236" t="s">
        <v>536</v>
      </c>
      <c r="AS150" s="236" t="s">
        <v>536</v>
      </c>
      <c r="AT150" s="236" t="s">
        <v>536</v>
      </c>
      <c r="AU150" s="236" t="s">
        <v>536</v>
      </c>
      <c r="AV150" s="236" t="s">
        <v>536</v>
      </c>
      <c r="AW150" s="236" t="s">
        <v>536</v>
      </c>
      <c r="AX150" s="236" t="s">
        <v>536</v>
      </c>
      <c r="AY150" s="236" t="s">
        <v>536</v>
      </c>
      <c r="AZ150" s="256" t="s">
        <v>3218</v>
      </c>
      <c r="BA150" s="225"/>
    </row>
    <row r="151" spans="1:53" ht="240" x14ac:dyDescent="0.25">
      <c r="A151" s="107"/>
      <c r="B151" s="103"/>
      <c r="C151" s="967"/>
      <c r="D151" s="967"/>
      <c r="E151" s="103"/>
      <c r="F151" s="103" t="s">
        <v>3261</v>
      </c>
      <c r="G151" s="649" t="s">
        <v>3262</v>
      </c>
      <c r="H151" s="723" t="s">
        <v>3332</v>
      </c>
      <c r="I151" s="723" t="s">
        <v>3333</v>
      </c>
      <c r="J151" s="651">
        <v>5</v>
      </c>
      <c r="K151" s="735" t="s">
        <v>526</v>
      </c>
      <c r="L151" s="832">
        <v>15</v>
      </c>
      <c r="M151" s="556">
        <v>12</v>
      </c>
      <c r="N151" s="225"/>
      <c r="O151" s="225"/>
      <c r="P151" s="652"/>
      <c r="Q151" s="225"/>
      <c r="R151" s="225"/>
      <c r="S151" s="225"/>
      <c r="T151" s="225"/>
      <c r="U151" s="738"/>
      <c r="V151" s="738"/>
      <c r="W151" s="738"/>
      <c r="X151" s="738"/>
      <c r="Y151" s="738"/>
      <c r="Z151" s="738"/>
      <c r="AA151" s="738"/>
      <c r="AB151" s="738"/>
      <c r="AC151" s="738"/>
      <c r="AD151" s="738"/>
      <c r="AE151" s="225"/>
      <c r="AF151" s="225"/>
      <c r="AG151" s="724" t="s">
        <v>3336</v>
      </c>
      <c r="AH151" s="739"/>
      <c r="AI151" s="740" t="s">
        <v>3276</v>
      </c>
      <c r="AJ151" s="739" t="s">
        <v>3246</v>
      </c>
      <c r="AK151" s="739">
        <v>18277</v>
      </c>
      <c r="AL151" s="742">
        <f t="shared" ref="AL151:AL158" si="0">38085120/1000</f>
        <v>38085.120000000003</v>
      </c>
      <c r="AM151" s="243"/>
      <c r="AN151" s="236" t="s">
        <v>536</v>
      </c>
      <c r="AO151" s="236" t="s">
        <v>536</v>
      </c>
      <c r="AP151" s="236" t="s">
        <v>536</v>
      </c>
      <c r="AQ151" s="236" t="s">
        <v>536</v>
      </c>
      <c r="AR151" s="236" t="s">
        <v>536</v>
      </c>
      <c r="AS151" s="236" t="s">
        <v>536</v>
      </c>
      <c r="AT151" s="236" t="s">
        <v>536</v>
      </c>
      <c r="AU151" s="236" t="s">
        <v>536</v>
      </c>
      <c r="AV151" s="236" t="s">
        <v>536</v>
      </c>
      <c r="AW151" s="236" t="s">
        <v>536</v>
      </c>
      <c r="AX151" s="236" t="s">
        <v>536</v>
      </c>
      <c r="AY151" s="236" t="s">
        <v>536</v>
      </c>
      <c r="AZ151" s="256" t="s">
        <v>3218</v>
      </c>
      <c r="BA151" s="225"/>
    </row>
    <row r="152" spans="1:53" ht="240" x14ac:dyDescent="0.25">
      <c r="A152" s="107"/>
      <c r="B152" s="103"/>
      <c r="C152" s="967"/>
      <c r="D152" s="967"/>
      <c r="E152" s="103"/>
      <c r="F152" s="103" t="s">
        <v>3261</v>
      </c>
      <c r="G152" s="649" t="s">
        <v>3262</v>
      </c>
      <c r="H152" s="723" t="s">
        <v>3332</v>
      </c>
      <c r="I152" s="723" t="s">
        <v>3333</v>
      </c>
      <c r="J152" s="651">
        <v>5</v>
      </c>
      <c r="K152" s="735" t="s">
        <v>526</v>
      </c>
      <c r="L152" s="832">
        <v>15</v>
      </c>
      <c r="M152" s="556">
        <v>12</v>
      </c>
      <c r="N152" s="225"/>
      <c r="O152" s="225"/>
      <c r="P152" s="652"/>
      <c r="Q152" s="225"/>
      <c r="R152" s="225"/>
      <c r="S152" s="225"/>
      <c r="T152" s="225"/>
      <c r="U152" s="738"/>
      <c r="V152" s="738"/>
      <c r="W152" s="738"/>
      <c r="X152" s="738"/>
      <c r="Y152" s="738"/>
      <c r="Z152" s="738"/>
      <c r="AA152" s="738"/>
      <c r="AB152" s="738"/>
      <c r="AC152" s="738"/>
      <c r="AD152" s="738"/>
      <c r="AE152" s="225"/>
      <c r="AF152" s="225"/>
      <c r="AG152" s="724" t="s">
        <v>3337</v>
      </c>
      <c r="AH152" s="739"/>
      <c r="AI152" s="740" t="s">
        <v>1538</v>
      </c>
      <c r="AJ152" s="739" t="s">
        <v>1539</v>
      </c>
      <c r="AK152" s="739">
        <v>1508</v>
      </c>
      <c r="AL152" s="742">
        <f t="shared" si="0"/>
        <v>38085.120000000003</v>
      </c>
      <c r="AM152" s="243"/>
      <c r="AN152" s="236" t="s">
        <v>536</v>
      </c>
      <c r="AO152" s="236" t="s">
        <v>536</v>
      </c>
      <c r="AP152" s="236" t="s">
        <v>536</v>
      </c>
      <c r="AQ152" s="236" t="s">
        <v>536</v>
      </c>
      <c r="AR152" s="236" t="s">
        <v>536</v>
      </c>
      <c r="AS152" s="236" t="s">
        <v>536</v>
      </c>
      <c r="AT152" s="236" t="s">
        <v>536</v>
      </c>
      <c r="AU152" s="236" t="s">
        <v>536</v>
      </c>
      <c r="AV152" s="236" t="s">
        <v>536</v>
      </c>
      <c r="AW152" s="236" t="s">
        <v>536</v>
      </c>
      <c r="AX152" s="236" t="s">
        <v>536</v>
      </c>
      <c r="AY152" s="236" t="s">
        <v>536</v>
      </c>
      <c r="AZ152" s="256" t="s">
        <v>3218</v>
      </c>
      <c r="BA152" s="225"/>
    </row>
    <row r="153" spans="1:53" ht="240" x14ac:dyDescent="0.25">
      <c r="A153" s="107"/>
      <c r="B153" s="103"/>
      <c r="C153" s="967"/>
      <c r="D153" s="967"/>
      <c r="E153" s="103"/>
      <c r="F153" s="103" t="s">
        <v>3261</v>
      </c>
      <c r="G153" s="649" t="s">
        <v>3262</v>
      </c>
      <c r="H153" s="723" t="s">
        <v>3332</v>
      </c>
      <c r="I153" s="723" t="s">
        <v>3333</v>
      </c>
      <c r="J153" s="651">
        <v>5</v>
      </c>
      <c r="K153" s="735" t="s">
        <v>526</v>
      </c>
      <c r="L153" s="832">
        <v>15</v>
      </c>
      <c r="M153" s="556">
        <v>12</v>
      </c>
      <c r="N153" s="225"/>
      <c r="O153" s="225"/>
      <c r="P153" s="652"/>
      <c r="Q153" s="225"/>
      <c r="R153" s="225"/>
      <c r="S153" s="225"/>
      <c r="T153" s="225"/>
      <c r="U153" s="738"/>
      <c r="V153" s="738"/>
      <c r="W153" s="738"/>
      <c r="X153" s="738"/>
      <c r="Y153" s="738"/>
      <c r="Z153" s="738"/>
      <c r="AA153" s="738"/>
      <c r="AB153" s="738"/>
      <c r="AC153" s="738"/>
      <c r="AD153" s="738"/>
      <c r="AE153" s="225"/>
      <c r="AF153" s="225"/>
      <c r="AG153" s="724" t="s">
        <v>3338</v>
      </c>
      <c r="AH153" s="739"/>
      <c r="AI153" s="740" t="s">
        <v>1799</v>
      </c>
      <c r="AJ153" s="739" t="s">
        <v>1539</v>
      </c>
      <c r="AK153" s="739">
        <v>3340</v>
      </c>
      <c r="AL153" s="742">
        <f t="shared" si="0"/>
        <v>38085.120000000003</v>
      </c>
      <c r="AM153" s="243"/>
      <c r="AN153" s="236" t="s">
        <v>536</v>
      </c>
      <c r="AO153" s="236" t="s">
        <v>536</v>
      </c>
      <c r="AP153" s="236" t="s">
        <v>536</v>
      </c>
      <c r="AQ153" s="236" t="s">
        <v>536</v>
      </c>
      <c r="AR153" s="236" t="s">
        <v>536</v>
      </c>
      <c r="AS153" s="236" t="s">
        <v>536</v>
      </c>
      <c r="AT153" s="236" t="s">
        <v>536</v>
      </c>
      <c r="AU153" s="236" t="s">
        <v>536</v>
      </c>
      <c r="AV153" s="236" t="s">
        <v>536</v>
      </c>
      <c r="AW153" s="236" t="s">
        <v>536</v>
      </c>
      <c r="AX153" s="236" t="s">
        <v>536</v>
      </c>
      <c r="AY153" s="236" t="s">
        <v>536</v>
      </c>
      <c r="AZ153" s="256" t="s">
        <v>3218</v>
      </c>
      <c r="BA153" s="225"/>
    </row>
    <row r="154" spans="1:53" ht="240" x14ac:dyDescent="0.25">
      <c r="A154" s="107"/>
      <c r="B154" s="103"/>
      <c r="C154" s="967"/>
      <c r="D154" s="967"/>
      <c r="E154" s="103"/>
      <c r="F154" s="103" t="s">
        <v>3261</v>
      </c>
      <c r="G154" s="649" t="s">
        <v>3262</v>
      </c>
      <c r="H154" s="723" t="s">
        <v>3332</v>
      </c>
      <c r="I154" s="723" t="s">
        <v>3333</v>
      </c>
      <c r="J154" s="651">
        <v>5</v>
      </c>
      <c r="K154" s="735" t="s">
        <v>526</v>
      </c>
      <c r="L154" s="832">
        <v>15</v>
      </c>
      <c r="M154" s="556">
        <v>12</v>
      </c>
      <c r="N154" s="225"/>
      <c r="O154" s="225"/>
      <c r="P154" s="652"/>
      <c r="Q154" s="225"/>
      <c r="R154" s="225"/>
      <c r="S154" s="225"/>
      <c r="T154" s="225"/>
      <c r="U154" s="738"/>
      <c r="V154" s="738"/>
      <c r="W154" s="738"/>
      <c r="X154" s="738"/>
      <c r="Y154" s="738"/>
      <c r="Z154" s="738"/>
      <c r="AA154" s="738"/>
      <c r="AB154" s="738"/>
      <c r="AC154" s="738"/>
      <c r="AD154" s="738"/>
      <c r="AE154" s="225"/>
      <c r="AF154" s="225"/>
      <c r="AG154" s="724" t="s">
        <v>3339</v>
      </c>
      <c r="AH154" s="739"/>
      <c r="AI154" s="740" t="s">
        <v>3245</v>
      </c>
      <c r="AJ154" s="739" t="s">
        <v>3246</v>
      </c>
      <c r="AK154" s="739">
        <v>5973</v>
      </c>
      <c r="AL154" s="742">
        <f t="shared" si="0"/>
        <v>38085.120000000003</v>
      </c>
      <c r="AM154" s="243"/>
      <c r="AN154" s="236" t="s">
        <v>536</v>
      </c>
      <c r="AO154" s="236" t="s">
        <v>536</v>
      </c>
      <c r="AP154" s="236" t="s">
        <v>536</v>
      </c>
      <c r="AQ154" s="236" t="s">
        <v>536</v>
      </c>
      <c r="AR154" s="236" t="s">
        <v>536</v>
      </c>
      <c r="AS154" s="236" t="s">
        <v>536</v>
      </c>
      <c r="AT154" s="236" t="s">
        <v>536</v>
      </c>
      <c r="AU154" s="236" t="s">
        <v>536</v>
      </c>
      <c r="AV154" s="236" t="s">
        <v>536</v>
      </c>
      <c r="AW154" s="236" t="s">
        <v>536</v>
      </c>
      <c r="AX154" s="236" t="s">
        <v>536</v>
      </c>
      <c r="AY154" s="236" t="s">
        <v>536</v>
      </c>
      <c r="AZ154" s="256" t="s">
        <v>3218</v>
      </c>
      <c r="BA154" s="225"/>
    </row>
    <row r="155" spans="1:53" ht="240" x14ac:dyDescent="0.25">
      <c r="A155" s="107"/>
      <c r="B155" s="103"/>
      <c r="C155" s="967"/>
      <c r="D155" s="967"/>
      <c r="E155" s="103"/>
      <c r="F155" s="103" t="s">
        <v>3261</v>
      </c>
      <c r="G155" s="649" t="s">
        <v>3262</v>
      </c>
      <c r="H155" s="723" t="s">
        <v>3332</v>
      </c>
      <c r="I155" s="723" t="s">
        <v>3333</v>
      </c>
      <c r="J155" s="651">
        <v>5</v>
      </c>
      <c r="K155" s="735" t="s">
        <v>526</v>
      </c>
      <c r="L155" s="832">
        <v>15</v>
      </c>
      <c r="M155" s="556">
        <v>12</v>
      </c>
      <c r="N155" s="225"/>
      <c r="O155" s="225"/>
      <c r="P155" s="652"/>
      <c r="Q155" s="225"/>
      <c r="R155" s="225"/>
      <c r="S155" s="225"/>
      <c r="T155" s="225"/>
      <c r="U155" s="738"/>
      <c r="V155" s="738"/>
      <c r="W155" s="738"/>
      <c r="X155" s="738"/>
      <c r="Y155" s="738"/>
      <c r="Z155" s="738"/>
      <c r="AA155" s="738"/>
      <c r="AB155" s="738"/>
      <c r="AC155" s="738"/>
      <c r="AD155" s="738"/>
      <c r="AE155" s="225"/>
      <c r="AF155" s="225"/>
      <c r="AG155" s="724" t="s">
        <v>3340</v>
      </c>
      <c r="AH155" s="739"/>
      <c r="AI155" s="740" t="s">
        <v>1459</v>
      </c>
      <c r="AJ155" s="739" t="s">
        <v>1539</v>
      </c>
      <c r="AK155" s="739">
        <v>1985</v>
      </c>
      <c r="AL155" s="742">
        <f t="shared" si="0"/>
        <v>38085.120000000003</v>
      </c>
      <c r="AM155" s="243"/>
      <c r="AN155" s="236" t="s">
        <v>536</v>
      </c>
      <c r="AO155" s="236" t="s">
        <v>536</v>
      </c>
      <c r="AP155" s="236" t="s">
        <v>536</v>
      </c>
      <c r="AQ155" s="236" t="s">
        <v>536</v>
      </c>
      <c r="AR155" s="236" t="s">
        <v>536</v>
      </c>
      <c r="AS155" s="236" t="s">
        <v>536</v>
      </c>
      <c r="AT155" s="236" t="s">
        <v>536</v>
      </c>
      <c r="AU155" s="236" t="s">
        <v>536</v>
      </c>
      <c r="AV155" s="236" t="s">
        <v>536</v>
      </c>
      <c r="AW155" s="236" t="s">
        <v>536</v>
      </c>
      <c r="AX155" s="236" t="s">
        <v>536</v>
      </c>
      <c r="AY155" s="236" t="s">
        <v>536</v>
      </c>
      <c r="AZ155" s="256" t="s">
        <v>3218</v>
      </c>
      <c r="BA155" s="225"/>
    </row>
    <row r="156" spans="1:53" ht="240" x14ac:dyDescent="0.25">
      <c r="A156" s="107"/>
      <c r="B156" s="103"/>
      <c r="C156" s="967"/>
      <c r="D156" s="967"/>
      <c r="E156" s="103"/>
      <c r="F156" s="103" t="s">
        <v>3261</v>
      </c>
      <c r="G156" s="649" t="s">
        <v>3262</v>
      </c>
      <c r="H156" s="723" t="s">
        <v>3332</v>
      </c>
      <c r="I156" s="723" t="s">
        <v>3333</v>
      </c>
      <c r="J156" s="651">
        <v>5</v>
      </c>
      <c r="K156" s="735" t="s">
        <v>526</v>
      </c>
      <c r="L156" s="832">
        <v>15</v>
      </c>
      <c r="M156" s="556">
        <v>12</v>
      </c>
      <c r="N156" s="225"/>
      <c r="O156" s="225"/>
      <c r="P156" s="652"/>
      <c r="Q156" s="225"/>
      <c r="R156" s="225"/>
      <c r="S156" s="225"/>
      <c r="T156" s="225"/>
      <c r="U156" s="738"/>
      <c r="V156" s="738"/>
      <c r="W156" s="738"/>
      <c r="X156" s="738"/>
      <c r="Y156" s="738"/>
      <c r="Z156" s="738"/>
      <c r="AA156" s="738"/>
      <c r="AB156" s="738"/>
      <c r="AC156" s="738"/>
      <c r="AD156" s="738"/>
      <c r="AE156" s="225"/>
      <c r="AF156" s="225"/>
      <c r="AG156" s="724" t="s">
        <v>3341</v>
      </c>
      <c r="AH156" s="739"/>
      <c r="AI156" s="740" t="s">
        <v>3125</v>
      </c>
      <c r="AJ156" s="739" t="s">
        <v>1560</v>
      </c>
      <c r="AK156" s="739">
        <v>2955</v>
      </c>
      <c r="AL156" s="742">
        <f t="shared" si="0"/>
        <v>38085.120000000003</v>
      </c>
      <c r="AM156" s="243"/>
      <c r="AN156" s="236" t="s">
        <v>536</v>
      </c>
      <c r="AO156" s="236" t="s">
        <v>536</v>
      </c>
      <c r="AP156" s="236" t="s">
        <v>536</v>
      </c>
      <c r="AQ156" s="236" t="s">
        <v>536</v>
      </c>
      <c r="AR156" s="236" t="s">
        <v>536</v>
      </c>
      <c r="AS156" s="236" t="s">
        <v>536</v>
      </c>
      <c r="AT156" s="236" t="s">
        <v>536</v>
      </c>
      <c r="AU156" s="236" t="s">
        <v>536</v>
      </c>
      <c r="AV156" s="236" t="s">
        <v>536</v>
      </c>
      <c r="AW156" s="236" t="s">
        <v>536</v>
      </c>
      <c r="AX156" s="236" t="s">
        <v>536</v>
      </c>
      <c r="AY156" s="236" t="s">
        <v>536</v>
      </c>
      <c r="AZ156" s="256" t="s">
        <v>3218</v>
      </c>
      <c r="BA156" s="225"/>
    </row>
    <row r="157" spans="1:53" ht="240" x14ac:dyDescent="0.25">
      <c r="A157" s="107"/>
      <c r="B157" s="103"/>
      <c r="C157" s="967"/>
      <c r="D157" s="967"/>
      <c r="E157" s="103"/>
      <c r="F157" s="103" t="s">
        <v>3261</v>
      </c>
      <c r="G157" s="649" t="s">
        <v>3262</v>
      </c>
      <c r="H157" s="723" t="s">
        <v>3332</v>
      </c>
      <c r="I157" s="723" t="s">
        <v>3333</v>
      </c>
      <c r="J157" s="651">
        <v>5</v>
      </c>
      <c r="K157" s="735" t="s">
        <v>526</v>
      </c>
      <c r="L157" s="832">
        <v>15</v>
      </c>
      <c r="M157" s="556">
        <v>12</v>
      </c>
      <c r="N157" s="225"/>
      <c r="O157" s="225"/>
      <c r="P157" s="652"/>
      <c r="Q157" s="225"/>
      <c r="R157" s="225"/>
      <c r="S157" s="225"/>
      <c r="T157" s="225"/>
      <c r="U157" s="738"/>
      <c r="V157" s="738"/>
      <c r="W157" s="738"/>
      <c r="X157" s="738"/>
      <c r="Y157" s="738"/>
      <c r="Z157" s="738"/>
      <c r="AA157" s="738"/>
      <c r="AB157" s="738"/>
      <c r="AC157" s="738"/>
      <c r="AD157" s="738"/>
      <c r="AE157" s="225"/>
      <c r="AF157" s="225"/>
      <c r="AG157" s="724" t="s">
        <v>3342</v>
      </c>
      <c r="AH157" s="739"/>
      <c r="AI157" s="740" t="s">
        <v>1556</v>
      </c>
      <c r="AJ157" s="739" t="s">
        <v>1551</v>
      </c>
      <c r="AK157" s="739">
        <v>2715</v>
      </c>
      <c r="AL157" s="742">
        <f t="shared" si="0"/>
        <v>38085.120000000003</v>
      </c>
      <c r="AM157" s="243"/>
      <c r="AN157" s="236" t="s">
        <v>536</v>
      </c>
      <c r="AO157" s="236" t="s">
        <v>536</v>
      </c>
      <c r="AP157" s="236" t="s">
        <v>536</v>
      </c>
      <c r="AQ157" s="236" t="s">
        <v>536</v>
      </c>
      <c r="AR157" s="236" t="s">
        <v>536</v>
      </c>
      <c r="AS157" s="236" t="s">
        <v>536</v>
      </c>
      <c r="AT157" s="236" t="s">
        <v>536</v>
      </c>
      <c r="AU157" s="236" t="s">
        <v>536</v>
      </c>
      <c r="AV157" s="236" t="s">
        <v>536</v>
      </c>
      <c r="AW157" s="236" t="s">
        <v>536</v>
      </c>
      <c r="AX157" s="236" t="s">
        <v>536</v>
      </c>
      <c r="AY157" s="236" t="s">
        <v>536</v>
      </c>
      <c r="AZ157" s="256" t="s">
        <v>3218</v>
      </c>
      <c r="BA157" s="225"/>
    </row>
    <row r="158" spans="1:53" ht="240" x14ac:dyDescent="0.25">
      <c r="A158" s="107"/>
      <c r="B158" s="103"/>
      <c r="C158" s="967"/>
      <c r="D158" s="967"/>
      <c r="E158" s="103"/>
      <c r="F158" s="103" t="s">
        <v>3261</v>
      </c>
      <c r="G158" s="649" t="s">
        <v>3262</v>
      </c>
      <c r="H158" s="723" t="s">
        <v>3332</v>
      </c>
      <c r="I158" s="723" t="s">
        <v>3333</v>
      </c>
      <c r="J158" s="651">
        <v>5</v>
      </c>
      <c r="K158" s="735" t="s">
        <v>526</v>
      </c>
      <c r="L158" s="832">
        <v>15</v>
      </c>
      <c r="M158" s="556">
        <v>12</v>
      </c>
      <c r="N158" s="225"/>
      <c r="O158" s="225"/>
      <c r="P158" s="652"/>
      <c r="Q158" s="225"/>
      <c r="R158" s="225"/>
      <c r="S158" s="225"/>
      <c r="T158" s="225"/>
      <c r="U158" s="738"/>
      <c r="V158" s="738"/>
      <c r="W158" s="738"/>
      <c r="X158" s="738"/>
      <c r="Y158" s="738"/>
      <c r="Z158" s="738"/>
      <c r="AA158" s="738"/>
      <c r="AB158" s="738"/>
      <c r="AC158" s="738"/>
      <c r="AD158" s="738"/>
      <c r="AE158" s="225"/>
      <c r="AF158" s="225"/>
      <c r="AG158" s="724" t="s">
        <v>3343</v>
      </c>
      <c r="AH158" s="739"/>
      <c r="AI158" s="740" t="s">
        <v>1559</v>
      </c>
      <c r="AJ158" s="739" t="s">
        <v>1560</v>
      </c>
      <c r="AK158" s="739">
        <v>4113</v>
      </c>
      <c r="AL158" s="742">
        <f t="shared" si="0"/>
        <v>38085.120000000003</v>
      </c>
      <c r="AM158" s="243"/>
      <c r="AN158" s="236" t="s">
        <v>536</v>
      </c>
      <c r="AO158" s="236" t="s">
        <v>536</v>
      </c>
      <c r="AP158" s="236" t="s">
        <v>536</v>
      </c>
      <c r="AQ158" s="236" t="s">
        <v>536</v>
      </c>
      <c r="AR158" s="236" t="s">
        <v>536</v>
      </c>
      <c r="AS158" s="236" t="s">
        <v>536</v>
      </c>
      <c r="AT158" s="236" t="s">
        <v>536</v>
      </c>
      <c r="AU158" s="236" t="s">
        <v>536</v>
      </c>
      <c r="AV158" s="236" t="s">
        <v>536</v>
      </c>
      <c r="AW158" s="236" t="s">
        <v>536</v>
      </c>
      <c r="AX158" s="236" t="s">
        <v>536</v>
      </c>
      <c r="AY158" s="236" t="s">
        <v>536</v>
      </c>
      <c r="AZ158" s="256" t="s">
        <v>3218</v>
      </c>
      <c r="BA158" s="225"/>
    </row>
    <row r="159" spans="1:53" ht="240" x14ac:dyDescent="0.25">
      <c r="A159" s="107"/>
      <c r="B159" s="103"/>
      <c r="C159" s="967"/>
      <c r="D159" s="967"/>
      <c r="E159" s="103"/>
      <c r="F159" s="103" t="s">
        <v>3261</v>
      </c>
      <c r="G159" s="649" t="s">
        <v>3262</v>
      </c>
      <c r="H159" s="723" t="s">
        <v>3332</v>
      </c>
      <c r="I159" s="723" t="s">
        <v>3333</v>
      </c>
      <c r="J159" s="651">
        <v>5</v>
      </c>
      <c r="K159" s="735" t="s">
        <v>526</v>
      </c>
      <c r="L159" s="832">
        <v>15</v>
      </c>
      <c r="M159" s="556">
        <v>12</v>
      </c>
      <c r="N159" s="225"/>
      <c r="O159" s="225"/>
      <c r="P159" s="652"/>
      <c r="Q159" s="225"/>
      <c r="R159" s="225"/>
      <c r="S159" s="225"/>
      <c r="T159" s="225"/>
      <c r="U159" s="738"/>
      <c r="V159" s="738"/>
      <c r="W159" s="738"/>
      <c r="X159" s="738"/>
      <c r="Y159" s="738"/>
      <c r="Z159" s="738"/>
      <c r="AA159" s="738"/>
      <c r="AB159" s="738"/>
      <c r="AC159" s="738"/>
      <c r="AD159" s="738"/>
      <c r="AE159" s="225"/>
      <c r="AF159" s="225"/>
      <c r="AG159" s="724" t="s">
        <v>3344</v>
      </c>
      <c r="AH159" s="739"/>
      <c r="AI159" s="740" t="s">
        <v>3248</v>
      </c>
      <c r="AJ159" s="739" t="s">
        <v>1560</v>
      </c>
      <c r="AK159" s="739">
        <v>4661</v>
      </c>
      <c r="AL159" s="742">
        <f>35263999/1000</f>
        <v>35263.999000000003</v>
      </c>
      <c r="AM159" s="243"/>
      <c r="AN159" s="236" t="s">
        <v>536</v>
      </c>
      <c r="AO159" s="236" t="s">
        <v>536</v>
      </c>
      <c r="AP159" s="236" t="s">
        <v>536</v>
      </c>
      <c r="AQ159" s="236" t="s">
        <v>536</v>
      </c>
      <c r="AR159" s="236" t="s">
        <v>536</v>
      </c>
      <c r="AS159" s="236" t="s">
        <v>536</v>
      </c>
      <c r="AT159" s="236" t="s">
        <v>536</v>
      </c>
      <c r="AU159" s="236" t="s">
        <v>536</v>
      </c>
      <c r="AV159" s="236" t="s">
        <v>536</v>
      </c>
      <c r="AW159" s="236" t="s">
        <v>536</v>
      </c>
      <c r="AX159" s="236" t="s">
        <v>536</v>
      </c>
      <c r="AY159" s="236" t="s">
        <v>536</v>
      </c>
      <c r="AZ159" s="256" t="s">
        <v>3218</v>
      </c>
      <c r="BA159" s="225"/>
    </row>
    <row r="160" spans="1:53" ht="240" x14ac:dyDescent="0.25">
      <c r="A160" s="107"/>
      <c r="B160" s="103"/>
      <c r="C160" s="967"/>
      <c r="D160" s="967"/>
      <c r="E160" s="103"/>
      <c r="F160" s="103" t="s">
        <v>3261</v>
      </c>
      <c r="G160" s="649" t="s">
        <v>3262</v>
      </c>
      <c r="H160" s="723" t="s">
        <v>3332</v>
      </c>
      <c r="I160" s="723" t="s">
        <v>3333</v>
      </c>
      <c r="J160" s="651">
        <v>5</v>
      </c>
      <c r="K160" s="735" t="s">
        <v>526</v>
      </c>
      <c r="L160" s="832">
        <v>15</v>
      </c>
      <c r="M160" s="556">
        <v>12</v>
      </c>
      <c r="N160" s="225"/>
      <c r="O160" s="225"/>
      <c r="P160" s="652"/>
      <c r="Q160" s="225"/>
      <c r="R160" s="225"/>
      <c r="S160" s="225"/>
      <c r="T160" s="225"/>
      <c r="U160" s="738"/>
      <c r="V160" s="738"/>
      <c r="W160" s="738"/>
      <c r="X160" s="738"/>
      <c r="Y160" s="738"/>
      <c r="Z160" s="738"/>
      <c r="AA160" s="738"/>
      <c r="AB160" s="738"/>
      <c r="AC160" s="738"/>
      <c r="AD160" s="738"/>
      <c r="AE160" s="225"/>
      <c r="AF160" s="225"/>
      <c r="AG160" s="724" t="s">
        <v>3345</v>
      </c>
      <c r="AH160" s="739"/>
      <c r="AI160" s="740" t="s">
        <v>2495</v>
      </c>
      <c r="AJ160" s="739" t="s">
        <v>1460</v>
      </c>
      <c r="AK160" s="739">
        <v>5287</v>
      </c>
      <c r="AL160" s="742">
        <f>35263999/1000</f>
        <v>35263.999000000003</v>
      </c>
      <c r="AM160" s="243"/>
      <c r="AN160" s="236" t="s">
        <v>536</v>
      </c>
      <c r="AO160" s="236" t="s">
        <v>536</v>
      </c>
      <c r="AP160" s="236" t="s">
        <v>536</v>
      </c>
      <c r="AQ160" s="236" t="s">
        <v>536</v>
      </c>
      <c r="AR160" s="236" t="s">
        <v>536</v>
      </c>
      <c r="AS160" s="236" t="s">
        <v>536</v>
      </c>
      <c r="AT160" s="236" t="s">
        <v>536</v>
      </c>
      <c r="AU160" s="236" t="s">
        <v>536</v>
      </c>
      <c r="AV160" s="236" t="s">
        <v>536</v>
      </c>
      <c r="AW160" s="236" t="s">
        <v>536</v>
      </c>
      <c r="AX160" s="236" t="s">
        <v>536</v>
      </c>
      <c r="AY160" s="236" t="s">
        <v>536</v>
      </c>
      <c r="AZ160" s="256" t="s">
        <v>3218</v>
      </c>
      <c r="BA160" s="225"/>
    </row>
    <row r="161" spans="1:53" x14ac:dyDescent="0.25">
      <c r="A161" s="702"/>
      <c r="B161" s="703"/>
      <c r="C161" s="967"/>
      <c r="D161" s="967"/>
      <c r="E161" s="703"/>
      <c r="F161" s="703"/>
      <c r="G161" s="709"/>
      <c r="H161" s="726"/>
      <c r="I161" s="726"/>
      <c r="J161" s="704"/>
      <c r="K161" s="802"/>
      <c r="L161" s="833"/>
      <c r="M161" s="837"/>
      <c r="N161" s="805"/>
      <c r="O161" s="805"/>
      <c r="P161" s="706"/>
      <c r="Q161" s="805"/>
      <c r="R161" s="805"/>
      <c r="S161" s="805"/>
      <c r="T161" s="805"/>
      <c r="U161" s="806"/>
      <c r="V161" s="806"/>
      <c r="W161" s="806"/>
      <c r="X161" s="806"/>
      <c r="Y161" s="806"/>
      <c r="Z161" s="806"/>
      <c r="AA161" s="806"/>
      <c r="AB161" s="806"/>
      <c r="AC161" s="806"/>
      <c r="AD161" s="806"/>
      <c r="AE161" s="805"/>
      <c r="AF161" s="805"/>
      <c r="AG161" s="807"/>
      <c r="AH161" s="808"/>
      <c r="AI161" s="809"/>
      <c r="AJ161" s="808"/>
      <c r="AK161" s="808"/>
      <c r="AL161" s="810"/>
      <c r="AM161" s="805"/>
      <c r="AN161" s="805"/>
      <c r="AO161" s="805"/>
      <c r="AP161" s="805"/>
      <c r="AQ161" s="805"/>
      <c r="AR161" s="805"/>
      <c r="AS161" s="805"/>
      <c r="AT161" s="805"/>
      <c r="AU161" s="805"/>
      <c r="AV161" s="805"/>
      <c r="AW161" s="805"/>
      <c r="AX161" s="805"/>
      <c r="AY161" s="805"/>
      <c r="AZ161" s="805"/>
      <c r="BA161" s="805"/>
    </row>
    <row r="162" spans="1:53" ht="240" x14ac:dyDescent="0.25">
      <c r="A162" s="107" t="s">
        <v>1245</v>
      </c>
      <c r="B162" s="103" t="s">
        <v>3099</v>
      </c>
      <c r="C162" s="967"/>
      <c r="D162" s="967"/>
      <c r="E162" s="103"/>
      <c r="F162" s="103" t="s">
        <v>3261</v>
      </c>
      <c r="G162" s="649" t="s">
        <v>3262</v>
      </c>
      <c r="H162" s="723" t="s">
        <v>3346</v>
      </c>
      <c r="I162" s="723" t="s">
        <v>3347</v>
      </c>
      <c r="J162" s="651">
        <v>28</v>
      </c>
      <c r="K162" s="735" t="s">
        <v>526</v>
      </c>
      <c r="L162" s="832">
        <v>3</v>
      </c>
      <c r="M162" s="556">
        <v>3</v>
      </c>
      <c r="N162" s="225"/>
      <c r="O162" s="225"/>
      <c r="P162" s="652">
        <v>0</v>
      </c>
      <c r="Q162" s="225"/>
      <c r="R162" s="225"/>
      <c r="S162" s="225"/>
      <c r="T162" s="225"/>
      <c r="U162" s="738"/>
      <c r="V162" s="738"/>
      <c r="W162" s="738"/>
      <c r="X162" s="738"/>
      <c r="Y162" s="738"/>
      <c r="Z162" s="738"/>
      <c r="AA162" s="738"/>
      <c r="AB162" s="738"/>
      <c r="AC162" s="738"/>
      <c r="AD162" s="738"/>
      <c r="AE162" s="225"/>
      <c r="AF162" s="225"/>
      <c r="AG162" s="724" t="s">
        <v>3348</v>
      </c>
      <c r="AH162" s="739"/>
      <c r="AI162" s="740" t="s">
        <v>3182</v>
      </c>
      <c r="AJ162" s="739" t="s">
        <v>1560</v>
      </c>
      <c r="AK162" s="739">
        <v>1301</v>
      </c>
      <c r="AL162" s="742">
        <f>61136640/1000</f>
        <v>61136.639999999999</v>
      </c>
      <c r="AM162" s="243"/>
      <c r="AN162" s="236" t="s">
        <v>536</v>
      </c>
      <c r="AO162" s="236" t="s">
        <v>536</v>
      </c>
      <c r="AP162" s="236" t="s">
        <v>536</v>
      </c>
      <c r="AQ162" s="236" t="s">
        <v>536</v>
      </c>
      <c r="AR162" s="236" t="s">
        <v>536</v>
      </c>
      <c r="AS162" s="236" t="s">
        <v>536</v>
      </c>
      <c r="AT162" s="236" t="s">
        <v>536</v>
      </c>
      <c r="AU162" s="236" t="s">
        <v>536</v>
      </c>
      <c r="AV162" s="236" t="s">
        <v>536</v>
      </c>
      <c r="AW162" s="236" t="s">
        <v>536</v>
      </c>
      <c r="AX162" s="236" t="s">
        <v>536</v>
      </c>
      <c r="AY162" s="236" t="s">
        <v>536</v>
      </c>
      <c r="AZ162" s="256" t="s">
        <v>3218</v>
      </c>
      <c r="BA162" s="225"/>
    </row>
    <row r="163" spans="1:53" ht="240" x14ac:dyDescent="0.25">
      <c r="A163" s="107"/>
      <c r="B163" s="103"/>
      <c r="C163" s="106"/>
      <c r="D163" s="106"/>
      <c r="E163" s="106"/>
      <c r="F163" s="103" t="s">
        <v>3261</v>
      </c>
      <c r="G163" s="649" t="s">
        <v>3262</v>
      </c>
      <c r="H163" s="723" t="s">
        <v>3346</v>
      </c>
      <c r="I163" s="723" t="s">
        <v>3347</v>
      </c>
      <c r="J163" s="651">
        <v>28</v>
      </c>
      <c r="K163" s="735" t="s">
        <v>526</v>
      </c>
      <c r="L163" s="832">
        <v>3</v>
      </c>
      <c r="M163" s="556">
        <v>3</v>
      </c>
      <c r="N163" s="225"/>
      <c r="O163" s="225"/>
      <c r="P163" s="652"/>
      <c r="Q163" s="225"/>
      <c r="R163" s="225"/>
      <c r="S163" s="225"/>
      <c r="T163" s="225"/>
      <c r="U163" s="738"/>
      <c r="V163" s="738"/>
      <c r="W163" s="738"/>
      <c r="X163" s="738"/>
      <c r="Y163" s="738"/>
      <c r="Z163" s="738"/>
      <c r="AA163" s="738"/>
      <c r="AB163" s="738"/>
      <c r="AC163" s="738"/>
      <c r="AD163" s="738"/>
      <c r="AE163" s="225"/>
      <c r="AF163" s="225"/>
      <c r="AG163" s="724" t="s">
        <v>3349</v>
      </c>
      <c r="AH163" s="739"/>
      <c r="AI163" s="740" t="s">
        <v>1524</v>
      </c>
      <c r="AJ163" s="739" t="s">
        <v>1471</v>
      </c>
      <c r="AK163" s="739">
        <v>15109</v>
      </c>
      <c r="AL163" s="742">
        <f t="shared" ref="AL163:AL164" si="1">61136640/1000</f>
        <v>61136.639999999999</v>
      </c>
      <c r="AM163" s="243"/>
      <c r="AN163" s="236" t="s">
        <v>536</v>
      </c>
      <c r="AO163" s="236" t="s">
        <v>536</v>
      </c>
      <c r="AP163" s="236" t="s">
        <v>536</v>
      </c>
      <c r="AQ163" s="236" t="s">
        <v>536</v>
      </c>
      <c r="AR163" s="236" t="s">
        <v>536</v>
      </c>
      <c r="AS163" s="236" t="s">
        <v>536</v>
      </c>
      <c r="AT163" s="236" t="s">
        <v>536</v>
      </c>
      <c r="AU163" s="236" t="s">
        <v>536</v>
      </c>
      <c r="AV163" s="236" t="s">
        <v>536</v>
      </c>
      <c r="AW163" s="236" t="s">
        <v>536</v>
      </c>
      <c r="AX163" s="236" t="s">
        <v>536</v>
      </c>
      <c r="AY163" s="236" t="s">
        <v>536</v>
      </c>
      <c r="AZ163" s="256" t="s">
        <v>3218</v>
      </c>
      <c r="BA163" s="225"/>
    </row>
    <row r="164" spans="1:53" ht="240" x14ac:dyDescent="0.25">
      <c r="A164" s="107"/>
      <c r="B164" s="103"/>
      <c r="C164" s="106"/>
      <c r="D164" s="106"/>
      <c r="E164" s="106"/>
      <c r="F164" s="103" t="s">
        <v>3261</v>
      </c>
      <c r="G164" s="649" t="s">
        <v>3262</v>
      </c>
      <c r="H164" s="723" t="s">
        <v>3346</v>
      </c>
      <c r="I164" s="723" t="s">
        <v>3347</v>
      </c>
      <c r="J164" s="651">
        <v>28</v>
      </c>
      <c r="K164" s="735" t="s">
        <v>526</v>
      </c>
      <c r="L164" s="832">
        <v>3</v>
      </c>
      <c r="M164" s="556">
        <v>3</v>
      </c>
      <c r="N164" s="225"/>
      <c r="O164" s="225"/>
      <c r="P164" s="652"/>
      <c r="Q164" s="225"/>
      <c r="R164" s="225"/>
      <c r="S164" s="225"/>
      <c r="T164" s="225"/>
      <c r="U164" s="738"/>
      <c r="V164" s="738"/>
      <c r="W164" s="738"/>
      <c r="X164" s="738"/>
      <c r="Y164" s="738"/>
      <c r="Z164" s="738"/>
      <c r="AA164" s="738"/>
      <c r="AB164" s="738"/>
      <c r="AC164" s="738"/>
      <c r="AD164" s="738"/>
      <c r="AE164" s="225"/>
      <c r="AF164" s="225"/>
      <c r="AG164" s="724" t="s">
        <v>3350</v>
      </c>
      <c r="AH164" s="739"/>
      <c r="AI164" s="740" t="s">
        <v>1538</v>
      </c>
      <c r="AJ164" s="739" t="s">
        <v>1539</v>
      </c>
      <c r="AK164" s="739">
        <v>1560</v>
      </c>
      <c r="AL164" s="742">
        <f t="shared" si="1"/>
        <v>61136.639999999999</v>
      </c>
      <c r="AM164" s="243"/>
      <c r="AN164" s="236" t="s">
        <v>536</v>
      </c>
      <c r="AO164" s="236" t="s">
        <v>536</v>
      </c>
      <c r="AP164" s="236" t="s">
        <v>536</v>
      </c>
      <c r="AQ164" s="236" t="s">
        <v>536</v>
      </c>
      <c r="AR164" s="236" t="s">
        <v>536</v>
      </c>
      <c r="AS164" s="236" t="s">
        <v>536</v>
      </c>
      <c r="AT164" s="236" t="s">
        <v>536</v>
      </c>
      <c r="AU164" s="236" t="s">
        <v>536</v>
      </c>
      <c r="AV164" s="236" t="s">
        <v>536</v>
      </c>
      <c r="AW164" s="236" t="s">
        <v>536</v>
      </c>
      <c r="AX164" s="236" t="s">
        <v>536</v>
      </c>
      <c r="AY164" s="236" t="s">
        <v>536</v>
      </c>
      <c r="AZ164" s="256" t="s">
        <v>3218</v>
      </c>
      <c r="BA164" s="225"/>
    </row>
    <row r="165" spans="1:53" x14ac:dyDescent="0.25">
      <c r="A165" s="687"/>
      <c r="B165" s="491"/>
      <c r="C165" s="493"/>
      <c r="D165" s="493"/>
      <c r="E165" s="493"/>
      <c r="F165" s="491"/>
      <c r="G165" s="731"/>
      <c r="H165" s="722"/>
      <c r="I165" s="722"/>
      <c r="J165" s="691"/>
      <c r="K165" s="781"/>
      <c r="L165" s="838"/>
      <c r="M165" s="783"/>
      <c r="N165" s="492"/>
      <c r="O165" s="492"/>
      <c r="P165" s="692"/>
      <c r="Q165" s="492"/>
      <c r="R165" s="492"/>
      <c r="S165" s="492"/>
      <c r="T165" s="492"/>
      <c r="U165" s="784"/>
      <c r="V165" s="784"/>
      <c r="W165" s="784"/>
      <c r="X165" s="784"/>
      <c r="Y165" s="784"/>
      <c r="Z165" s="784"/>
      <c r="AA165" s="784"/>
      <c r="AB165" s="784"/>
      <c r="AC165" s="784"/>
      <c r="AD165" s="784"/>
      <c r="AE165" s="492"/>
      <c r="AF165" s="492"/>
      <c r="AG165" s="785"/>
      <c r="AH165" s="786"/>
      <c r="AI165" s="494"/>
      <c r="AJ165" s="786"/>
      <c r="AK165" s="786"/>
      <c r="AL165" s="787"/>
      <c r="AM165" s="492"/>
      <c r="AN165" s="492"/>
      <c r="AO165" s="492"/>
      <c r="AP165" s="492"/>
      <c r="AQ165" s="492"/>
      <c r="AR165" s="492"/>
      <c r="AS165" s="492"/>
      <c r="AT165" s="492"/>
      <c r="AU165" s="492"/>
      <c r="AV165" s="492"/>
      <c r="AW165" s="492"/>
      <c r="AX165" s="492"/>
      <c r="AY165" s="492"/>
      <c r="AZ165" s="492"/>
      <c r="BA165" s="492"/>
    </row>
    <row r="166" spans="1:53" ht="255" x14ac:dyDescent="0.25">
      <c r="A166" s="107" t="s">
        <v>1245</v>
      </c>
      <c r="B166" s="103" t="s">
        <v>3099</v>
      </c>
      <c r="C166" s="967" t="s">
        <v>3351</v>
      </c>
      <c r="D166" s="967" t="s">
        <v>3352</v>
      </c>
      <c r="E166" s="103">
        <v>0.66</v>
      </c>
      <c r="F166" s="103" t="s">
        <v>3353</v>
      </c>
      <c r="G166" s="649" t="s">
        <v>3354</v>
      </c>
      <c r="H166" s="651" t="s">
        <v>3355</v>
      </c>
      <c r="I166" s="651" t="s">
        <v>3356</v>
      </c>
      <c r="J166" s="651">
        <v>526908</v>
      </c>
      <c r="K166" s="735" t="s">
        <v>526</v>
      </c>
      <c r="L166" s="839">
        <v>6000</v>
      </c>
      <c r="M166" s="737">
        <v>3200</v>
      </c>
      <c r="N166" s="225"/>
      <c r="O166" s="225"/>
      <c r="P166" s="652">
        <v>2079983</v>
      </c>
      <c r="Q166" s="225"/>
      <c r="R166" s="225"/>
      <c r="S166" s="225"/>
      <c r="T166" s="225"/>
      <c r="U166" s="738"/>
      <c r="V166" s="738"/>
      <c r="W166" s="738"/>
      <c r="X166" s="738"/>
      <c r="Y166" s="738"/>
      <c r="Z166" s="738"/>
      <c r="AA166" s="738"/>
      <c r="AB166" s="738"/>
      <c r="AC166" s="738"/>
      <c r="AD166" s="738"/>
      <c r="AE166" s="225"/>
      <c r="AF166" s="225"/>
      <c r="AG166" s="732" t="s">
        <v>3107</v>
      </c>
      <c r="AH166" s="739"/>
      <c r="AI166" s="740" t="s">
        <v>3108</v>
      </c>
      <c r="AJ166" s="739" t="s">
        <v>1560</v>
      </c>
      <c r="AK166" s="739"/>
      <c r="AL166" s="741">
        <v>3212688</v>
      </c>
      <c r="AM166" s="243"/>
      <c r="AN166" s="236" t="s">
        <v>536</v>
      </c>
      <c r="AO166" s="236" t="s">
        <v>536</v>
      </c>
      <c r="AP166" s="236" t="s">
        <v>536</v>
      </c>
      <c r="AQ166" s="236" t="s">
        <v>536</v>
      </c>
      <c r="AR166" s="236" t="s">
        <v>536</v>
      </c>
      <c r="AS166" s="236" t="s">
        <v>536</v>
      </c>
      <c r="AT166" s="236" t="s">
        <v>536</v>
      </c>
      <c r="AU166" s="236" t="s">
        <v>536</v>
      </c>
      <c r="AV166" s="236" t="s">
        <v>536</v>
      </c>
      <c r="AW166" s="236" t="s">
        <v>536</v>
      </c>
      <c r="AX166" s="236" t="s">
        <v>536</v>
      </c>
      <c r="AY166" s="236" t="s">
        <v>536</v>
      </c>
      <c r="AZ166" s="237" t="s">
        <v>3114</v>
      </c>
      <c r="BA166" s="225"/>
    </row>
    <row r="167" spans="1:53" ht="255" x14ac:dyDescent="0.25">
      <c r="A167" s="200"/>
      <c r="B167" s="201"/>
      <c r="C167" s="967"/>
      <c r="D167" s="967"/>
      <c r="E167" s="103"/>
      <c r="F167" s="103" t="s">
        <v>3353</v>
      </c>
      <c r="G167" s="649" t="s">
        <v>3354</v>
      </c>
      <c r="H167" s="651" t="s">
        <v>3355</v>
      </c>
      <c r="I167" s="651" t="s">
        <v>3356</v>
      </c>
      <c r="J167" s="651">
        <v>526908</v>
      </c>
      <c r="K167" s="735" t="s">
        <v>526</v>
      </c>
      <c r="L167" s="839">
        <v>6000</v>
      </c>
      <c r="M167" s="737">
        <v>3200</v>
      </c>
      <c r="N167" s="246"/>
      <c r="O167" s="246"/>
      <c r="P167" s="661"/>
      <c r="Q167" s="246"/>
      <c r="R167" s="246"/>
      <c r="S167" s="246"/>
      <c r="T167" s="246"/>
      <c r="U167" s="744"/>
      <c r="V167" s="744"/>
      <c r="W167" s="744"/>
      <c r="X167" s="744"/>
      <c r="Y167" s="744"/>
      <c r="Z167" s="744"/>
      <c r="AA167" s="744"/>
      <c r="AB167" s="744"/>
      <c r="AC167" s="744"/>
      <c r="AD167" s="744"/>
      <c r="AE167" s="246"/>
      <c r="AF167" s="246"/>
      <c r="AG167" s="733" t="s">
        <v>3357</v>
      </c>
      <c r="AH167" s="745"/>
      <c r="AI167" s="746" t="s">
        <v>3118</v>
      </c>
      <c r="AJ167" s="745" t="s">
        <v>1460</v>
      </c>
      <c r="AK167" s="840">
        <v>1249</v>
      </c>
      <c r="AL167" s="741">
        <v>14500000</v>
      </c>
      <c r="AM167" s="248"/>
      <c r="AN167" s="236" t="s">
        <v>536</v>
      </c>
      <c r="AO167" s="236" t="s">
        <v>536</v>
      </c>
      <c r="AP167" s="236" t="s">
        <v>536</v>
      </c>
      <c r="AQ167" s="236" t="s">
        <v>536</v>
      </c>
      <c r="AR167" s="236" t="s">
        <v>536</v>
      </c>
      <c r="AS167" s="236" t="s">
        <v>536</v>
      </c>
      <c r="AT167" s="236" t="s">
        <v>536</v>
      </c>
      <c r="AU167" s="236" t="s">
        <v>536</v>
      </c>
      <c r="AV167" s="236" t="s">
        <v>536</v>
      </c>
      <c r="AW167" s="236" t="s">
        <v>536</v>
      </c>
      <c r="AX167" s="236" t="s">
        <v>536</v>
      </c>
      <c r="AY167" s="236" t="s">
        <v>536</v>
      </c>
      <c r="AZ167" s="237" t="s">
        <v>3114</v>
      </c>
      <c r="BA167" s="246"/>
    </row>
    <row r="168" spans="1:53" x14ac:dyDescent="0.25">
      <c r="A168" s="664"/>
      <c r="B168" s="665"/>
      <c r="C168" s="967"/>
      <c r="D168" s="967"/>
      <c r="E168" s="703"/>
      <c r="F168" s="665"/>
      <c r="G168" s="709"/>
      <c r="H168" s="666"/>
      <c r="I168" s="666"/>
      <c r="J168" s="666"/>
      <c r="K168" s="748"/>
      <c r="L168" s="841"/>
      <c r="M168" s="750"/>
      <c r="N168" s="751"/>
      <c r="O168" s="751"/>
      <c r="P168" s="667"/>
      <c r="Q168" s="751"/>
      <c r="R168" s="751"/>
      <c r="S168" s="751"/>
      <c r="T168" s="751"/>
      <c r="U168" s="752"/>
      <c r="V168" s="752"/>
      <c r="W168" s="752"/>
      <c r="X168" s="752"/>
      <c r="Y168" s="752"/>
      <c r="Z168" s="752"/>
      <c r="AA168" s="752"/>
      <c r="AB168" s="752"/>
      <c r="AC168" s="752"/>
      <c r="AD168" s="752"/>
      <c r="AE168" s="751"/>
      <c r="AF168" s="751"/>
      <c r="AG168" s="753"/>
      <c r="AH168" s="754"/>
      <c r="AI168" s="755"/>
      <c r="AJ168" s="754"/>
      <c r="AK168" s="754"/>
      <c r="AL168" s="767"/>
      <c r="AM168" s="751"/>
      <c r="AN168" s="751"/>
      <c r="AO168" s="751"/>
      <c r="AP168" s="751"/>
      <c r="AQ168" s="751"/>
      <c r="AR168" s="751"/>
      <c r="AS168" s="751"/>
      <c r="AT168" s="751"/>
      <c r="AU168" s="751"/>
      <c r="AV168" s="751"/>
      <c r="AW168" s="751"/>
      <c r="AX168" s="751"/>
      <c r="AY168" s="751"/>
      <c r="AZ168" s="751"/>
      <c r="BA168" s="751"/>
    </row>
    <row r="169" spans="1:53" ht="255" x14ac:dyDescent="0.25">
      <c r="A169" s="202" t="s">
        <v>1245</v>
      </c>
      <c r="B169" s="204" t="s">
        <v>3099</v>
      </c>
      <c r="C169" s="967"/>
      <c r="D169" s="967"/>
      <c r="E169" s="103"/>
      <c r="F169" s="204" t="s">
        <v>3353</v>
      </c>
      <c r="G169" s="649" t="s">
        <v>3354</v>
      </c>
      <c r="H169" s="670" t="s">
        <v>3358</v>
      </c>
      <c r="I169" s="670" t="s">
        <v>3359</v>
      </c>
      <c r="J169" s="670">
        <v>390845</v>
      </c>
      <c r="K169" s="758" t="s">
        <v>526</v>
      </c>
      <c r="L169" s="842">
        <v>25000</v>
      </c>
      <c r="M169" s="760">
        <v>18000</v>
      </c>
      <c r="N169" s="266"/>
      <c r="O169" s="266"/>
      <c r="P169" s="671">
        <v>7543176</v>
      </c>
      <c r="Q169" s="266"/>
      <c r="R169" s="266"/>
      <c r="S169" s="266"/>
      <c r="T169" s="266"/>
      <c r="U169" s="761"/>
      <c r="V169" s="761"/>
      <c r="W169" s="761"/>
      <c r="X169" s="761"/>
      <c r="Y169" s="761"/>
      <c r="Z169" s="761"/>
      <c r="AA169" s="761"/>
      <c r="AB169" s="761"/>
      <c r="AC169" s="761"/>
      <c r="AD169" s="761"/>
      <c r="AE169" s="266"/>
      <c r="AF169" s="266"/>
      <c r="AG169" s="653" t="s">
        <v>3136</v>
      </c>
      <c r="AH169" s="762"/>
      <c r="AI169" s="763" t="s">
        <v>3133</v>
      </c>
      <c r="AJ169" s="762" t="s">
        <v>1560</v>
      </c>
      <c r="AK169" s="762">
        <v>4500</v>
      </c>
      <c r="AL169" s="843">
        <v>6409487</v>
      </c>
      <c r="AM169" s="764"/>
      <c r="AN169" s="236" t="s">
        <v>536</v>
      </c>
      <c r="AO169" s="236" t="s">
        <v>536</v>
      </c>
      <c r="AP169" s="236" t="s">
        <v>536</v>
      </c>
      <c r="AQ169" s="236" t="s">
        <v>536</v>
      </c>
      <c r="AR169" s="236" t="s">
        <v>536</v>
      </c>
      <c r="AS169" s="236" t="s">
        <v>536</v>
      </c>
      <c r="AT169" s="236" t="s">
        <v>536</v>
      </c>
      <c r="AU169" s="236" t="s">
        <v>536</v>
      </c>
      <c r="AV169" s="236" t="s">
        <v>536</v>
      </c>
      <c r="AW169" s="236" t="s">
        <v>536</v>
      </c>
      <c r="AX169" s="236" t="s">
        <v>536</v>
      </c>
      <c r="AY169" s="236" t="s">
        <v>536</v>
      </c>
      <c r="AZ169" s="237" t="s">
        <v>3114</v>
      </c>
      <c r="BA169" s="266"/>
    </row>
    <row r="170" spans="1:53" ht="255" x14ac:dyDescent="0.25">
      <c r="A170" s="678"/>
      <c r="B170" s="213"/>
      <c r="C170" s="199"/>
      <c r="D170" s="199"/>
      <c r="E170" s="199"/>
      <c r="F170" s="204" t="s">
        <v>3353</v>
      </c>
      <c r="G170" s="649" t="s">
        <v>3354</v>
      </c>
      <c r="H170" s="670" t="s">
        <v>3358</v>
      </c>
      <c r="I170" s="670" t="s">
        <v>3359</v>
      </c>
      <c r="J170" s="670">
        <v>390845</v>
      </c>
      <c r="K170" s="758" t="s">
        <v>526</v>
      </c>
      <c r="L170" s="842">
        <v>25000</v>
      </c>
      <c r="M170" s="760">
        <v>18000</v>
      </c>
      <c r="N170" s="770"/>
      <c r="O170" s="770"/>
      <c r="P170" s="679"/>
      <c r="Q170" s="770"/>
      <c r="R170" s="770"/>
      <c r="S170" s="770"/>
      <c r="T170" s="770"/>
      <c r="U170" s="771"/>
      <c r="V170" s="771"/>
      <c r="W170" s="771"/>
      <c r="X170" s="771"/>
      <c r="Y170" s="771"/>
      <c r="Z170" s="771"/>
      <c r="AA170" s="771"/>
      <c r="AB170" s="771"/>
      <c r="AC170" s="771"/>
      <c r="AD170" s="771"/>
      <c r="AE170" s="770"/>
      <c r="AF170" s="770"/>
      <c r="AG170" s="653" t="s">
        <v>3360</v>
      </c>
      <c r="AH170" s="739"/>
      <c r="AI170" s="740" t="s">
        <v>3140</v>
      </c>
      <c r="AJ170" s="739" t="s">
        <v>1560</v>
      </c>
      <c r="AK170" s="739"/>
      <c r="AL170" s="741">
        <v>3088986</v>
      </c>
      <c r="AM170" s="243"/>
      <c r="AN170" s="236" t="s">
        <v>536</v>
      </c>
      <c r="AO170" s="236" t="s">
        <v>536</v>
      </c>
      <c r="AP170" s="236" t="s">
        <v>536</v>
      </c>
      <c r="AQ170" s="236" t="s">
        <v>536</v>
      </c>
      <c r="AR170" s="236" t="s">
        <v>536</v>
      </c>
      <c r="AS170" s="236" t="s">
        <v>536</v>
      </c>
      <c r="AT170" s="236" t="s">
        <v>536</v>
      </c>
      <c r="AU170" s="236" t="s">
        <v>536</v>
      </c>
      <c r="AV170" s="236" t="s">
        <v>536</v>
      </c>
      <c r="AW170" s="236" t="s">
        <v>536</v>
      </c>
      <c r="AX170" s="236" t="s">
        <v>536</v>
      </c>
      <c r="AY170" s="236" t="s">
        <v>536</v>
      </c>
      <c r="AZ170" s="237" t="s">
        <v>3114</v>
      </c>
      <c r="BA170" s="770"/>
    </row>
    <row r="171" spans="1:53" ht="255" x14ac:dyDescent="0.25">
      <c r="A171" s="678"/>
      <c r="B171" s="213"/>
      <c r="C171" s="199"/>
      <c r="D171" s="199"/>
      <c r="E171" s="199"/>
      <c r="F171" s="204" t="s">
        <v>3353</v>
      </c>
      <c r="G171" s="649" t="s">
        <v>3354</v>
      </c>
      <c r="H171" s="670" t="s">
        <v>3358</v>
      </c>
      <c r="I171" s="670" t="s">
        <v>3359</v>
      </c>
      <c r="J171" s="670">
        <v>390845</v>
      </c>
      <c r="K171" s="758" t="s">
        <v>526</v>
      </c>
      <c r="L171" s="842">
        <v>25000</v>
      </c>
      <c r="M171" s="760">
        <v>18000</v>
      </c>
      <c r="N171" s="770"/>
      <c r="O171" s="770"/>
      <c r="P171" s="679"/>
      <c r="Q171" s="770"/>
      <c r="R171" s="770"/>
      <c r="S171" s="770"/>
      <c r="T171" s="770"/>
      <c r="U171" s="771"/>
      <c r="V171" s="771"/>
      <c r="W171" s="771"/>
      <c r="X171" s="771"/>
      <c r="Y171" s="771"/>
      <c r="Z171" s="771"/>
      <c r="AA171" s="771"/>
      <c r="AB171" s="771"/>
      <c r="AC171" s="771"/>
      <c r="AD171" s="771"/>
      <c r="AE171" s="770"/>
      <c r="AF171" s="770"/>
      <c r="AG171" s="684" t="s">
        <v>3361</v>
      </c>
      <c r="AH171" s="739"/>
      <c r="AI171" s="740" t="s">
        <v>3144</v>
      </c>
      <c r="AJ171" s="739" t="s">
        <v>1560</v>
      </c>
      <c r="AK171" s="844">
        <v>2488</v>
      </c>
      <c r="AL171" s="741">
        <v>677316</v>
      </c>
      <c r="AM171" s="243"/>
      <c r="AN171" s="236" t="s">
        <v>536</v>
      </c>
      <c r="AO171" s="236" t="s">
        <v>536</v>
      </c>
      <c r="AP171" s="236" t="s">
        <v>536</v>
      </c>
      <c r="AQ171" s="236" t="s">
        <v>536</v>
      </c>
      <c r="AR171" s="236" t="s">
        <v>536</v>
      </c>
      <c r="AS171" s="236" t="s">
        <v>536</v>
      </c>
      <c r="AT171" s="236" t="s">
        <v>536</v>
      </c>
      <c r="AU171" s="236" t="s">
        <v>536</v>
      </c>
      <c r="AV171" s="236" t="s">
        <v>536</v>
      </c>
      <c r="AW171" s="236" t="s">
        <v>536</v>
      </c>
      <c r="AX171" s="236" t="s">
        <v>536</v>
      </c>
      <c r="AY171" s="236" t="s">
        <v>536</v>
      </c>
      <c r="AZ171" s="237" t="s">
        <v>3114</v>
      </c>
      <c r="BA171" s="770"/>
    </row>
    <row r="172" spans="1:53" ht="255" x14ac:dyDescent="0.25">
      <c r="A172" s="678"/>
      <c r="B172" s="213"/>
      <c r="C172" s="199"/>
      <c r="D172" s="199"/>
      <c r="E172" s="199"/>
      <c r="F172" s="204" t="s">
        <v>3353</v>
      </c>
      <c r="G172" s="649" t="s">
        <v>3354</v>
      </c>
      <c r="H172" s="670" t="s">
        <v>3358</v>
      </c>
      <c r="I172" s="670" t="s">
        <v>3359</v>
      </c>
      <c r="J172" s="670">
        <v>390845</v>
      </c>
      <c r="K172" s="758" t="s">
        <v>526</v>
      </c>
      <c r="L172" s="842">
        <v>25000</v>
      </c>
      <c r="M172" s="760">
        <v>18000</v>
      </c>
      <c r="N172" s="770"/>
      <c r="O172" s="770"/>
      <c r="P172" s="679"/>
      <c r="Q172" s="770"/>
      <c r="R172" s="770"/>
      <c r="S172" s="770"/>
      <c r="T172" s="770"/>
      <c r="U172" s="771"/>
      <c r="V172" s="771"/>
      <c r="W172" s="771"/>
      <c r="X172" s="771"/>
      <c r="Y172" s="771"/>
      <c r="Z172" s="771"/>
      <c r="AA172" s="771"/>
      <c r="AB172" s="771"/>
      <c r="AC172" s="771"/>
      <c r="AD172" s="771"/>
      <c r="AE172" s="770"/>
      <c r="AF172" s="770"/>
      <c r="AG172" s="684" t="s">
        <v>3362</v>
      </c>
      <c r="AH172" s="739"/>
      <c r="AI172" s="740" t="s">
        <v>3131</v>
      </c>
      <c r="AJ172" s="739" t="s">
        <v>1560</v>
      </c>
      <c r="AK172" s="845">
        <f>415</f>
        <v>415</v>
      </c>
      <c r="AL172" s="741">
        <v>2682372</v>
      </c>
      <c r="AM172" s="243"/>
      <c r="AN172" s="236" t="s">
        <v>536</v>
      </c>
      <c r="AO172" s="236" t="s">
        <v>536</v>
      </c>
      <c r="AP172" s="236" t="s">
        <v>536</v>
      </c>
      <c r="AQ172" s="236" t="s">
        <v>536</v>
      </c>
      <c r="AR172" s="236" t="s">
        <v>536</v>
      </c>
      <c r="AS172" s="236" t="s">
        <v>536</v>
      </c>
      <c r="AT172" s="236" t="s">
        <v>536</v>
      </c>
      <c r="AU172" s="236" t="s">
        <v>536</v>
      </c>
      <c r="AV172" s="236" t="s">
        <v>536</v>
      </c>
      <c r="AW172" s="236" t="s">
        <v>536</v>
      </c>
      <c r="AX172" s="236" t="s">
        <v>536</v>
      </c>
      <c r="AY172" s="236" t="s">
        <v>536</v>
      </c>
      <c r="AZ172" s="237" t="s">
        <v>3114</v>
      </c>
      <c r="BA172" s="770"/>
    </row>
    <row r="173" spans="1:53" ht="255" x14ac:dyDescent="0.25">
      <c r="A173" s="678"/>
      <c r="B173" s="213"/>
      <c r="C173" s="199"/>
      <c r="D173" s="199"/>
      <c r="E173" s="199"/>
      <c r="F173" s="204" t="s">
        <v>3353</v>
      </c>
      <c r="G173" s="649" t="s">
        <v>3354</v>
      </c>
      <c r="H173" s="670" t="s">
        <v>3358</v>
      </c>
      <c r="I173" s="670" t="s">
        <v>3359</v>
      </c>
      <c r="J173" s="670">
        <v>390845</v>
      </c>
      <c r="K173" s="758" t="s">
        <v>526</v>
      </c>
      <c r="L173" s="842">
        <v>25000</v>
      </c>
      <c r="M173" s="760">
        <v>18000</v>
      </c>
      <c r="N173" s="770"/>
      <c r="O173" s="770"/>
      <c r="P173" s="679"/>
      <c r="Q173" s="770"/>
      <c r="R173" s="770"/>
      <c r="S173" s="770"/>
      <c r="T173" s="770"/>
      <c r="U173" s="771"/>
      <c r="V173" s="771"/>
      <c r="W173" s="771"/>
      <c r="X173" s="771"/>
      <c r="Y173" s="771"/>
      <c r="Z173" s="771"/>
      <c r="AA173" s="771"/>
      <c r="AB173" s="771"/>
      <c r="AC173" s="771"/>
      <c r="AD173" s="771"/>
      <c r="AE173" s="770"/>
      <c r="AF173" s="770"/>
      <c r="AG173" s="684" t="s">
        <v>3146</v>
      </c>
      <c r="AH173" s="739"/>
      <c r="AI173" s="740" t="s">
        <v>3144</v>
      </c>
      <c r="AJ173" s="739" t="s">
        <v>1560</v>
      </c>
      <c r="AK173" s="846">
        <v>1278</v>
      </c>
      <c r="AL173" s="766">
        <v>1278000</v>
      </c>
      <c r="AM173" s="243"/>
      <c r="AN173" s="236" t="s">
        <v>536</v>
      </c>
      <c r="AO173" s="236" t="s">
        <v>536</v>
      </c>
      <c r="AP173" s="236" t="s">
        <v>536</v>
      </c>
      <c r="AQ173" s="236" t="s">
        <v>536</v>
      </c>
      <c r="AR173" s="236" t="s">
        <v>536</v>
      </c>
      <c r="AS173" s="236" t="s">
        <v>536</v>
      </c>
      <c r="AT173" s="236" t="s">
        <v>536</v>
      </c>
      <c r="AU173" s="236" t="s">
        <v>536</v>
      </c>
      <c r="AV173" s="236" t="s">
        <v>536</v>
      </c>
      <c r="AW173" s="236" t="s">
        <v>536</v>
      </c>
      <c r="AX173" s="236" t="s">
        <v>536</v>
      </c>
      <c r="AY173" s="236" t="s">
        <v>536</v>
      </c>
      <c r="AZ173" s="237" t="s">
        <v>3114</v>
      </c>
      <c r="BA173" s="770"/>
    </row>
    <row r="174" spans="1:53" ht="255" x14ac:dyDescent="0.25">
      <c r="A174" s="678"/>
      <c r="B174" s="213"/>
      <c r="C174" s="199"/>
      <c r="D174" s="199"/>
      <c r="E174" s="199"/>
      <c r="F174" s="204" t="s">
        <v>3353</v>
      </c>
      <c r="G174" s="649" t="s">
        <v>3354</v>
      </c>
      <c r="H174" s="670" t="s">
        <v>3358</v>
      </c>
      <c r="I174" s="670" t="s">
        <v>3359</v>
      </c>
      <c r="J174" s="670">
        <v>390845</v>
      </c>
      <c r="K174" s="758" t="s">
        <v>526</v>
      </c>
      <c r="L174" s="842">
        <v>25000</v>
      </c>
      <c r="M174" s="760">
        <v>18000</v>
      </c>
      <c r="N174" s="770"/>
      <c r="O174" s="770"/>
      <c r="P174" s="679"/>
      <c r="Q174" s="770"/>
      <c r="R174" s="770"/>
      <c r="S174" s="770"/>
      <c r="T174" s="770"/>
      <c r="U174" s="771"/>
      <c r="V174" s="771"/>
      <c r="W174" s="771"/>
      <c r="X174" s="771"/>
      <c r="Y174" s="771"/>
      <c r="Z174" s="771"/>
      <c r="AA174" s="771"/>
      <c r="AB174" s="771"/>
      <c r="AC174" s="771"/>
      <c r="AD174" s="771"/>
      <c r="AE174" s="770"/>
      <c r="AF174" s="770"/>
      <c r="AG174" s="732" t="s">
        <v>3147</v>
      </c>
      <c r="AH174" s="739"/>
      <c r="AI174" s="740" t="s">
        <v>3127</v>
      </c>
      <c r="AJ174" s="739" t="s">
        <v>1551</v>
      </c>
      <c r="AK174" s="846">
        <v>109</v>
      </c>
      <c r="AL174" s="766">
        <v>2200000</v>
      </c>
      <c r="AM174" s="243"/>
      <c r="AN174" s="236" t="s">
        <v>536</v>
      </c>
      <c r="AO174" s="236" t="s">
        <v>536</v>
      </c>
      <c r="AP174" s="236" t="s">
        <v>536</v>
      </c>
      <c r="AQ174" s="236" t="s">
        <v>536</v>
      </c>
      <c r="AR174" s="236" t="s">
        <v>536</v>
      </c>
      <c r="AS174" s="236" t="s">
        <v>536</v>
      </c>
      <c r="AT174" s="236" t="s">
        <v>536</v>
      </c>
      <c r="AU174" s="236" t="s">
        <v>536</v>
      </c>
      <c r="AV174" s="236" t="s">
        <v>536</v>
      </c>
      <c r="AW174" s="236" t="s">
        <v>536</v>
      </c>
      <c r="AX174" s="236" t="s">
        <v>536</v>
      </c>
      <c r="AY174" s="236" t="s">
        <v>536</v>
      </c>
      <c r="AZ174" s="237" t="s">
        <v>3114</v>
      </c>
      <c r="BA174" s="770"/>
    </row>
    <row r="175" spans="1:53" ht="255" x14ac:dyDescent="0.25">
      <c r="A175" s="200"/>
      <c r="B175" s="201"/>
      <c r="C175" s="199"/>
      <c r="D175" s="199"/>
      <c r="E175" s="199"/>
      <c r="F175" s="204" t="s">
        <v>3353</v>
      </c>
      <c r="G175" s="649" t="s">
        <v>3354</v>
      </c>
      <c r="H175" s="670" t="s">
        <v>3358</v>
      </c>
      <c r="I175" s="670" t="s">
        <v>3359</v>
      </c>
      <c r="J175" s="670">
        <v>390845</v>
      </c>
      <c r="K175" s="758" t="s">
        <v>526</v>
      </c>
      <c r="L175" s="842">
        <v>25000</v>
      </c>
      <c r="M175" s="760">
        <v>18000</v>
      </c>
      <c r="N175" s="246"/>
      <c r="O175" s="246"/>
      <c r="P175" s="661"/>
      <c r="Q175" s="246"/>
      <c r="R175" s="246"/>
      <c r="S175" s="246"/>
      <c r="T175" s="246"/>
      <c r="U175" s="744"/>
      <c r="V175" s="744"/>
      <c r="W175" s="744"/>
      <c r="X175" s="744"/>
      <c r="Y175" s="744"/>
      <c r="Z175" s="744"/>
      <c r="AA175" s="744"/>
      <c r="AB175" s="744"/>
      <c r="AC175" s="744"/>
      <c r="AD175" s="744"/>
      <c r="AE175" s="246"/>
      <c r="AF175" s="246"/>
      <c r="AG175" s="658" t="s">
        <v>3363</v>
      </c>
      <c r="AH175" s="745"/>
      <c r="AI175" s="746" t="s">
        <v>3364</v>
      </c>
      <c r="AJ175" s="745" t="s">
        <v>1460</v>
      </c>
      <c r="AK175" s="844">
        <v>7481</v>
      </c>
      <c r="AL175" s="741">
        <v>86168321</v>
      </c>
      <c r="AM175" s="248"/>
      <c r="AN175" s="236" t="s">
        <v>536</v>
      </c>
      <c r="AO175" s="236" t="s">
        <v>536</v>
      </c>
      <c r="AP175" s="236" t="s">
        <v>536</v>
      </c>
      <c r="AQ175" s="236" t="s">
        <v>536</v>
      </c>
      <c r="AR175" s="236" t="s">
        <v>536</v>
      </c>
      <c r="AS175" s="236" t="s">
        <v>536</v>
      </c>
      <c r="AT175" s="236" t="s">
        <v>536</v>
      </c>
      <c r="AU175" s="236" t="s">
        <v>536</v>
      </c>
      <c r="AV175" s="236" t="s">
        <v>536</v>
      </c>
      <c r="AW175" s="236" t="s">
        <v>536</v>
      </c>
      <c r="AX175" s="236" t="s">
        <v>536</v>
      </c>
      <c r="AY175" s="236" t="s">
        <v>536</v>
      </c>
      <c r="AZ175" s="237" t="s">
        <v>3114</v>
      </c>
      <c r="BA175" s="246"/>
    </row>
    <row r="176" spans="1:53" x14ac:dyDescent="0.25">
      <c r="A176" s="664"/>
      <c r="B176" s="665"/>
      <c r="C176" s="698"/>
      <c r="D176" s="698"/>
      <c r="E176" s="698"/>
      <c r="F176" s="665"/>
      <c r="G176" s="709"/>
      <c r="H176" s="666"/>
      <c r="I176" s="666"/>
      <c r="J176" s="666"/>
      <c r="K176" s="748"/>
      <c r="L176" s="841"/>
      <c r="M176" s="750"/>
      <c r="N176" s="751"/>
      <c r="O176" s="751"/>
      <c r="P176" s="667"/>
      <c r="Q176" s="751"/>
      <c r="R176" s="751"/>
      <c r="S176" s="751"/>
      <c r="T176" s="751"/>
      <c r="U176" s="752"/>
      <c r="V176" s="752"/>
      <c r="W176" s="752"/>
      <c r="X176" s="752"/>
      <c r="Y176" s="752"/>
      <c r="Z176" s="752"/>
      <c r="AA176" s="752"/>
      <c r="AB176" s="752"/>
      <c r="AC176" s="752"/>
      <c r="AD176" s="752"/>
      <c r="AE176" s="751"/>
      <c r="AF176" s="751"/>
      <c r="AG176" s="753"/>
      <c r="AH176" s="754"/>
      <c r="AI176" s="755"/>
      <c r="AJ176" s="754"/>
      <c r="AK176" s="754"/>
      <c r="AL176" s="767"/>
      <c r="AM176" s="751"/>
      <c r="AN176" s="751"/>
      <c r="AO176" s="751"/>
      <c r="AP176" s="751"/>
      <c r="AQ176" s="751"/>
      <c r="AR176" s="751"/>
      <c r="AS176" s="751"/>
      <c r="AT176" s="751"/>
      <c r="AU176" s="751"/>
      <c r="AV176" s="751"/>
      <c r="AW176" s="751"/>
      <c r="AX176" s="751"/>
      <c r="AY176" s="751"/>
      <c r="AZ176" s="751"/>
      <c r="BA176" s="751"/>
    </row>
    <row r="177" spans="1:53" ht="280.5" x14ac:dyDescent="0.25">
      <c r="A177" s="202" t="s">
        <v>1245</v>
      </c>
      <c r="B177" s="204" t="s">
        <v>3099</v>
      </c>
      <c r="C177" s="978" t="s">
        <v>3365</v>
      </c>
      <c r="D177" s="978" t="s">
        <v>3366</v>
      </c>
      <c r="E177" s="978">
        <v>0.47</v>
      </c>
      <c r="F177" s="204" t="s">
        <v>3353</v>
      </c>
      <c r="G177" s="649" t="s">
        <v>3354</v>
      </c>
      <c r="H177" s="670" t="s">
        <v>3367</v>
      </c>
      <c r="I177" s="670" t="s">
        <v>3368</v>
      </c>
      <c r="J177" s="670">
        <v>490054</v>
      </c>
      <c r="K177" s="758" t="s">
        <v>526</v>
      </c>
      <c r="L177" s="842">
        <v>4500</v>
      </c>
      <c r="M177" s="760">
        <v>1150</v>
      </c>
      <c r="N177" s="266"/>
      <c r="O177" s="266"/>
      <c r="P177" s="671">
        <v>2416000</v>
      </c>
      <c r="Q177" s="266"/>
      <c r="R177" s="266"/>
      <c r="S177" s="266"/>
      <c r="T177" s="266"/>
      <c r="U177" s="761"/>
      <c r="V177" s="761"/>
      <c r="W177" s="761"/>
      <c r="X177" s="761"/>
      <c r="Y177" s="761"/>
      <c r="Z177" s="761"/>
      <c r="AA177" s="761"/>
      <c r="AB177" s="761"/>
      <c r="AC177" s="761"/>
      <c r="AD177" s="761"/>
      <c r="AE177" s="266"/>
      <c r="AF177" s="266"/>
      <c r="AG177" s="653" t="s">
        <v>3369</v>
      </c>
      <c r="AH177" s="762"/>
      <c r="AI177" s="763" t="s">
        <v>3190</v>
      </c>
      <c r="AJ177" s="762" t="s">
        <v>1460</v>
      </c>
      <c r="AK177" s="762">
        <v>4205</v>
      </c>
      <c r="AL177" s="741">
        <v>4137376</v>
      </c>
      <c r="AM177" s="764"/>
      <c r="AN177" s="236" t="s">
        <v>536</v>
      </c>
      <c r="AO177" s="236" t="s">
        <v>536</v>
      </c>
      <c r="AP177" s="236" t="s">
        <v>536</v>
      </c>
      <c r="AQ177" s="236" t="s">
        <v>536</v>
      </c>
      <c r="AR177" s="236" t="s">
        <v>536</v>
      </c>
      <c r="AS177" s="236" t="s">
        <v>536</v>
      </c>
      <c r="AT177" s="236" t="s">
        <v>536</v>
      </c>
      <c r="AU177" s="236" t="s">
        <v>536</v>
      </c>
      <c r="AV177" s="236" t="s">
        <v>536</v>
      </c>
      <c r="AW177" s="236" t="s">
        <v>536</v>
      </c>
      <c r="AX177" s="236" t="s">
        <v>536</v>
      </c>
      <c r="AY177" s="236" t="s">
        <v>536</v>
      </c>
      <c r="AZ177" s="237" t="s">
        <v>3114</v>
      </c>
      <c r="BA177" s="266"/>
    </row>
    <row r="178" spans="1:53" ht="255" x14ac:dyDescent="0.25">
      <c r="A178" s="678"/>
      <c r="B178" s="213"/>
      <c r="C178" s="979"/>
      <c r="D178" s="979"/>
      <c r="E178" s="979"/>
      <c r="F178" s="204" t="s">
        <v>3353</v>
      </c>
      <c r="G178" s="649" t="s">
        <v>3354</v>
      </c>
      <c r="H178" s="670" t="s">
        <v>3367</v>
      </c>
      <c r="I178" s="670" t="s">
        <v>3368</v>
      </c>
      <c r="J178" s="670">
        <v>490054</v>
      </c>
      <c r="K178" s="758" t="s">
        <v>526</v>
      </c>
      <c r="L178" s="842">
        <v>4500</v>
      </c>
      <c r="M178" s="760">
        <v>1150</v>
      </c>
      <c r="N178" s="770"/>
      <c r="O178" s="770"/>
      <c r="P178" s="679"/>
      <c r="Q178" s="770"/>
      <c r="R178" s="770"/>
      <c r="S178" s="770"/>
      <c r="T178" s="770"/>
      <c r="U178" s="771"/>
      <c r="V178" s="771"/>
      <c r="W178" s="771"/>
      <c r="X178" s="771"/>
      <c r="Y178" s="771"/>
      <c r="Z178" s="771"/>
      <c r="AA178" s="771"/>
      <c r="AB178" s="771"/>
      <c r="AC178" s="771"/>
      <c r="AD178" s="771"/>
      <c r="AE178" s="770"/>
      <c r="AF178" s="770"/>
      <c r="AG178" s="653" t="s">
        <v>3181</v>
      </c>
      <c r="AH178" s="772"/>
      <c r="AI178" s="773" t="s">
        <v>3182</v>
      </c>
      <c r="AJ178" s="772" t="s">
        <v>1560</v>
      </c>
      <c r="AK178" s="772">
        <v>1000</v>
      </c>
      <c r="AL178" s="824">
        <v>1988275</v>
      </c>
      <c r="AM178" s="778"/>
      <c r="AN178" s="236" t="s">
        <v>536</v>
      </c>
      <c r="AO178" s="236" t="s">
        <v>536</v>
      </c>
      <c r="AP178" s="236" t="s">
        <v>536</v>
      </c>
      <c r="AQ178" s="236" t="s">
        <v>536</v>
      </c>
      <c r="AR178" s="236" t="s">
        <v>536</v>
      </c>
      <c r="AS178" s="236" t="s">
        <v>536</v>
      </c>
      <c r="AT178" s="236" t="s">
        <v>536</v>
      </c>
      <c r="AU178" s="236" t="s">
        <v>536</v>
      </c>
      <c r="AV178" s="236" t="s">
        <v>536</v>
      </c>
      <c r="AW178" s="236" t="s">
        <v>536</v>
      </c>
      <c r="AX178" s="236" t="s">
        <v>536</v>
      </c>
      <c r="AY178" s="236" t="s">
        <v>536</v>
      </c>
      <c r="AZ178" s="237" t="s">
        <v>3114</v>
      </c>
      <c r="BA178" s="770"/>
    </row>
    <row r="179" spans="1:53" x14ac:dyDescent="0.25">
      <c r="A179" s="664"/>
      <c r="B179" s="665"/>
      <c r="C179" s="979"/>
      <c r="D179" s="979"/>
      <c r="E179" s="979"/>
      <c r="F179" s="665"/>
      <c r="G179" s="709"/>
      <c r="H179" s="666"/>
      <c r="I179" s="666"/>
      <c r="J179" s="666"/>
      <c r="K179" s="748"/>
      <c r="L179" s="841"/>
      <c r="M179" s="750"/>
      <c r="N179" s="751"/>
      <c r="O179" s="751"/>
      <c r="P179" s="667"/>
      <c r="Q179" s="751"/>
      <c r="R179" s="751"/>
      <c r="S179" s="751"/>
      <c r="T179" s="751"/>
      <c r="U179" s="752"/>
      <c r="V179" s="752"/>
      <c r="W179" s="752"/>
      <c r="X179" s="752"/>
      <c r="Y179" s="752"/>
      <c r="Z179" s="752"/>
      <c r="AA179" s="752"/>
      <c r="AB179" s="752"/>
      <c r="AC179" s="752"/>
      <c r="AD179" s="752"/>
      <c r="AE179" s="751"/>
      <c r="AF179" s="751"/>
      <c r="AG179" s="753"/>
      <c r="AH179" s="754"/>
      <c r="AI179" s="755"/>
      <c r="AJ179" s="754"/>
      <c r="AK179" s="754"/>
      <c r="AL179" s="767"/>
      <c r="AM179" s="751"/>
      <c r="AN179" s="751"/>
      <c r="AO179" s="751"/>
      <c r="AP179" s="751"/>
      <c r="AQ179" s="751"/>
      <c r="AR179" s="751"/>
      <c r="AS179" s="751"/>
      <c r="AT179" s="751"/>
      <c r="AU179" s="751"/>
      <c r="AV179" s="751"/>
      <c r="AW179" s="751"/>
      <c r="AX179" s="751"/>
      <c r="AY179" s="751"/>
      <c r="AZ179" s="751"/>
      <c r="BA179" s="751"/>
    </row>
    <row r="180" spans="1:53" ht="255" x14ac:dyDescent="0.25">
      <c r="A180" s="202" t="s">
        <v>1245</v>
      </c>
      <c r="B180" s="204" t="s">
        <v>3099</v>
      </c>
      <c r="C180" s="980"/>
      <c r="D180" s="980"/>
      <c r="E180" s="980"/>
      <c r="F180" s="204" t="s">
        <v>3353</v>
      </c>
      <c r="G180" s="649" t="s">
        <v>3354</v>
      </c>
      <c r="H180" s="711" t="s">
        <v>3370</v>
      </c>
      <c r="I180" s="670" t="s">
        <v>3371</v>
      </c>
      <c r="J180" s="670">
        <v>157807</v>
      </c>
      <c r="K180" s="758" t="s">
        <v>526</v>
      </c>
      <c r="L180" s="842">
        <v>4000</v>
      </c>
      <c r="M180" s="760">
        <v>2500</v>
      </c>
      <c r="N180" s="266"/>
      <c r="O180" s="266"/>
      <c r="P180" s="671">
        <v>2200000</v>
      </c>
      <c r="Q180" s="266"/>
      <c r="R180" s="266"/>
      <c r="S180" s="266"/>
      <c r="T180" s="266"/>
      <c r="U180" s="761"/>
      <c r="V180" s="761"/>
      <c r="W180" s="761"/>
      <c r="X180" s="761"/>
      <c r="Y180" s="761"/>
      <c r="Z180" s="761"/>
      <c r="AA180" s="761"/>
      <c r="AB180" s="761"/>
      <c r="AC180" s="761"/>
      <c r="AD180" s="761"/>
      <c r="AE180" s="266"/>
      <c r="AF180" s="266"/>
      <c r="AG180" s="653" t="s">
        <v>3372</v>
      </c>
      <c r="AH180" s="762"/>
      <c r="AI180" s="763" t="s">
        <v>3373</v>
      </c>
      <c r="AJ180" s="762" t="s">
        <v>1560</v>
      </c>
      <c r="AK180" s="762">
        <v>340</v>
      </c>
      <c r="AL180" s="741">
        <v>675490</v>
      </c>
      <c r="AM180" s="764"/>
      <c r="AN180" s="236" t="s">
        <v>536</v>
      </c>
      <c r="AO180" s="236" t="s">
        <v>536</v>
      </c>
      <c r="AP180" s="236" t="s">
        <v>536</v>
      </c>
      <c r="AQ180" s="236" t="s">
        <v>536</v>
      </c>
      <c r="AR180" s="236" t="s">
        <v>536</v>
      </c>
      <c r="AS180" s="236" t="s">
        <v>536</v>
      </c>
      <c r="AT180" s="236" t="s">
        <v>536</v>
      </c>
      <c r="AU180" s="236" t="s">
        <v>536</v>
      </c>
      <c r="AV180" s="236" t="s">
        <v>536</v>
      </c>
      <c r="AW180" s="236" t="s">
        <v>536</v>
      </c>
      <c r="AX180" s="236" t="s">
        <v>536</v>
      </c>
      <c r="AY180" s="236" t="s">
        <v>536</v>
      </c>
      <c r="AZ180" s="237" t="s">
        <v>3114</v>
      </c>
      <c r="BA180" s="266"/>
    </row>
    <row r="181" spans="1:53" ht="255" x14ac:dyDescent="0.25">
      <c r="A181" s="107"/>
      <c r="B181" s="103"/>
      <c r="C181" s="106"/>
      <c r="D181" s="106"/>
      <c r="E181" s="106"/>
      <c r="F181" s="204" t="s">
        <v>3353</v>
      </c>
      <c r="G181" s="649" t="s">
        <v>3354</v>
      </c>
      <c r="H181" s="711" t="s">
        <v>3370</v>
      </c>
      <c r="I181" s="670" t="s">
        <v>3371</v>
      </c>
      <c r="J181" s="670">
        <v>157807</v>
      </c>
      <c r="K181" s="758" t="s">
        <v>526</v>
      </c>
      <c r="L181" s="842">
        <v>4000</v>
      </c>
      <c r="M181" s="760">
        <v>2500</v>
      </c>
      <c r="N181" s="225"/>
      <c r="O181" s="225"/>
      <c r="P181" s="652"/>
      <c r="Q181" s="225"/>
      <c r="R181" s="225"/>
      <c r="S181" s="225"/>
      <c r="T181" s="225"/>
      <c r="U181" s="738"/>
      <c r="V181" s="738"/>
      <c r="W181" s="738"/>
      <c r="X181" s="738"/>
      <c r="Y181" s="738"/>
      <c r="Z181" s="738"/>
      <c r="AA181" s="738"/>
      <c r="AB181" s="738"/>
      <c r="AC181" s="738"/>
      <c r="AD181" s="738"/>
      <c r="AE181" s="225"/>
      <c r="AF181" s="225"/>
      <c r="AG181" s="653" t="s">
        <v>3374</v>
      </c>
      <c r="AH181" s="739"/>
      <c r="AI181" s="740" t="s">
        <v>1559</v>
      </c>
      <c r="AJ181" s="739" t="s">
        <v>1560</v>
      </c>
      <c r="AK181" s="739">
        <v>1101</v>
      </c>
      <c r="AL181" s="741">
        <v>1208799</v>
      </c>
      <c r="AM181" s="243"/>
      <c r="AN181" s="236" t="s">
        <v>536</v>
      </c>
      <c r="AO181" s="236" t="s">
        <v>536</v>
      </c>
      <c r="AP181" s="236" t="s">
        <v>536</v>
      </c>
      <c r="AQ181" s="236" t="s">
        <v>536</v>
      </c>
      <c r="AR181" s="236" t="s">
        <v>536</v>
      </c>
      <c r="AS181" s="236" t="s">
        <v>536</v>
      </c>
      <c r="AT181" s="236" t="s">
        <v>536</v>
      </c>
      <c r="AU181" s="236" t="s">
        <v>536</v>
      </c>
      <c r="AV181" s="236" t="s">
        <v>536</v>
      </c>
      <c r="AW181" s="236" t="s">
        <v>536</v>
      </c>
      <c r="AX181" s="236" t="s">
        <v>536</v>
      </c>
      <c r="AY181" s="236" t="s">
        <v>536</v>
      </c>
      <c r="AZ181" s="237" t="s">
        <v>3114</v>
      </c>
      <c r="BA181" s="225"/>
    </row>
    <row r="182" spans="1:53" ht="255" x14ac:dyDescent="0.25">
      <c r="A182" s="107"/>
      <c r="B182" s="103"/>
      <c r="C182" s="106"/>
      <c r="D182" s="106"/>
      <c r="E182" s="106"/>
      <c r="F182" s="204" t="s">
        <v>3353</v>
      </c>
      <c r="G182" s="649" t="s">
        <v>3354</v>
      </c>
      <c r="H182" s="711" t="s">
        <v>3370</v>
      </c>
      <c r="I182" s="670" t="s">
        <v>3371</v>
      </c>
      <c r="J182" s="670">
        <v>157807</v>
      </c>
      <c r="K182" s="758" t="s">
        <v>526</v>
      </c>
      <c r="L182" s="842">
        <v>4000</v>
      </c>
      <c r="M182" s="760">
        <v>2500</v>
      </c>
      <c r="N182" s="225"/>
      <c r="O182" s="225"/>
      <c r="P182" s="652"/>
      <c r="Q182" s="225"/>
      <c r="R182" s="225"/>
      <c r="S182" s="225"/>
      <c r="T182" s="225"/>
      <c r="U182" s="738"/>
      <c r="V182" s="738"/>
      <c r="W182" s="738"/>
      <c r="X182" s="738"/>
      <c r="Y182" s="738"/>
      <c r="Z182" s="738"/>
      <c r="AA182" s="738"/>
      <c r="AB182" s="738"/>
      <c r="AC182" s="738"/>
      <c r="AD182" s="738"/>
      <c r="AE182" s="225"/>
      <c r="AF182" s="225"/>
      <c r="AG182" s="653" t="s">
        <v>3192</v>
      </c>
      <c r="AH182" s="739"/>
      <c r="AI182" s="740" t="s">
        <v>3193</v>
      </c>
      <c r="AJ182" s="739" t="s">
        <v>1539</v>
      </c>
      <c r="AK182" s="739">
        <v>125</v>
      </c>
      <c r="AL182" s="741">
        <v>1038048</v>
      </c>
      <c r="AM182" s="243"/>
      <c r="AN182" s="236" t="s">
        <v>536</v>
      </c>
      <c r="AO182" s="236" t="s">
        <v>536</v>
      </c>
      <c r="AP182" s="236" t="s">
        <v>536</v>
      </c>
      <c r="AQ182" s="236" t="s">
        <v>536</v>
      </c>
      <c r="AR182" s="236" t="s">
        <v>536</v>
      </c>
      <c r="AS182" s="236" t="s">
        <v>536</v>
      </c>
      <c r="AT182" s="236" t="s">
        <v>536</v>
      </c>
      <c r="AU182" s="236" t="s">
        <v>536</v>
      </c>
      <c r="AV182" s="236" t="s">
        <v>536</v>
      </c>
      <c r="AW182" s="236" t="s">
        <v>536</v>
      </c>
      <c r="AX182" s="236" t="s">
        <v>536</v>
      </c>
      <c r="AY182" s="236" t="s">
        <v>536</v>
      </c>
      <c r="AZ182" s="237" t="s">
        <v>3114</v>
      </c>
      <c r="BA182" s="225"/>
    </row>
    <row r="183" spans="1:53" ht="255" x14ac:dyDescent="0.25">
      <c r="A183" s="107"/>
      <c r="B183" s="103"/>
      <c r="C183" s="106"/>
      <c r="D183" s="106"/>
      <c r="E183" s="106"/>
      <c r="F183" s="204" t="s">
        <v>3353</v>
      </c>
      <c r="G183" s="651" t="s">
        <v>3354</v>
      </c>
      <c r="H183" s="723" t="s">
        <v>3370</v>
      </c>
      <c r="I183" s="670" t="s">
        <v>3371</v>
      </c>
      <c r="J183" s="670">
        <v>157807</v>
      </c>
      <c r="K183" s="758" t="s">
        <v>526</v>
      </c>
      <c r="L183" s="842">
        <v>4000</v>
      </c>
      <c r="M183" s="760">
        <v>2500</v>
      </c>
      <c r="N183" s="225"/>
      <c r="O183" s="225"/>
      <c r="P183" s="652"/>
      <c r="Q183" s="225"/>
      <c r="R183" s="225"/>
      <c r="S183" s="225"/>
      <c r="T183" s="225"/>
      <c r="U183" s="738"/>
      <c r="V183" s="738"/>
      <c r="W183" s="738"/>
      <c r="X183" s="738"/>
      <c r="Y183" s="738"/>
      <c r="Z183" s="738"/>
      <c r="AA183" s="738"/>
      <c r="AB183" s="738"/>
      <c r="AC183" s="738"/>
      <c r="AD183" s="738"/>
      <c r="AE183" s="225"/>
      <c r="AF183" s="225"/>
      <c r="AG183" s="653" t="s">
        <v>3194</v>
      </c>
      <c r="AH183" s="739"/>
      <c r="AI183" s="740" t="s">
        <v>3195</v>
      </c>
      <c r="AJ183" s="739" t="s">
        <v>1471</v>
      </c>
      <c r="AK183" s="739">
        <v>500</v>
      </c>
      <c r="AL183" s="741">
        <v>1466027</v>
      </c>
      <c r="AM183" s="243"/>
      <c r="AN183" s="236" t="s">
        <v>536</v>
      </c>
      <c r="AO183" s="236" t="s">
        <v>536</v>
      </c>
      <c r="AP183" s="236" t="s">
        <v>536</v>
      </c>
      <c r="AQ183" s="236" t="s">
        <v>536</v>
      </c>
      <c r="AR183" s="236" t="s">
        <v>536</v>
      </c>
      <c r="AS183" s="236" t="s">
        <v>536</v>
      </c>
      <c r="AT183" s="236" t="s">
        <v>536</v>
      </c>
      <c r="AU183" s="236" t="s">
        <v>536</v>
      </c>
      <c r="AV183" s="236" t="s">
        <v>536</v>
      </c>
      <c r="AW183" s="236" t="s">
        <v>536</v>
      </c>
      <c r="AX183" s="236" t="s">
        <v>536</v>
      </c>
      <c r="AY183" s="236" t="s">
        <v>536</v>
      </c>
      <c r="AZ183" s="237" t="s">
        <v>3114</v>
      </c>
      <c r="BA183" s="225"/>
    </row>
  </sheetData>
  <sheetProtection password="DFEF" sheet="1" objects="1" scenarios="1"/>
  <mergeCells count="46">
    <mergeCell ref="C177:C180"/>
    <mergeCell ref="D177:D180"/>
    <mergeCell ref="E177:E180"/>
    <mergeCell ref="C107:C117"/>
    <mergeCell ref="D107:D117"/>
    <mergeCell ref="C138:C162"/>
    <mergeCell ref="D138:D162"/>
    <mergeCell ref="C166:C169"/>
    <mergeCell ref="D166:D169"/>
    <mergeCell ref="AZ13:AZ14"/>
    <mergeCell ref="BA13:BA14"/>
    <mergeCell ref="C63:C64"/>
    <mergeCell ref="D63:D64"/>
    <mergeCell ref="E63:E64"/>
    <mergeCell ref="AL13:AL14"/>
    <mergeCell ref="AM13:AM14"/>
    <mergeCell ref="AN13:AY13"/>
    <mergeCell ref="L13:L14"/>
    <mergeCell ref="F13:F14"/>
    <mergeCell ref="C66:C68"/>
    <mergeCell ref="D66:D68"/>
    <mergeCell ref="AI13:AI14"/>
    <mergeCell ref="AJ13:AJ14"/>
    <mergeCell ref="AK13:AK14"/>
    <mergeCell ref="M13:M14"/>
    <mergeCell ref="N13:O13"/>
    <mergeCell ref="P13:P14"/>
    <mergeCell ref="Q13:AF13"/>
    <mergeCell ref="AG13:AG14"/>
    <mergeCell ref="AH13:AH14"/>
    <mergeCell ref="G13:G14"/>
    <mergeCell ref="H13:H14"/>
    <mergeCell ref="I13:I14"/>
    <mergeCell ref="J13:J14"/>
    <mergeCell ref="K13:K14"/>
    <mergeCell ref="A13:A14"/>
    <mergeCell ref="B13:B14"/>
    <mergeCell ref="C13:C14"/>
    <mergeCell ref="D13:D14"/>
    <mergeCell ref="E13:E14"/>
    <mergeCell ref="A10:M10"/>
    <mergeCell ref="A1:L1"/>
    <mergeCell ref="A2:L2"/>
    <mergeCell ref="A4:L4"/>
    <mergeCell ref="A5:L5"/>
    <mergeCell ref="A8:M8"/>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53"/>
  <sheetViews>
    <sheetView zoomScale="80" zoomScaleNormal="80" workbookViewId="0">
      <selection activeCell="G16" sqref="G16:G22"/>
    </sheetView>
  </sheetViews>
  <sheetFormatPr baseColWidth="10" defaultRowHeight="15" x14ac:dyDescent="0.25"/>
  <cols>
    <col min="2" max="2" width="15.5703125" customWidth="1"/>
    <col min="11" max="11" width="17" customWidth="1"/>
    <col min="12" max="12" width="14" customWidth="1"/>
    <col min="15" max="15" width="15.5703125" customWidth="1"/>
    <col min="40" max="51" width="6.7109375" customWidth="1"/>
    <col min="52" max="52" width="22.140625" customWidth="1"/>
    <col min="53" max="53" width="17" customWidth="1"/>
  </cols>
  <sheetData>
    <row r="1" spans="1:53" x14ac:dyDescent="0.25">
      <c r="A1" s="97"/>
      <c r="B1" s="97"/>
      <c r="C1" s="97"/>
      <c r="D1" s="97"/>
      <c r="E1" s="97"/>
      <c r="F1" s="97"/>
      <c r="G1" s="97"/>
      <c r="H1" s="97"/>
      <c r="I1" s="97"/>
      <c r="J1" s="97"/>
      <c r="K1" s="97"/>
      <c r="L1" s="9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row>
    <row r="2" spans="1:53" ht="18" x14ac:dyDescent="0.25">
      <c r="A2" s="911" t="s">
        <v>481</v>
      </c>
      <c r="B2" s="911"/>
      <c r="C2" s="911"/>
      <c r="D2" s="911"/>
      <c r="E2" s="911"/>
      <c r="F2" s="911"/>
      <c r="G2" s="911"/>
      <c r="H2" s="911"/>
      <c r="I2" s="911"/>
      <c r="J2" s="911"/>
      <c r="K2" s="911"/>
      <c r="L2" s="911"/>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row>
    <row r="3" spans="1:53" ht="18" x14ac:dyDescent="0.25">
      <c r="A3" s="912" t="s">
        <v>482</v>
      </c>
      <c r="B3" s="912"/>
      <c r="C3" s="912"/>
      <c r="D3" s="912"/>
      <c r="E3" s="912"/>
      <c r="F3" s="912"/>
      <c r="G3" s="912"/>
      <c r="H3" s="912"/>
      <c r="I3" s="912"/>
      <c r="J3" s="912"/>
      <c r="K3" s="912"/>
      <c r="L3" s="912"/>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row>
    <row r="4" spans="1:53" x14ac:dyDescent="0.25">
      <c r="A4" s="288"/>
      <c r="B4" s="97"/>
      <c r="C4" s="97"/>
      <c r="D4" s="97"/>
      <c r="E4" s="97"/>
      <c r="F4" s="97"/>
      <c r="G4" s="97"/>
      <c r="H4" s="97"/>
      <c r="I4" s="97"/>
      <c r="J4" s="97"/>
      <c r="K4" s="97"/>
      <c r="L4" s="9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row>
    <row r="5" spans="1:53" ht="18" x14ac:dyDescent="0.25">
      <c r="A5" s="913" t="s">
        <v>483</v>
      </c>
      <c r="B5" s="913"/>
      <c r="C5" s="913"/>
      <c r="D5" s="913"/>
      <c r="E5" s="913"/>
      <c r="F5" s="913"/>
      <c r="G5" s="913"/>
      <c r="H5" s="913"/>
      <c r="I5" s="913"/>
      <c r="J5" s="913"/>
      <c r="K5" s="913"/>
      <c r="L5" s="913"/>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row>
    <row r="6" spans="1:53" ht="18" x14ac:dyDescent="0.25">
      <c r="A6" s="911" t="s">
        <v>528</v>
      </c>
      <c r="B6" s="911"/>
      <c r="C6" s="911"/>
      <c r="D6" s="911"/>
      <c r="E6" s="911"/>
      <c r="F6" s="911"/>
      <c r="G6" s="911"/>
      <c r="H6" s="911"/>
      <c r="I6" s="911"/>
      <c r="J6" s="911"/>
      <c r="K6" s="911"/>
      <c r="L6" s="911"/>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row>
    <row r="7" spans="1:53" ht="18" x14ac:dyDescent="0.25">
      <c r="A7" s="92"/>
      <c r="B7" s="92"/>
      <c r="C7" s="92"/>
      <c r="D7" s="92"/>
      <c r="E7" s="92"/>
      <c r="F7" s="92"/>
      <c r="G7" s="92"/>
      <c r="H7" s="92"/>
      <c r="I7" s="92"/>
      <c r="J7" s="92"/>
      <c r="K7" s="92"/>
      <c r="L7" s="92"/>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row>
    <row r="8" spans="1:53" ht="18" x14ac:dyDescent="0.25">
      <c r="A8" s="92"/>
      <c r="B8" s="92"/>
      <c r="C8" s="92"/>
      <c r="D8" s="92"/>
      <c r="E8" s="92"/>
      <c r="F8" s="92"/>
      <c r="G8" s="92"/>
      <c r="H8" s="92"/>
      <c r="I8" s="92"/>
      <c r="J8" s="92"/>
      <c r="K8" s="92"/>
      <c r="L8" s="92"/>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row>
    <row r="9" spans="1:53" x14ac:dyDescent="0.25">
      <c r="A9" s="995" t="s">
        <v>1820</v>
      </c>
      <c r="B9" s="995"/>
      <c r="C9" s="995"/>
      <c r="D9" s="995"/>
      <c r="E9" s="995"/>
      <c r="F9" s="995"/>
      <c r="G9" s="995"/>
      <c r="H9" s="995"/>
      <c r="I9" s="995"/>
      <c r="J9" s="995"/>
      <c r="K9" s="995"/>
      <c r="L9" s="995"/>
      <c r="M9" s="289"/>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row>
    <row r="10" spans="1:53" ht="18" x14ac:dyDescent="0.25">
      <c r="A10" s="289"/>
      <c r="B10" s="289"/>
      <c r="C10" s="289"/>
      <c r="D10" s="289"/>
      <c r="E10" s="289"/>
      <c r="F10" s="92"/>
      <c r="G10" s="92"/>
      <c r="H10" s="92"/>
      <c r="I10" s="92"/>
      <c r="J10" s="92"/>
      <c r="K10" s="92"/>
      <c r="L10" s="92"/>
      <c r="M10" s="92"/>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row>
    <row r="11" spans="1:53" x14ac:dyDescent="0.25">
      <c r="A11" s="995" t="s">
        <v>951</v>
      </c>
      <c r="B11" s="995"/>
      <c r="C11" s="995"/>
      <c r="D11" s="995"/>
      <c r="E11" s="995"/>
      <c r="F11" s="995"/>
      <c r="G11" s="995"/>
      <c r="H11" s="995"/>
      <c r="I11" s="995"/>
      <c r="J11" s="995"/>
      <c r="K11" s="995"/>
      <c r="L11" s="995"/>
      <c r="M11" s="289"/>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row>
    <row r="12" spans="1:53" ht="18" x14ac:dyDescent="0.25">
      <c r="A12" s="92"/>
      <c r="B12" s="92"/>
      <c r="C12" s="92"/>
      <c r="D12" s="92"/>
      <c r="E12" s="92"/>
      <c r="F12" s="92"/>
      <c r="G12" s="92"/>
      <c r="H12" s="92"/>
      <c r="I12" s="92"/>
      <c r="J12" s="92"/>
      <c r="K12" s="92"/>
      <c r="L12" s="92"/>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row>
    <row r="13" spans="1:53" x14ac:dyDescent="0.25">
      <c r="A13" s="97"/>
      <c r="B13" s="97"/>
      <c r="C13" s="97"/>
      <c r="D13" s="97"/>
      <c r="E13" s="97"/>
      <c r="F13" s="97"/>
      <c r="G13" s="97"/>
      <c r="H13" s="97"/>
      <c r="I13" s="97"/>
      <c r="J13" s="97"/>
      <c r="K13" s="97"/>
      <c r="L13" s="9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row>
    <row r="14" spans="1:53" ht="43.5" customHeight="1" x14ac:dyDescent="0.25">
      <c r="A14" s="990" t="s">
        <v>62</v>
      </c>
      <c r="B14" s="990" t="s">
        <v>63</v>
      </c>
      <c r="C14" s="992" t="s">
        <v>0</v>
      </c>
      <c r="D14" s="992" t="s">
        <v>1</v>
      </c>
      <c r="E14" s="992" t="s">
        <v>2</v>
      </c>
      <c r="F14" s="994" t="s">
        <v>3</v>
      </c>
      <c r="G14" s="992" t="s">
        <v>64</v>
      </c>
      <c r="H14" s="992" t="s">
        <v>65</v>
      </c>
      <c r="I14" s="992" t="s">
        <v>66</v>
      </c>
      <c r="J14" s="992" t="s">
        <v>67</v>
      </c>
      <c r="K14" s="992" t="s">
        <v>480</v>
      </c>
      <c r="L14" s="992" t="s">
        <v>521</v>
      </c>
      <c r="M14" s="989" t="s">
        <v>529</v>
      </c>
      <c r="N14" s="989" t="s">
        <v>66</v>
      </c>
      <c r="O14" s="989"/>
      <c r="P14" s="989" t="s">
        <v>532</v>
      </c>
      <c r="Q14" s="989" t="s">
        <v>484</v>
      </c>
      <c r="R14" s="989"/>
      <c r="S14" s="989"/>
      <c r="T14" s="989"/>
      <c r="U14" s="989"/>
      <c r="V14" s="989"/>
      <c r="W14" s="989"/>
      <c r="X14" s="989"/>
      <c r="Y14" s="989"/>
      <c r="Z14" s="989"/>
      <c r="AA14" s="989"/>
      <c r="AB14" s="989"/>
      <c r="AC14" s="989"/>
      <c r="AD14" s="989"/>
      <c r="AE14" s="989"/>
      <c r="AF14" s="989"/>
      <c r="AG14" s="989" t="s">
        <v>485</v>
      </c>
      <c r="AH14" s="989" t="s">
        <v>531</v>
      </c>
      <c r="AI14" s="989" t="s">
        <v>952</v>
      </c>
      <c r="AJ14" s="989" t="s">
        <v>511</v>
      </c>
      <c r="AK14" s="989" t="s">
        <v>486</v>
      </c>
      <c r="AL14" s="989" t="s">
        <v>535</v>
      </c>
      <c r="AM14" s="989" t="s">
        <v>487</v>
      </c>
      <c r="AN14" s="987" t="s">
        <v>524</v>
      </c>
      <c r="AO14" s="987"/>
      <c r="AP14" s="987"/>
      <c r="AQ14" s="987"/>
      <c r="AR14" s="987"/>
      <c r="AS14" s="987"/>
      <c r="AT14" s="987"/>
      <c r="AU14" s="987"/>
      <c r="AV14" s="987"/>
      <c r="AW14" s="987"/>
      <c r="AX14" s="987"/>
      <c r="AY14" s="987"/>
      <c r="AZ14" s="987" t="s">
        <v>512</v>
      </c>
      <c r="BA14" s="988" t="s">
        <v>488</v>
      </c>
    </row>
    <row r="15" spans="1:53" ht="63.75" x14ac:dyDescent="0.25">
      <c r="A15" s="991"/>
      <c r="B15" s="991"/>
      <c r="C15" s="993"/>
      <c r="D15" s="993"/>
      <c r="E15" s="993"/>
      <c r="F15" s="994"/>
      <c r="G15" s="993"/>
      <c r="H15" s="993"/>
      <c r="I15" s="993"/>
      <c r="J15" s="993"/>
      <c r="K15" s="993"/>
      <c r="L15" s="993"/>
      <c r="M15" s="989"/>
      <c r="N15" s="290" t="s">
        <v>489</v>
      </c>
      <c r="O15" s="290" t="s">
        <v>530</v>
      </c>
      <c r="P15" s="989"/>
      <c r="Q15" s="291" t="s">
        <v>490</v>
      </c>
      <c r="R15" s="291" t="s">
        <v>533</v>
      </c>
      <c r="S15" s="291" t="s">
        <v>491</v>
      </c>
      <c r="T15" s="291" t="s">
        <v>492</v>
      </c>
      <c r="U15" s="291" t="s">
        <v>522</v>
      </c>
      <c r="V15" s="291" t="s">
        <v>493</v>
      </c>
      <c r="W15" s="291" t="s">
        <v>494</v>
      </c>
      <c r="X15" s="291" t="s">
        <v>495</v>
      </c>
      <c r="Y15" s="291" t="s">
        <v>496</v>
      </c>
      <c r="Z15" s="291" t="s">
        <v>497</v>
      </c>
      <c r="AA15" s="291" t="s">
        <v>523</v>
      </c>
      <c r="AB15" s="291" t="s">
        <v>534</v>
      </c>
      <c r="AC15" s="291" t="s">
        <v>498</v>
      </c>
      <c r="AD15" s="291" t="s">
        <v>499</v>
      </c>
      <c r="AE15" s="291" t="s">
        <v>500</v>
      </c>
      <c r="AF15" s="291" t="s">
        <v>501</v>
      </c>
      <c r="AG15" s="989"/>
      <c r="AH15" s="989"/>
      <c r="AI15" s="989"/>
      <c r="AJ15" s="989"/>
      <c r="AK15" s="989"/>
      <c r="AL15" s="989"/>
      <c r="AM15" s="989"/>
      <c r="AN15" s="463" t="s">
        <v>502</v>
      </c>
      <c r="AO15" s="463" t="s">
        <v>503</v>
      </c>
      <c r="AP15" s="463" t="s">
        <v>504</v>
      </c>
      <c r="AQ15" s="463" t="s">
        <v>505</v>
      </c>
      <c r="AR15" s="463" t="s">
        <v>504</v>
      </c>
      <c r="AS15" s="463" t="s">
        <v>506</v>
      </c>
      <c r="AT15" s="463" t="s">
        <v>506</v>
      </c>
      <c r="AU15" s="463" t="s">
        <v>505</v>
      </c>
      <c r="AV15" s="463" t="s">
        <v>507</v>
      </c>
      <c r="AW15" s="463" t="s">
        <v>508</v>
      </c>
      <c r="AX15" s="463" t="s">
        <v>509</v>
      </c>
      <c r="AY15" s="463" t="s">
        <v>510</v>
      </c>
      <c r="AZ15" s="987"/>
      <c r="BA15" s="988"/>
    </row>
    <row r="16" spans="1:53" ht="213.75" customHeight="1" x14ac:dyDescent="0.25">
      <c r="A16" s="108" t="s">
        <v>438</v>
      </c>
      <c r="B16" s="108" t="s">
        <v>1423</v>
      </c>
      <c r="C16" s="936" t="s">
        <v>1821</v>
      </c>
      <c r="D16" s="936" t="s">
        <v>1822</v>
      </c>
      <c r="E16" s="936">
        <v>5100</v>
      </c>
      <c r="F16" s="108" t="s">
        <v>1823</v>
      </c>
      <c r="G16" s="997" t="s">
        <v>2051</v>
      </c>
      <c r="H16" s="136" t="s">
        <v>1824</v>
      </c>
      <c r="I16" s="136" t="s">
        <v>1825</v>
      </c>
      <c r="J16" s="136">
        <v>1633</v>
      </c>
      <c r="K16" s="136" t="s">
        <v>1826</v>
      </c>
      <c r="L16" s="136">
        <v>2000</v>
      </c>
      <c r="M16" s="136">
        <v>650</v>
      </c>
      <c r="N16" s="414" t="s">
        <v>1825</v>
      </c>
      <c r="O16" s="415"/>
      <c r="P16" s="416">
        <f>SUM(R16:AF16)</f>
        <v>97500</v>
      </c>
      <c r="Q16" s="415">
        <v>75000</v>
      </c>
      <c r="R16" s="415"/>
      <c r="S16" s="415"/>
      <c r="T16" s="415"/>
      <c r="U16" s="415"/>
      <c r="V16" s="415"/>
      <c r="W16" s="415"/>
      <c r="X16" s="415"/>
      <c r="Y16" s="415"/>
      <c r="Z16" s="415"/>
      <c r="AA16" s="415"/>
      <c r="AB16" s="415"/>
      <c r="AC16" s="415"/>
      <c r="AD16" s="415">
        <v>97500</v>
      </c>
      <c r="AE16" s="415"/>
      <c r="AF16" s="415"/>
      <c r="AG16" s="417" t="s">
        <v>1827</v>
      </c>
      <c r="AH16" s="414"/>
      <c r="AI16" s="414" t="s">
        <v>1828</v>
      </c>
      <c r="AJ16" s="414" t="s">
        <v>1121</v>
      </c>
      <c r="AK16" s="414" t="s">
        <v>1829</v>
      </c>
      <c r="AL16" s="415">
        <v>97500</v>
      </c>
      <c r="AM16" s="414" t="s">
        <v>1830</v>
      </c>
      <c r="AN16" s="415"/>
      <c r="AO16" s="418" t="s">
        <v>536</v>
      </c>
      <c r="AP16" s="418" t="s">
        <v>536</v>
      </c>
      <c r="AQ16" s="418" t="s">
        <v>536</v>
      </c>
      <c r="AR16" s="418" t="s">
        <v>536</v>
      </c>
      <c r="AS16" s="418" t="s">
        <v>536</v>
      </c>
      <c r="AT16" s="418" t="s">
        <v>536</v>
      </c>
      <c r="AU16" s="418" t="s">
        <v>536</v>
      </c>
      <c r="AV16" s="418" t="s">
        <v>536</v>
      </c>
      <c r="AW16" s="418" t="s">
        <v>536</v>
      </c>
      <c r="AX16" s="418" t="s">
        <v>536</v>
      </c>
      <c r="AY16" s="418" t="s">
        <v>536</v>
      </c>
      <c r="AZ16" s="414" t="s">
        <v>1831</v>
      </c>
      <c r="BA16" s="415" t="s">
        <v>1832</v>
      </c>
    </row>
    <row r="17" spans="1:53" ht="105" x14ac:dyDescent="0.25">
      <c r="A17" s="108" t="s">
        <v>438</v>
      </c>
      <c r="B17" s="108" t="s">
        <v>1423</v>
      </c>
      <c r="C17" s="947"/>
      <c r="D17" s="947"/>
      <c r="E17" s="947"/>
      <c r="F17" s="108" t="s">
        <v>1823</v>
      </c>
      <c r="G17" s="982"/>
      <c r="H17" s="136" t="s">
        <v>1833</v>
      </c>
      <c r="I17" s="136" t="s">
        <v>1834</v>
      </c>
      <c r="J17" s="136">
        <v>120</v>
      </c>
      <c r="K17" s="136" t="s">
        <v>1835</v>
      </c>
      <c r="L17" s="136">
        <v>400</v>
      </c>
      <c r="M17" s="136">
        <v>0</v>
      </c>
      <c r="N17" s="136" t="s">
        <v>1834</v>
      </c>
      <c r="O17" s="415"/>
      <c r="P17" s="416"/>
      <c r="Q17" s="415"/>
      <c r="R17" s="415"/>
      <c r="S17" s="415"/>
      <c r="T17" s="415"/>
      <c r="U17" s="415"/>
      <c r="V17" s="415"/>
      <c r="W17" s="415"/>
      <c r="X17" s="415"/>
      <c r="Y17" s="415"/>
      <c r="Z17" s="415"/>
      <c r="AA17" s="415"/>
      <c r="AB17" s="415"/>
      <c r="AC17" s="415"/>
      <c r="AD17" s="415"/>
      <c r="AE17" s="415"/>
      <c r="AF17" s="415"/>
      <c r="AG17" s="417"/>
      <c r="AH17" s="414"/>
      <c r="AI17" s="414"/>
      <c r="AJ17" s="414"/>
      <c r="AK17" s="414"/>
      <c r="AL17" s="415"/>
      <c r="AM17" s="414"/>
      <c r="AN17" s="414"/>
      <c r="AO17" s="415"/>
      <c r="AP17" s="415"/>
      <c r="AQ17" s="415"/>
      <c r="AR17" s="415"/>
      <c r="AS17" s="415"/>
      <c r="AT17" s="415"/>
      <c r="AU17" s="415"/>
      <c r="AV17" s="415"/>
      <c r="AW17" s="415"/>
      <c r="AX17" s="415"/>
      <c r="AY17" s="415"/>
      <c r="AZ17" s="414"/>
      <c r="BA17" s="414" t="s">
        <v>1836</v>
      </c>
    </row>
    <row r="18" spans="1:53" ht="210" x14ac:dyDescent="0.25">
      <c r="A18" s="108" t="s">
        <v>438</v>
      </c>
      <c r="B18" s="108" t="s">
        <v>1423</v>
      </c>
      <c r="C18" s="937"/>
      <c r="D18" s="937"/>
      <c r="E18" s="937"/>
      <c r="F18" s="108" t="s">
        <v>1823</v>
      </c>
      <c r="G18" s="982"/>
      <c r="H18" s="136" t="s">
        <v>1837</v>
      </c>
      <c r="I18" s="136" t="s">
        <v>1838</v>
      </c>
      <c r="J18" s="136">
        <v>0</v>
      </c>
      <c r="K18" s="136" t="s">
        <v>1835</v>
      </c>
      <c r="L18" s="136">
        <v>700</v>
      </c>
      <c r="M18" s="174">
        <v>150</v>
      </c>
      <c r="N18" s="136" t="s">
        <v>1838</v>
      </c>
      <c r="O18" s="415"/>
      <c r="P18" s="416">
        <f>SUM(R18:AF18)</f>
        <v>95000</v>
      </c>
      <c r="Q18" s="415"/>
      <c r="R18" s="415"/>
      <c r="S18" s="415"/>
      <c r="T18" s="415"/>
      <c r="U18" s="415"/>
      <c r="V18" s="415"/>
      <c r="W18" s="415"/>
      <c r="X18" s="415"/>
      <c r="Y18" s="415"/>
      <c r="Z18" s="415"/>
      <c r="AA18" s="415"/>
      <c r="AB18" s="415"/>
      <c r="AC18" s="415"/>
      <c r="AD18" s="415">
        <v>95000</v>
      </c>
      <c r="AE18" s="415"/>
      <c r="AF18" s="415"/>
      <c r="AG18" s="417" t="s">
        <v>1827</v>
      </c>
      <c r="AH18" s="414"/>
      <c r="AI18" s="414" t="s">
        <v>1828</v>
      </c>
      <c r="AJ18" s="414" t="s">
        <v>1839</v>
      </c>
      <c r="AK18" s="414" t="s">
        <v>1840</v>
      </c>
      <c r="AL18" s="415">
        <v>95000</v>
      </c>
      <c r="AM18" s="414" t="s">
        <v>1841</v>
      </c>
      <c r="AN18" s="415"/>
      <c r="AO18" s="415" t="s">
        <v>536</v>
      </c>
      <c r="AP18" s="415" t="s">
        <v>536</v>
      </c>
      <c r="AQ18" s="415" t="s">
        <v>536</v>
      </c>
      <c r="AR18" s="415" t="s">
        <v>536</v>
      </c>
      <c r="AS18" s="415" t="s">
        <v>536</v>
      </c>
      <c r="AT18" s="415" t="s">
        <v>536</v>
      </c>
      <c r="AU18" s="415" t="s">
        <v>536</v>
      </c>
      <c r="AV18" s="415" t="s">
        <v>536</v>
      </c>
      <c r="AW18" s="415" t="s">
        <v>536</v>
      </c>
      <c r="AX18" s="415" t="s">
        <v>536</v>
      </c>
      <c r="AY18" s="415" t="s">
        <v>536</v>
      </c>
      <c r="AZ18" s="414" t="s">
        <v>1831</v>
      </c>
      <c r="BA18" s="415" t="s">
        <v>1832</v>
      </c>
    </row>
    <row r="19" spans="1:53" ht="165" x14ac:dyDescent="0.25">
      <c r="A19" s="108" t="s">
        <v>438</v>
      </c>
      <c r="B19" s="108" t="s">
        <v>1423</v>
      </c>
      <c r="C19" s="936" t="s">
        <v>1842</v>
      </c>
      <c r="D19" s="936" t="s">
        <v>1843</v>
      </c>
      <c r="E19" s="936">
        <v>95000</v>
      </c>
      <c r="F19" s="108" t="s">
        <v>1823</v>
      </c>
      <c r="G19" s="982"/>
      <c r="H19" s="136" t="s">
        <v>1844</v>
      </c>
      <c r="I19" s="136" t="s">
        <v>1845</v>
      </c>
      <c r="J19" s="136">
        <v>0</v>
      </c>
      <c r="K19" s="136" t="s">
        <v>1835</v>
      </c>
      <c r="L19" s="136">
        <v>20</v>
      </c>
      <c r="M19" s="136">
        <v>6</v>
      </c>
      <c r="N19" s="136" t="s">
        <v>1845</v>
      </c>
      <c r="O19" s="415"/>
      <c r="P19" s="416">
        <f t="shared" ref="P19:P53" si="0">SUM(Q19:AF19)</f>
        <v>0</v>
      </c>
      <c r="Q19" s="419"/>
      <c r="R19" s="415"/>
      <c r="S19" s="415"/>
      <c r="T19" s="415"/>
      <c r="U19" s="415"/>
      <c r="V19" s="415"/>
      <c r="W19" s="415"/>
      <c r="X19" s="415"/>
      <c r="Y19" s="415"/>
      <c r="Z19" s="415"/>
      <c r="AA19" s="415"/>
      <c r="AB19" s="415"/>
      <c r="AC19" s="415"/>
      <c r="AD19" s="415"/>
      <c r="AE19" s="415"/>
      <c r="AF19" s="415"/>
      <c r="AG19" s="417"/>
      <c r="AH19" s="414"/>
      <c r="AI19" s="414"/>
      <c r="AJ19" s="414"/>
      <c r="AK19" s="414"/>
      <c r="AL19" s="419"/>
      <c r="AM19" s="420"/>
      <c r="AN19" s="418"/>
      <c r="AO19" s="418"/>
      <c r="AP19" s="418"/>
      <c r="AQ19" s="418"/>
      <c r="AR19" s="418"/>
      <c r="AS19" s="418"/>
      <c r="AT19" s="418"/>
      <c r="AU19" s="418"/>
      <c r="AV19" s="418"/>
      <c r="AW19" s="418"/>
      <c r="AX19" s="418"/>
      <c r="AY19" s="418"/>
      <c r="AZ19" s="414"/>
      <c r="BA19" s="414" t="s">
        <v>1836</v>
      </c>
    </row>
    <row r="20" spans="1:53" ht="114" x14ac:dyDescent="0.25">
      <c r="A20" s="108" t="s">
        <v>438</v>
      </c>
      <c r="B20" s="108" t="s">
        <v>1423</v>
      </c>
      <c r="C20" s="947"/>
      <c r="D20" s="947"/>
      <c r="E20" s="947"/>
      <c r="F20" s="108" t="s">
        <v>1823</v>
      </c>
      <c r="G20" s="982"/>
      <c r="H20" s="944" t="s">
        <v>1846</v>
      </c>
      <c r="I20" s="944" t="s">
        <v>1847</v>
      </c>
      <c r="J20" s="944">
        <v>5100</v>
      </c>
      <c r="K20" s="944" t="s">
        <v>1848</v>
      </c>
      <c r="L20" s="986">
        <v>4000</v>
      </c>
      <c r="M20" s="136">
        <v>1000</v>
      </c>
      <c r="N20" s="944" t="s">
        <v>1847</v>
      </c>
      <c r="O20" s="985"/>
      <c r="P20" s="416">
        <f t="shared" si="0"/>
        <v>282000</v>
      </c>
      <c r="Q20" s="419">
        <v>82000</v>
      </c>
      <c r="R20" s="415"/>
      <c r="S20" s="415"/>
      <c r="T20" s="415"/>
      <c r="U20" s="415"/>
      <c r="V20" s="415"/>
      <c r="W20" s="415"/>
      <c r="X20" s="415"/>
      <c r="Y20" s="415"/>
      <c r="Z20" s="415"/>
      <c r="AA20" s="415"/>
      <c r="AB20" s="415"/>
      <c r="AC20" s="415"/>
      <c r="AD20" s="419">
        <v>200000</v>
      </c>
      <c r="AE20" s="415"/>
      <c r="AF20" s="415"/>
      <c r="AG20" s="417" t="s">
        <v>1827</v>
      </c>
      <c r="AH20" s="414"/>
      <c r="AI20" s="414" t="s">
        <v>1828</v>
      </c>
      <c r="AJ20" s="414" t="s">
        <v>1839</v>
      </c>
      <c r="AK20" s="414" t="s">
        <v>1849</v>
      </c>
      <c r="AL20" s="419">
        <v>182000</v>
      </c>
      <c r="AM20" s="414" t="s">
        <v>1850</v>
      </c>
      <c r="AN20" s="415"/>
      <c r="AO20" s="418" t="s">
        <v>536</v>
      </c>
      <c r="AP20" s="418" t="s">
        <v>536</v>
      </c>
      <c r="AQ20" s="418" t="s">
        <v>536</v>
      </c>
      <c r="AR20" s="418" t="s">
        <v>536</v>
      </c>
      <c r="AS20" s="418" t="s">
        <v>536</v>
      </c>
      <c r="AT20" s="418" t="s">
        <v>536</v>
      </c>
      <c r="AU20" s="418" t="s">
        <v>536</v>
      </c>
      <c r="AV20" s="418" t="s">
        <v>536</v>
      </c>
      <c r="AW20" s="418" t="s">
        <v>536</v>
      </c>
      <c r="AX20" s="418" t="s">
        <v>536</v>
      </c>
      <c r="AY20" s="418" t="s">
        <v>536</v>
      </c>
      <c r="AZ20" s="414" t="s">
        <v>1831</v>
      </c>
      <c r="BA20" s="415" t="s">
        <v>1832</v>
      </c>
    </row>
    <row r="21" spans="1:53" ht="409.5" customHeight="1" x14ac:dyDescent="0.25">
      <c r="A21" s="108"/>
      <c r="B21" s="108"/>
      <c r="C21" s="947"/>
      <c r="D21" s="947"/>
      <c r="E21" s="947"/>
      <c r="F21" s="108"/>
      <c r="G21" s="982"/>
      <c r="H21" s="982"/>
      <c r="I21" s="982"/>
      <c r="J21" s="982"/>
      <c r="K21" s="982"/>
      <c r="L21" s="982"/>
      <c r="M21" s="422"/>
      <c r="N21" s="984"/>
      <c r="O21" s="982"/>
      <c r="P21" s="416">
        <f t="shared" si="0"/>
        <v>1203223</v>
      </c>
      <c r="Q21" s="419"/>
      <c r="R21" s="415"/>
      <c r="S21" s="415"/>
      <c r="T21" s="415"/>
      <c r="U21" s="415"/>
      <c r="V21" s="415"/>
      <c r="W21" s="415"/>
      <c r="X21" s="415"/>
      <c r="Y21" s="415"/>
      <c r="Z21" s="415"/>
      <c r="AA21" s="415"/>
      <c r="AB21" s="415"/>
      <c r="AC21" s="415"/>
      <c r="AD21" s="415"/>
      <c r="AE21" s="415"/>
      <c r="AF21" s="423">
        <v>1203223</v>
      </c>
      <c r="AG21" s="422" t="s">
        <v>1851</v>
      </c>
      <c r="AH21" s="424">
        <v>2018003190054</v>
      </c>
      <c r="AI21" s="425" t="s">
        <v>1852</v>
      </c>
      <c r="AJ21" s="426" t="s">
        <v>1587</v>
      </c>
      <c r="AK21" s="425" t="s">
        <v>1853</v>
      </c>
      <c r="AL21" s="426">
        <v>1203223</v>
      </c>
      <c r="AM21" s="425" t="s">
        <v>1854</v>
      </c>
      <c r="AN21" s="426" t="s">
        <v>536</v>
      </c>
      <c r="AO21" s="426" t="s">
        <v>536</v>
      </c>
      <c r="AP21" s="426" t="s">
        <v>536</v>
      </c>
      <c r="AQ21" s="426" t="s">
        <v>536</v>
      </c>
      <c r="AR21" s="426" t="s">
        <v>536</v>
      </c>
      <c r="AS21" s="426" t="s">
        <v>536</v>
      </c>
      <c r="AT21" s="426" t="s">
        <v>536</v>
      </c>
      <c r="AU21" s="426" t="s">
        <v>536</v>
      </c>
      <c r="AV21" s="426" t="s">
        <v>536</v>
      </c>
      <c r="AW21" s="426" t="s">
        <v>536</v>
      </c>
      <c r="AX21" s="426" t="s">
        <v>536</v>
      </c>
      <c r="AY21" s="426" t="s">
        <v>536</v>
      </c>
      <c r="AZ21" s="414" t="s">
        <v>1831</v>
      </c>
      <c r="BA21" s="425" t="s">
        <v>1855</v>
      </c>
    </row>
    <row r="22" spans="1:53" ht="150" x14ac:dyDescent="0.25">
      <c r="A22" s="108" t="s">
        <v>438</v>
      </c>
      <c r="B22" s="108" t="s">
        <v>1423</v>
      </c>
      <c r="C22" s="937"/>
      <c r="D22" s="937"/>
      <c r="E22" s="937"/>
      <c r="F22" s="108" t="s">
        <v>1823</v>
      </c>
      <c r="G22" s="982"/>
      <c r="H22" s="136" t="s">
        <v>1856</v>
      </c>
      <c r="I22" s="136" t="s">
        <v>1857</v>
      </c>
      <c r="J22" s="136">
        <v>20</v>
      </c>
      <c r="K22" s="136" t="s">
        <v>526</v>
      </c>
      <c r="L22" s="136">
        <v>20</v>
      </c>
      <c r="M22" s="136">
        <v>5</v>
      </c>
      <c r="N22" s="136" t="s">
        <v>1857</v>
      </c>
      <c r="O22" s="415"/>
      <c r="P22" s="416">
        <f t="shared" si="0"/>
        <v>12000</v>
      </c>
      <c r="Q22" s="419">
        <v>12000</v>
      </c>
      <c r="R22" s="415"/>
      <c r="S22" s="415"/>
      <c r="T22" s="415"/>
      <c r="U22" s="415"/>
      <c r="V22" s="415"/>
      <c r="W22" s="415"/>
      <c r="X22" s="415"/>
      <c r="Y22" s="415"/>
      <c r="Z22" s="415"/>
      <c r="AA22" s="415"/>
      <c r="AB22" s="415"/>
      <c r="AC22" s="415"/>
      <c r="AD22" s="415"/>
      <c r="AE22" s="415"/>
      <c r="AF22" s="415"/>
      <c r="AG22" s="417" t="s">
        <v>1827</v>
      </c>
      <c r="AH22" s="414"/>
      <c r="AI22" s="414" t="s">
        <v>1828</v>
      </c>
      <c r="AJ22" s="414" t="s">
        <v>1839</v>
      </c>
      <c r="AK22" s="414" t="s">
        <v>1858</v>
      </c>
      <c r="AL22" s="419">
        <v>12000</v>
      </c>
      <c r="AM22" s="414" t="s">
        <v>1859</v>
      </c>
      <c r="AN22" s="415"/>
      <c r="AO22" s="418" t="s">
        <v>554</v>
      </c>
      <c r="AP22" s="418" t="s">
        <v>554</v>
      </c>
      <c r="AQ22" s="418" t="s">
        <v>554</v>
      </c>
      <c r="AR22" s="418" t="s">
        <v>554</v>
      </c>
      <c r="AS22" s="418" t="s">
        <v>554</v>
      </c>
      <c r="AT22" s="418" t="s">
        <v>554</v>
      </c>
      <c r="AU22" s="418" t="s">
        <v>554</v>
      </c>
      <c r="AV22" s="418" t="s">
        <v>554</v>
      </c>
      <c r="AW22" s="418" t="s">
        <v>554</v>
      </c>
      <c r="AX22" s="418" t="s">
        <v>554</v>
      </c>
      <c r="AY22" s="418" t="s">
        <v>554</v>
      </c>
      <c r="AZ22" s="414" t="s">
        <v>1831</v>
      </c>
      <c r="BA22" s="415" t="s">
        <v>1832</v>
      </c>
    </row>
    <row r="23" spans="1:53" ht="142.5" customHeight="1" x14ac:dyDescent="0.25">
      <c r="A23" s="108" t="s">
        <v>438</v>
      </c>
      <c r="B23" s="108" t="s">
        <v>1423</v>
      </c>
      <c r="C23" s="936" t="s">
        <v>1860</v>
      </c>
      <c r="D23" s="936" t="s">
        <v>1861</v>
      </c>
      <c r="E23" s="936">
        <v>4</v>
      </c>
      <c r="F23" s="108" t="s">
        <v>1862</v>
      </c>
      <c r="G23" s="944" t="s">
        <v>2052</v>
      </c>
      <c r="H23" s="136" t="s">
        <v>1863</v>
      </c>
      <c r="I23" s="136" t="s">
        <v>1864</v>
      </c>
      <c r="J23" s="136">
        <v>4</v>
      </c>
      <c r="K23" s="136" t="s">
        <v>1835</v>
      </c>
      <c r="L23" s="136">
        <v>20</v>
      </c>
      <c r="M23" s="136">
        <v>6</v>
      </c>
      <c r="N23" s="136" t="s">
        <v>1864</v>
      </c>
      <c r="O23" s="415"/>
      <c r="P23" s="416">
        <f t="shared" si="0"/>
        <v>306000</v>
      </c>
      <c r="Q23" s="423">
        <v>76000</v>
      </c>
      <c r="R23" s="415"/>
      <c r="S23" s="415"/>
      <c r="T23" s="415"/>
      <c r="U23" s="415"/>
      <c r="V23" s="415"/>
      <c r="W23" s="415"/>
      <c r="X23" s="415"/>
      <c r="Y23" s="415"/>
      <c r="Z23" s="415">
        <v>80000</v>
      </c>
      <c r="AA23" s="415"/>
      <c r="AB23" s="415"/>
      <c r="AC23" s="415">
        <v>50000</v>
      </c>
      <c r="AD23" s="415">
        <v>100000</v>
      </c>
      <c r="AE23" s="415"/>
      <c r="AF23" s="415"/>
      <c r="AG23" s="414" t="s">
        <v>1865</v>
      </c>
      <c r="AH23" s="415"/>
      <c r="AI23" s="415" t="s">
        <v>1042</v>
      </c>
      <c r="AJ23" s="415" t="s">
        <v>1042</v>
      </c>
      <c r="AK23" s="414" t="s">
        <v>1866</v>
      </c>
      <c r="AL23" s="427">
        <f>P23</f>
        <v>306000</v>
      </c>
      <c r="AM23" s="414" t="s">
        <v>1867</v>
      </c>
      <c r="AN23" s="415"/>
      <c r="AO23" s="415"/>
      <c r="AP23" s="415"/>
      <c r="AQ23" s="415"/>
      <c r="AR23" s="415"/>
      <c r="AS23" s="415"/>
      <c r="AT23" s="415" t="s">
        <v>536</v>
      </c>
      <c r="AU23" s="415" t="s">
        <v>536</v>
      </c>
      <c r="AV23" s="415" t="s">
        <v>536</v>
      </c>
      <c r="AW23" s="415" t="s">
        <v>536</v>
      </c>
      <c r="AX23" s="415" t="s">
        <v>536</v>
      </c>
      <c r="AY23" s="415" t="s">
        <v>536</v>
      </c>
      <c r="AZ23" s="414" t="s">
        <v>1868</v>
      </c>
      <c r="BA23" s="415" t="s">
        <v>1869</v>
      </c>
    </row>
    <row r="24" spans="1:53" ht="150" x14ac:dyDescent="0.25">
      <c r="A24" s="108" t="s">
        <v>438</v>
      </c>
      <c r="B24" s="108" t="s">
        <v>1423</v>
      </c>
      <c r="C24" s="937"/>
      <c r="D24" s="937"/>
      <c r="E24" s="937"/>
      <c r="F24" s="108" t="s">
        <v>1862</v>
      </c>
      <c r="G24" s="944"/>
      <c r="H24" s="136" t="s">
        <v>1870</v>
      </c>
      <c r="I24" s="136" t="s">
        <v>1871</v>
      </c>
      <c r="J24" s="136">
        <v>4</v>
      </c>
      <c r="K24" s="136" t="s">
        <v>1835</v>
      </c>
      <c r="L24" s="136">
        <v>20</v>
      </c>
      <c r="M24" s="136">
        <v>6</v>
      </c>
      <c r="N24" s="136" t="s">
        <v>1871</v>
      </c>
      <c r="O24" s="415"/>
      <c r="P24" s="416">
        <f>SUM(R24:AF24)</f>
        <v>90000</v>
      </c>
      <c r="Q24" s="415"/>
      <c r="R24" s="415"/>
      <c r="S24" s="415"/>
      <c r="T24" s="415"/>
      <c r="U24" s="415"/>
      <c r="V24" s="415"/>
      <c r="W24" s="415"/>
      <c r="X24" s="415"/>
      <c r="Y24" s="415"/>
      <c r="Z24" s="415"/>
      <c r="AA24" s="415"/>
      <c r="AB24" s="415"/>
      <c r="AC24" s="415"/>
      <c r="AD24" s="428">
        <v>90000</v>
      </c>
      <c r="AE24" s="415"/>
      <c r="AF24" s="415"/>
      <c r="AG24" s="414" t="s">
        <v>1865</v>
      </c>
      <c r="AH24" s="415"/>
      <c r="AI24" s="415" t="s">
        <v>1042</v>
      </c>
      <c r="AJ24" s="415" t="s">
        <v>1042</v>
      </c>
      <c r="AK24" s="414" t="s">
        <v>1866</v>
      </c>
      <c r="AL24" s="427">
        <f>P24</f>
        <v>90000</v>
      </c>
      <c r="AM24" s="414" t="s">
        <v>1867</v>
      </c>
      <c r="AN24" s="415"/>
      <c r="AO24" s="415"/>
      <c r="AP24" s="415"/>
      <c r="AQ24" s="415"/>
      <c r="AR24" s="415"/>
      <c r="AS24" s="415"/>
      <c r="AT24" s="415" t="s">
        <v>536</v>
      </c>
      <c r="AU24" s="415" t="s">
        <v>536</v>
      </c>
      <c r="AV24" s="415" t="s">
        <v>536</v>
      </c>
      <c r="AW24" s="415" t="s">
        <v>536</v>
      </c>
      <c r="AX24" s="415" t="s">
        <v>536</v>
      </c>
      <c r="AY24" s="415" t="s">
        <v>536</v>
      </c>
      <c r="AZ24" s="414" t="s">
        <v>1868</v>
      </c>
      <c r="BA24" s="415" t="s">
        <v>1869</v>
      </c>
    </row>
    <row r="25" spans="1:53" ht="90" customHeight="1" x14ac:dyDescent="0.25">
      <c r="A25" s="214" t="s">
        <v>1245</v>
      </c>
      <c r="B25" s="214" t="s">
        <v>1872</v>
      </c>
      <c r="C25" s="936" t="s">
        <v>1873</v>
      </c>
      <c r="D25" s="936" t="s">
        <v>1874</v>
      </c>
      <c r="E25" s="936">
        <v>0</v>
      </c>
      <c r="F25" s="108" t="s">
        <v>1875</v>
      </c>
      <c r="G25" s="944" t="s">
        <v>2053</v>
      </c>
      <c r="H25" s="136" t="s">
        <v>1876</v>
      </c>
      <c r="I25" s="136" t="s">
        <v>1877</v>
      </c>
      <c r="J25" s="174">
        <v>7</v>
      </c>
      <c r="K25" s="174" t="s">
        <v>526</v>
      </c>
      <c r="L25" s="174">
        <v>12</v>
      </c>
      <c r="M25" s="174">
        <v>0</v>
      </c>
      <c r="N25" s="136" t="s">
        <v>1877</v>
      </c>
      <c r="O25" s="415"/>
      <c r="P25" s="416"/>
      <c r="Q25" s="415"/>
      <c r="R25" s="415"/>
      <c r="S25" s="415"/>
      <c r="T25" s="415"/>
      <c r="U25" s="415"/>
      <c r="V25" s="415"/>
      <c r="W25" s="415"/>
      <c r="X25" s="415"/>
      <c r="Y25" s="415"/>
      <c r="Z25" s="415"/>
      <c r="AA25" s="415"/>
      <c r="AB25" s="415"/>
      <c r="AC25" s="415"/>
      <c r="AD25" s="415"/>
      <c r="AE25" s="415"/>
      <c r="AF25" s="415"/>
      <c r="AG25" s="429"/>
      <c r="AH25" s="430"/>
      <c r="AI25" s="431"/>
      <c r="AJ25" s="414"/>
      <c r="AK25" s="432"/>
      <c r="AL25" s="415"/>
      <c r="AM25" s="414"/>
      <c r="AN25" s="415"/>
      <c r="AO25" s="415"/>
      <c r="AP25" s="415"/>
      <c r="AQ25" s="415"/>
      <c r="AR25" s="415"/>
      <c r="AS25" s="415"/>
      <c r="AT25" s="415"/>
      <c r="AU25" s="415"/>
      <c r="AV25" s="415"/>
      <c r="AW25" s="415"/>
      <c r="AX25" s="415"/>
      <c r="AY25" s="415"/>
      <c r="AZ25" s="414"/>
      <c r="BA25" s="414" t="s">
        <v>1878</v>
      </c>
    </row>
    <row r="26" spans="1:53" ht="156.75" x14ac:dyDescent="0.25">
      <c r="A26" s="214" t="s">
        <v>1245</v>
      </c>
      <c r="B26" s="214" t="s">
        <v>1872</v>
      </c>
      <c r="C26" s="947"/>
      <c r="D26" s="947"/>
      <c r="E26" s="947"/>
      <c r="F26" s="108" t="s">
        <v>1875</v>
      </c>
      <c r="G26" s="944"/>
      <c r="H26" s="136" t="s">
        <v>1879</v>
      </c>
      <c r="I26" s="136" t="s">
        <v>1880</v>
      </c>
      <c r="J26" s="136">
        <v>3</v>
      </c>
      <c r="K26" s="136" t="s">
        <v>1835</v>
      </c>
      <c r="L26" s="136">
        <v>6</v>
      </c>
      <c r="M26" s="136">
        <v>2</v>
      </c>
      <c r="N26" s="136" t="s">
        <v>1880</v>
      </c>
      <c r="O26" s="415"/>
      <c r="P26" s="416">
        <f t="shared" si="0"/>
        <v>2000</v>
      </c>
      <c r="Q26" s="415">
        <v>2000</v>
      </c>
      <c r="R26" s="415"/>
      <c r="S26" s="415"/>
      <c r="T26" s="415"/>
      <c r="U26" s="415"/>
      <c r="V26" s="415"/>
      <c r="W26" s="415"/>
      <c r="X26" s="415"/>
      <c r="Y26" s="415"/>
      <c r="Z26" s="415"/>
      <c r="AA26" s="415"/>
      <c r="AB26" s="415"/>
      <c r="AC26" s="415"/>
      <c r="AD26" s="415"/>
      <c r="AE26" s="415"/>
      <c r="AF26" s="415"/>
      <c r="AG26" s="414" t="s">
        <v>1881</v>
      </c>
      <c r="AH26" s="415"/>
      <c r="AI26" s="414" t="s">
        <v>1882</v>
      </c>
      <c r="AJ26" s="414" t="s">
        <v>1121</v>
      </c>
      <c r="AK26" s="414" t="s">
        <v>1883</v>
      </c>
      <c r="AL26" s="415" t="s">
        <v>1042</v>
      </c>
      <c r="AM26" s="414" t="s">
        <v>1884</v>
      </c>
      <c r="AN26" s="415" t="s">
        <v>536</v>
      </c>
      <c r="AO26" s="415" t="s">
        <v>536</v>
      </c>
      <c r="AP26" s="415" t="s">
        <v>536</v>
      </c>
      <c r="AQ26" s="415" t="s">
        <v>536</v>
      </c>
      <c r="AR26" s="415" t="s">
        <v>536</v>
      </c>
      <c r="AS26" s="415" t="s">
        <v>536</v>
      </c>
      <c r="AT26" s="415" t="s">
        <v>536</v>
      </c>
      <c r="AU26" s="415" t="s">
        <v>536</v>
      </c>
      <c r="AV26" s="415" t="s">
        <v>536</v>
      </c>
      <c r="AW26" s="415" t="s">
        <v>536</v>
      </c>
      <c r="AX26" s="415" t="s">
        <v>536</v>
      </c>
      <c r="AY26" s="415" t="s">
        <v>536</v>
      </c>
      <c r="AZ26" s="414" t="s">
        <v>1885</v>
      </c>
      <c r="BA26" s="415" t="s">
        <v>1832</v>
      </c>
    </row>
    <row r="27" spans="1:53" ht="409.5" x14ac:dyDescent="0.25">
      <c r="A27" s="136" t="s">
        <v>1245</v>
      </c>
      <c r="B27" s="136" t="s">
        <v>1872</v>
      </c>
      <c r="C27" s="937"/>
      <c r="D27" s="937"/>
      <c r="E27" s="937"/>
      <c r="F27" s="136" t="s">
        <v>1886</v>
      </c>
      <c r="G27" s="944" t="s">
        <v>2054</v>
      </c>
      <c r="H27" s="944" t="s">
        <v>1887</v>
      </c>
      <c r="I27" s="944" t="s">
        <v>1888</v>
      </c>
      <c r="J27" s="944" t="s">
        <v>1889</v>
      </c>
      <c r="K27" s="944" t="s">
        <v>1835</v>
      </c>
      <c r="L27" s="944">
        <v>10</v>
      </c>
      <c r="M27" s="136">
        <v>2</v>
      </c>
      <c r="N27" s="944" t="s">
        <v>1888</v>
      </c>
      <c r="O27" s="981"/>
      <c r="P27" s="416">
        <f t="shared" si="0"/>
        <v>2148042.4</v>
      </c>
      <c r="Q27" s="415"/>
      <c r="R27" s="415"/>
      <c r="S27" s="415"/>
      <c r="T27" s="415"/>
      <c r="U27" s="415"/>
      <c r="V27" s="415"/>
      <c r="W27" s="427">
        <v>2148042.4</v>
      </c>
      <c r="X27" s="415"/>
      <c r="Y27" s="415"/>
      <c r="Z27" s="415"/>
      <c r="AA27" s="415"/>
      <c r="AB27" s="415"/>
      <c r="AC27" s="415"/>
      <c r="AD27" s="415"/>
      <c r="AE27" s="415"/>
      <c r="AF27" s="415"/>
      <c r="AG27" s="414" t="s">
        <v>1890</v>
      </c>
      <c r="AH27" s="433">
        <v>2018000030006</v>
      </c>
      <c r="AI27" s="425" t="s">
        <v>1891</v>
      </c>
      <c r="AJ27" s="425" t="s">
        <v>1892</v>
      </c>
      <c r="AK27" s="415" t="s">
        <v>1893</v>
      </c>
      <c r="AL27" s="427">
        <v>2148042.4</v>
      </c>
      <c r="AM27" s="414" t="s">
        <v>1894</v>
      </c>
      <c r="AN27" s="415"/>
      <c r="AO27" s="415" t="s">
        <v>536</v>
      </c>
      <c r="AP27" s="415" t="s">
        <v>536</v>
      </c>
      <c r="AQ27" s="415" t="s">
        <v>536</v>
      </c>
      <c r="AR27" s="415" t="s">
        <v>536</v>
      </c>
      <c r="AS27" s="415" t="s">
        <v>536</v>
      </c>
      <c r="AT27" s="415" t="s">
        <v>536</v>
      </c>
      <c r="AU27" s="415" t="s">
        <v>536</v>
      </c>
      <c r="AV27" s="415" t="s">
        <v>536</v>
      </c>
      <c r="AW27" s="415" t="s">
        <v>536</v>
      </c>
      <c r="AX27" s="415" t="s">
        <v>536</v>
      </c>
      <c r="AY27" s="415" t="s">
        <v>536</v>
      </c>
      <c r="AZ27" s="414" t="s">
        <v>1868</v>
      </c>
      <c r="BA27" s="414" t="s">
        <v>1895</v>
      </c>
    </row>
    <row r="28" spans="1:53" ht="210" x14ac:dyDescent="0.25">
      <c r="A28" s="139"/>
      <c r="B28" s="139"/>
      <c r="C28" s="146"/>
      <c r="D28" s="146"/>
      <c r="E28" s="146"/>
      <c r="F28" s="136"/>
      <c r="G28" s="983"/>
      <c r="H28" s="983"/>
      <c r="I28" s="983"/>
      <c r="J28" s="983"/>
      <c r="K28" s="983"/>
      <c r="L28" s="982"/>
      <c r="M28" s="422"/>
      <c r="N28" s="984"/>
      <c r="O28" s="982"/>
      <c r="P28" s="416">
        <f t="shared" si="0"/>
        <v>2030068.7</v>
      </c>
      <c r="Q28" s="415"/>
      <c r="R28" s="415"/>
      <c r="S28" s="415"/>
      <c r="T28" s="415"/>
      <c r="U28" s="415"/>
      <c r="V28" s="415"/>
      <c r="W28" s="434">
        <v>2030068.7</v>
      </c>
      <c r="X28" s="415"/>
      <c r="Y28" s="415"/>
      <c r="Z28" s="415"/>
      <c r="AA28" s="415"/>
      <c r="AB28" s="415"/>
      <c r="AC28" s="415"/>
      <c r="AD28" s="415"/>
      <c r="AE28" s="415"/>
      <c r="AF28" s="415"/>
      <c r="AG28" s="435" t="s">
        <v>1896</v>
      </c>
      <c r="AH28" s="433">
        <v>2018000030003</v>
      </c>
      <c r="AI28" s="435" t="s">
        <v>1897</v>
      </c>
      <c r="AJ28" s="435" t="s">
        <v>1898</v>
      </c>
      <c r="AK28" s="435" t="s">
        <v>1899</v>
      </c>
      <c r="AL28" s="436">
        <v>2030068.7</v>
      </c>
      <c r="AM28" s="414" t="s">
        <v>1900</v>
      </c>
      <c r="AN28" s="415"/>
      <c r="AO28" s="415" t="s">
        <v>536</v>
      </c>
      <c r="AP28" s="415" t="s">
        <v>536</v>
      </c>
      <c r="AQ28" s="415" t="s">
        <v>536</v>
      </c>
      <c r="AR28" s="415" t="s">
        <v>536</v>
      </c>
      <c r="AS28" s="415" t="s">
        <v>536</v>
      </c>
      <c r="AT28" s="415" t="s">
        <v>536</v>
      </c>
      <c r="AU28" s="415" t="s">
        <v>536</v>
      </c>
      <c r="AV28" s="415" t="s">
        <v>536</v>
      </c>
      <c r="AW28" s="415" t="s">
        <v>536</v>
      </c>
      <c r="AX28" s="415" t="s">
        <v>536</v>
      </c>
      <c r="AY28" s="415" t="s">
        <v>536</v>
      </c>
      <c r="AZ28" s="414" t="s">
        <v>1868</v>
      </c>
      <c r="BA28" s="414" t="s">
        <v>1895</v>
      </c>
    </row>
    <row r="29" spans="1:53" ht="213.75" x14ac:dyDescent="0.25">
      <c r="A29" s="214" t="s">
        <v>1245</v>
      </c>
      <c r="B29" s="214" t="s">
        <v>1872</v>
      </c>
      <c r="C29" s="936" t="s">
        <v>1901</v>
      </c>
      <c r="D29" s="936" t="s">
        <v>1902</v>
      </c>
      <c r="E29" s="936">
        <v>11</v>
      </c>
      <c r="F29" s="108" t="s">
        <v>1903</v>
      </c>
      <c r="G29" s="944" t="s">
        <v>2055</v>
      </c>
      <c r="H29" s="136" t="s">
        <v>1904</v>
      </c>
      <c r="I29" s="136" t="s">
        <v>1905</v>
      </c>
      <c r="J29" s="136">
        <v>1</v>
      </c>
      <c r="K29" s="136" t="s">
        <v>1835</v>
      </c>
      <c r="L29" s="136">
        <v>4</v>
      </c>
      <c r="M29" s="136">
        <v>1</v>
      </c>
      <c r="N29" s="136" t="s">
        <v>1905</v>
      </c>
      <c r="O29" s="415"/>
      <c r="P29" s="416">
        <f t="shared" si="0"/>
        <v>40000</v>
      </c>
      <c r="Q29" s="415">
        <v>25000</v>
      </c>
      <c r="R29" s="415"/>
      <c r="S29" s="415"/>
      <c r="T29" s="415"/>
      <c r="U29" s="415"/>
      <c r="V29" s="415"/>
      <c r="W29" s="415"/>
      <c r="X29" s="415"/>
      <c r="Y29" s="415"/>
      <c r="Z29" s="415"/>
      <c r="AA29" s="415"/>
      <c r="AB29" s="415"/>
      <c r="AC29" s="415"/>
      <c r="AD29" s="415">
        <v>15000</v>
      </c>
      <c r="AE29" s="415"/>
      <c r="AF29" s="415"/>
      <c r="AG29" s="414" t="s">
        <v>1906</v>
      </c>
      <c r="AH29" s="437">
        <v>2017003190163</v>
      </c>
      <c r="AI29" s="415" t="s">
        <v>1907</v>
      </c>
      <c r="AJ29" s="435" t="s">
        <v>1121</v>
      </c>
      <c r="AK29" s="415" t="s">
        <v>1908</v>
      </c>
      <c r="AL29" s="427">
        <v>17600</v>
      </c>
      <c r="AM29" s="414" t="s">
        <v>1909</v>
      </c>
      <c r="AN29" s="415"/>
      <c r="AO29" s="415"/>
      <c r="AP29" s="415" t="s">
        <v>536</v>
      </c>
      <c r="AQ29" s="415" t="s">
        <v>536</v>
      </c>
      <c r="AR29" s="415" t="s">
        <v>536</v>
      </c>
      <c r="AS29" s="415" t="s">
        <v>536</v>
      </c>
      <c r="AT29" s="415" t="s">
        <v>536</v>
      </c>
      <c r="AU29" s="415" t="s">
        <v>536</v>
      </c>
      <c r="AV29" s="415" t="s">
        <v>536</v>
      </c>
      <c r="AW29" s="415" t="s">
        <v>536</v>
      </c>
      <c r="AX29" s="415" t="s">
        <v>536</v>
      </c>
      <c r="AY29" s="415" t="s">
        <v>536</v>
      </c>
      <c r="AZ29" s="414" t="s">
        <v>1868</v>
      </c>
      <c r="BA29" s="415"/>
    </row>
    <row r="30" spans="1:53" ht="195" x14ac:dyDescent="0.25">
      <c r="A30" s="214" t="s">
        <v>1245</v>
      </c>
      <c r="B30" s="214" t="s">
        <v>1872</v>
      </c>
      <c r="C30" s="947"/>
      <c r="D30" s="947"/>
      <c r="E30" s="947"/>
      <c r="F30" s="108" t="s">
        <v>1903</v>
      </c>
      <c r="G30" s="944"/>
      <c r="H30" s="136" t="s">
        <v>1910</v>
      </c>
      <c r="I30" s="136" t="s">
        <v>1911</v>
      </c>
      <c r="J30" s="136">
        <v>5</v>
      </c>
      <c r="K30" s="136" t="s">
        <v>1835</v>
      </c>
      <c r="L30" s="136">
        <v>4</v>
      </c>
      <c r="M30" s="136">
        <v>0</v>
      </c>
      <c r="N30" s="136" t="s">
        <v>1911</v>
      </c>
      <c r="O30" s="415"/>
      <c r="P30" s="416">
        <f t="shared" si="0"/>
        <v>0</v>
      </c>
      <c r="Q30" s="415"/>
      <c r="R30" s="415"/>
      <c r="S30" s="415"/>
      <c r="T30" s="415"/>
      <c r="U30" s="415"/>
      <c r="V30" s="415"/>
      <c r="W30" s="415"/>
      <c r="X30" s="415"/>
      <c r="Y30" s="415"/>
      <c r="Z30" s="415"/>
      <c r="AA30" s="415"/>
      <c r="AB30" s="415"/>
      <c r="AC30" s="415"/>
      <c r="AD30" s="415"/>
      <c r="AE30" s="415"/>
      <c r="AF30" s="415"/>
      <c r="AG30" s="414"/>
      <c r="AH30" s="437"/>
      <c r="AI30" s="415"/>
      <c r="AJ30" s="435"/>
      <c r="AK30" s="415"/>
      <c r="AL30" s="427"/>
      <c r="AM30" s="414"/>
      <c r="AN30" s="415"/>
      <c r="AO30" s="415"/>
      <c r="AP30" s="415"/>
      <c r="AQ30" s="415"/>
      <c r="AR30" s="415"/>
      <c r="AS30" s="415"/>
      <c r="AT30" s="415"/>
      <c r="AU30" s="415"/>
      <c r="AV30" s="415"/>
      <c r="AW30" s="415"/>
      <c r="AX30" s="415"/>
      <c r="AY30" s="415"/>
      <c r="AZ30" s="414"/>
      <c r="BA30" s="414" t="s">
        <v>1836</v>
      </c>
    </row>
    <row r="31" spans="1:53" ht="213.75" x14ac:dyDescent="0.25">
      <c r="A31" s="214" t="s">
        <v>1245</v>
      </c>
      <c r="B31" s="214" t="s">
        <v>1872</v>
      </c>
      <c r="C31" s="947"/>
      <c r="D31" s="947"/>
      <c r="E31" s="947"/>
      <c r="F31" s="108" t="s">
        <v>1903</v>
      </c>
      <c r="G31" s="944"/>
      <c r="H31" s="136" t="s">
        <v>1912</v>
      </c>
      <c r="I31" s="136" t="s">
        <v>1913</v>
      </c>
      <c r="J31" s="438">
        <v>1</v>
      </c>
      <c r="K31" s="438" t="s">
        <v>1835</v>
      </c>
      <c r="L31" s="438">
        <v>3</v>
      </c>
      <c r="M31" s="136">
        <v>1</v>
      </c>
      <c r="N31" s="136" t="s">
        <v>1913</v>
      </c>
      <c r="O31" s="415"/>
      <c r="P31" s="416">
        <f t="shared" si="0"/>
        <v>124000</v>
      </c>
      <c r="Q31" s="415">
        <v>70000</v>
      </c>
      <c r="R31" s="415"/>
      <c r="S31" s="415"/>
      <c r="T31" s="415"/>
      <c r="U31" s="415"/>
      <c r="V31" s="415"/>
      <c r="W31" s="415"/>
      <c r="X31" s="415"/>
      <c r="Y31" s="415"/>
      <c r="Z31" s="415"/>
      <c r="AA31" s="415"/>
      <c r="AB31" s="415"/>
      <c r="AC31" s="415">
        <v>24000</v>
      </c>
      <c r="AD31" s="415">
        <v>30000</v>
      </c>
      <c r="AE31" s="415"/>
      <c r="AF31" s="415"/>
      <c r="AG31" s="414" t="s">
        <v>1906</v>
      </c>
      <c r="AH31" s="437">
        <v>2017003190163</v>
      </c>
      <c r="AI31" s="415" t="s">
        <v>1907</v>
      </c>
      <c r="AJ31" s="435" t="s">
        <v>1121</v>
      </c>
      <c r="AK31" s="415" t="s">
        <v>1908</v>
      </c>
      <c r="AL31" s="427">
        <v>59900</v>
      </c>
      <c r="AM31" s="414" t="s">
        <v>1909</v>
      </c>
      <c r="AN31" s="415"/>
      <c r="AO31" s="415"/>
      <c r="AP31" s="415" t="s">
        <v>536</v>
      </c>
      <c r="AQ31" s="415" t="s">
        <v>536</v>
      </c>
      <c r="AR31" s="415" t="s">
        <v>536</v>
      </c>
      <c r="AS31" s="415" t="s">
        <v>536</v>
      </c>
      <c r="AT31" s="415" t="s">
        <v>536</v>
      </c>
      <c r="AU31" s="415" t="s">
        <v>536</v>
      </c>
      <c r="AV31" s="415" t="s">
        <v>536</v>
      </c>
      <c r="AW31" s="415" t="s">
        <v>536</v>
      </c>
      <c r="AX31" s="415" t="s">
        <v>536</v>
      </c>
      <c r="AY31" s="415" t="s">
        <v>536</v>
      </c>
      <c r="AZ31" s="414" t="s">
        <v>1868</v>
      </c>
      <c r="BA31" s="415"/>
    </row>
    <row r="32" spans="1:53" ht="165" x14ac:dyDescent="0.25">
      <c r="A32" s="136" t="s">
        <v>1914</v>
      </c>
      <c r="B32" s="136" t="s">
        <v>1915</v>
      </c>
      <c r="C32" s="947"/>
      <c r="D32" s="947"/>
      <c r="E32" s="947"/>
      <c r="F32" s="136" t="s">
        <v>1916</v>
      </c>
      <c r="G32" s="136" t="s">
        <v>2056</v>
      </c>
      <c r="H32" s="136" t="s">
        <v>1917</v>
      </c>
      <c r="I32" s="136" t="s">
        <v>1918</v>
      </c>
      <c r="J32" s="136">
        <v>13</v>
      </c>
      <c r="K32" s="136" t="s">
        <v>1835</v>
      </c>
      <c r="L32" s="136">
        <v>4</v>
      </c>
      <c r="M32" s="136">
        <v>0</v>
      </c>
      <c r="N32" s="136" t="s">
        <v>1918</v>
      </c>
      <c r="O32" s="415"/>
      <c r="P32" s="416">
        <f t="shared" si="0"/>
        <v>0</v>
      </c>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4" t="s">
        <v>1878</v>
      </c>
    </row>
    <row r="33" spans="1:53" ht="114" customHeight="1" x14ac:dyDescent="0.25">
      <c r="A33" s="214" t="s">
        <v>1245</v>
      </c>
      <c r="B33" s="214" t="s">
        <v>1872</v>
      </c>
      <c r="C33" s="947"/>
      <c r="D33" s="947"/>
      <c r="E33" s="947"/>
      <c r="F33" s="108" t="s">
        <v>1919</v>
      </c>
      <c r="G33" s="944" t="s">
        <v>2057</v>
      </c>
      <c r="H33" s="136" t="s">
        <v>1920</v>
      </c>
      <c r="I33" s="136" t="s">
        <v>1921</v>
      </c>
      <c r="J33" s="438">
        <v>6</v>
      </c>
      <c r="K33" s="438" t="s">
        <v>1835</v>
      </c>
      <c r="L33" s="438">
        <v>4</v>
      </c>
      <c r="M33" s="136">
        <v>1</v>
      </c>
      <c r="N33" s="136" t="s">
        <v>1921</v>
      </c>
      <c r="O33" s="415"/>
      <c r="P33" s="416">
        <f t="shared" si="0"/>
        <v>50000</v>
      </c>
      <c r="Q33" s="423">
        <v>50000</v>
      </c>
      <c r="R33" s="415"/>
      <c r="S33" s="415"/>
      <c r="T33" s="415"/>
      <c r="U33" s="415"/>
      <c r="V33" s="415"/>
      <c r="W33" s="415"/>
      <c r="X33" s="415"/>
      <c r="Y33" s="415"/>
      <c r="Z33" s="415"/>
      <c r="AA33" s="415"/>
      <c r="AB33" s="415"/>
      <c r="AC33" s="415"/>
      <c r="AD33" s="415"/>
      <c r="AE33" s="415"/>
      <c r="AF33" s="415"/>
      <c r="AG33" s="414"/>
      <c r="AH33" s="415"/>
      <c r="AI33" s="414"/>
      <c r="AJ33" s="414"/>
      <c r="AK33" s="414"/>
      <c r="AL33" s="427"/>
      <c r="AM33" s="414"/>
      <c r="AN33" s="415"/>
      <c r="AO33" s="415"/>
      <c r="AP33" s="415"/>
      <c r="AQ33" s="415"/>
      <c r="AR33" s="415"/>
      <c r="AS33" s="415"/>
      <c r="AT33" s="415"/>
      <c r="AU33" s="415"/>
      <c r="AV33" s="415"/>
      <c r="AW33" s="415"/>
      <c r="AX33" s="415"/>
      <c r="AY33" s="415"/>
      <c r="AZ33" s="414"/>
      <c r="BA33" s="414" t="s">
        <v>1922</v>
      </c>
    </row>
    <row r="34" spans="1:53" ht="156.75" x14ac:dyDescent="0.25">
      <c r="A34" s="439" t="s">
        <v>1245</v>
      </c>
      <c r="B34" s="108" t="s">
        <v>1872</v>
      </c>
      <c r="C34" s="947"/>
      <c r="D34" s="947"/>
      <c r="E34" s="947"/>
      <c r="F34" s="108" t="s">
        <v>1919</v>
      </c>
      <c r="G34" s="944"/>
      <c r="H34" s="136" t="s">
        <v>1923</v>
      </c>
      <c r="I34" s="136" t="s">
        <v>1924</v>
      </c>
      <c r="J34" s="438">
        <v>770</v>
      </c>
      <c r="K34" s="438" t="s">
        <v>526</v>
      </c>
      <c r="L34" s="440">
        <v>2000</v>
      </c>
      <c r="M34" s="136">
        <v>1709</v>
      </c>
      <c r="N34" s="136" t="s">
        <v>1924</v>
      </c>
      <c r="O34" s="427"/>
      <c r="P34" s="416">
        <f t="shared" si="0"/>
        <v>5000</v>
      </c>
      <c r="Q34" s="427">
        <v>5000</v>
      </c>
      <c r="R34" s="415"/>
      <c r="S34" s="415"/>
      <c r="T34" s="415"/>
      <c r="U34" s="415"/>
      <c r="V34" s="415"/>
      <c r="W34" s="415"/>
      <c r="X34" s="415"/>
      <c r="Y34" s="415"/>
      <c r="Z34" s="415"/>
      <c r="AA34" s="415"/>
      <c r="AB34" s="415"/>
      <c r="AC34" s="415"/>
      <c r="AD34" s="415"/>
      <c r="AE34" s="415"/>
      <c r="AF34" s="415"/>
      <c r="AG34" s="414" t="s">
        <v>1881</v>
      </c>
      <c r="AH34" s="415"/>
      <c r="AI34" s="415" t="s">
        <v>1042</v>
      </c>
      <c r="AJ34" s="414" t="s">
        <v>1121</v>
      </c>
      <c r="AK34" s="414" t="s">
        <v>1883</v>
      </c>
      <c r="AL34" s="415" t="s">
        <v>1042</v>
      </c>
      <c r="AM34" s="414" t="s">
        <v>1925</v>
      </c>
      <c r="AN34" s="415"/>
      <c r="AO34" s="415" t="s">
        <v>536</v>
      </c>
      <c r="AP34" s="415" t="s">
        <v>536</v>
      </c>
      <c r="AQ34" s="415" t="s">
        <v>536</v>
      </c>
      <c r="AR34" s="415" t="s">
        <v>536</v>
      </c>
      <c r="AS34" s="415" t="s">
        <v>536</v>
      </c>
      <c r="AT34" s="415" t="s">
        <v>536</v>
      </c>
      <c r="AU34" s="415" t="s">
        <v>536</v>
      </c>
      <c r="AV34" s="415" t="s">
        <v>536</v>
      </c>
      <c r="AW34" s="415" t="s">
        <v>536</v>
      </c>
      <c r="AX34" s="415" t="s">
        <v>536</v>
      </c>
      <c r="AY34" s="415" t="s">
        <v>536</v>
      </c>
      <c r="AZ34" s="414" t="s">
        <v>1885</v>
      </c>
      <c r="BA34" s="414" t="s">
        <v>1926</v>
      </c>
    </row>
    <row r="35" spans="1:53" ht="228" x14ac:dyDescent="0.25">
      <c r="A35" s="441" t="s">
        <v>1245</v>
      </c>
      <c r="B35" s="441" t="s">
        <v>1872</v>
      </c>
      <c r="C35" s="937"/>
      <c r="D35" s="937"/>
      <c r="E35" s="937"/>
      <c r="F35" s="108" t="s">
        <v>1919</v>
      </c>
      <c r="G35" s="944"/>
      <c r="H35" s="136" t="s">
        <v>1927</v>
      </c>
      <c r="I35" s="136" t="s">
        <v>1928</v>
      </c>
      <c r="J35" s="438">
        <v>1020</v>
      </c>
      <c r="K35" s="438" t="s">
        <v>1835</v>
      </c>
      <c r="L35" s="438">
        <v>500</v>
      </c>
      <c r="M35" s="136">
        <v>125</v>
      </c>
      <c r="N35" s="136" t="s">
        <v>1928</v>
      </c>
      <c r="O35" s="415"/>
      <c r="P35" s="416">
        <f t="shared" si="0"/>
        <v>330000</v>
      </c>
      <c r="Q35" s="427">
        <v>50000</v>
      </c>
      <c r="R35" s="415"/>
      <c r="S35" s="415"/>
      <c r="T35" s="415"/>
      <c r="U35" s="415"/>
      <c r="V35" s="415"/>
      <c r="W35" s="415"/>
      <c r="X35" s="415"/>
      <c r="Y35" s="415"/>
      <c r="Z35" s="415"/>
      <c r="AA35" s="415">
        <v>200000</v>
      </c>
      <c r="AB35" s="415"/>
      <c r="AC35" s="415"/>
      <c r="AD35" s="415">
        <v>80000</v>
      </c>
      <c r="AE35" s="415"/>
      <c r="AF35" s="415"/>
      <c r="AG35" s="414" t="s">
        <v>1929</v>
      </c>
      <c r="AH35" s="437">
        <v>2018003190015</v>
      </c>
      <c r="AI35" s="414" t="s">
        <v>1930</v>
      </c>
      <c r="AJ35" s="415" t="s">
        <v>1042</v>
      </c>
      <c r="AK35" s="415" t="s">
        <v>1042</v>
      </c>
      <c r="AL35" s="427">
        <v>309800</v>
      </c>
      <c r="AM35" s="414" t="s">
        <v>1931</v>
      </c>
      <c r="AN35" s="415"/>
      <c r="AO35" s="415"/>
      <c r="AP35" s="415"/>
      <c r="AQ35" s="415"/>
      <c r="AR35" s="415" t="s">
        <v>536</v>
      </c>
      <c r="AS35" s="415" t="s">
        <v>536</v>
      </c>
      <c r="AT35" s="415" t="s">
        <v>536</v>
      </c>
      <c r="AU35" s="415" t="s">
        <v>536</v>
      </c>
      <c r="AV35" s="415" t="s">
        <v>536</v>
      </c>
      <c r="AW35" s="415" t="s">
        <v>536</v>
      </c>
      <c r="AX35" s="415" t="s">
        <v>536</v>
      </c>
      <c r="AY35" s="415" t="s">
        <v>536</v>
      </c>
      <c r="AZ35" s="414" t="s">
        <v>1868</v>
      </c>
      <c r="BA35" s="415"/>
    </row>
    <row r="36" spans="1:53" ht="409.5" x14ac:dyDescent="0.25">
      <c r="A36" s="214" t="s">
        <v>1245</v>
      </c>
      <c r="B36" s="214" t="s">
        <v>1872</v>
      </c>
      <c r="C36" s="936" t="s">
        <v>1932</v>
      </c>
      <c r="D36" s="936" t="s">
        <v>1933</v>
      </c>
      <c r="E36" s="936">
        <v>0</v>
      </c>
      <c r="F36" s="108" t="s">
        <v>1934</v>
      </c>
      <c r="G36" s="944" t="s">
        <v>2058</v>
      </c>
      <c r="H36" s="136" t="s">
        <v>1935</v>
      </c>
      <c r="I36" s="136" t="s">
        <v>1936</v>
      </c>
      <c r="J36" s="438" t="s">
        <v>1937</v>
      </c>
      <c r="K36" s="438" t="s">
        <v>1835</v>
      </c>
      <c r="L36" s="442">
        <v>0.2</v>
      </c>
      <c r="M36" s="443">
        <v>0.08</v>
      </c>
      <c r="N36" s="444" t="s">
        <v>1936</v>
      </c>
      <c r="O36" s="445"/>
      <c r="P36" s="416">
        <f>SUM(Q36:AF36)</f>
        <v>1235004743</v>
      </c>
      <c r="Q36" s="415"/>
      <c r="R36" s="415"/>
      <c r="S36" s="415"/>
      <c r="T36" s="415"/>
      <c r="U36" s="415"/>
      <c r="V36" s="415"/>
      <c r="W36" s="446">
        <v>1234804743</v>
      </c>
      <c r="X36" s="415"/>
      <c r="Y36" s="415"/>
      <c r="Z36" s="415"/>
      <c r="AA36" s="415"/>
      <c r="AB36" s="415"/>
      <c r="AC36" s="415"/>
      <c r="AD36" s="415">
        <v>200000</v>
      </c>
      <c r="AE36" s="415"/>
      <c r="AF36" s="415"/>
      <c r="AG36" s="414" t="s">
        <v>1938</v>
      </c>
      <c r="AH36" s="414" t="s">
        <v>1939</v>
      </c>
      <c r="AI36" s="415">
        <v>42</v>
      </c>
      <c r="AJ36" s="415"/>
      <c r="AK36" s="427">
        <v>812840</v>
      </c>
      <c r="AL36" s="415">
        <v>1234804743</v>
      </c>
      <c r="AM36" s="444" t="s">
        <v>1940</v>
      </c>
      <c r="AN36" s="418" t="s">
        <v>536</v>
      </c>
      <c r="AO36" s="418" t="s">
        <v>536</v>
      </c>
      <c r="AP36" s="418" t="s">
        <v>536</v>
      </c>
      <c r="AQ36" s="418" t="s">
        <v>536</v>
      </c>
      <c r="AR36" s="418" t="s">
        <v>536</v>
      </c>
      <c r="AS36" s="418" t="s">
        <v>536</v>
      </c>
      <c r="AT36" s="418" t="s">
        <v>536</v>
      </c>
      <c r="AU36" s="418" t="s">
        <v>536</v>
      </c>
      <c r="AV36" s="415"/>
      <c r="AW36" s="415"/>
      <c r="AX36" s="415"/>
      <c r="AY36" s="415"/>
      <c r="AZ36" s="414" t="s">
        <v>1868</v>
      </c>
      <c r="BA36" s="444" t="s">
        <v>1941</v>
      </c>
    </row>
    <row r="37" spans="1:53" ht="270" x14ac:dyDescent="0.25">
      <c r="A37" s="214" t="s">
        <v>1245</v>
      </c>
      <c r="B37" s="214" t="s">
        <v>1872</v>
      </c>
      <c r="C37" s="947"/>
      <c r="D37" s="947"/>
      <c r="E37" s="947"/>
      <c r="F37" s="108" t="s">
        <v>1934</v>
      </c>
      <c r="G37" s="944"/>
      <c r="H37" s="136" t="s">
        <v>1942</v>
      </c>
      <c r="I37" s="136" t="s">
        <v>1943</v>
      </c>
      <c r="J37" s="438">
        <v>16</v>
      </c>
      <c r="K37" s="438" t="s">
        <v>1835</v>
      </c>
      <c r="L37" s="438">
        <v>1</v>
      </c>
      <c r="M37" s="136">
        <v>0.25</v>
      </c>
      <c r="N37" s="136" t="s">
        <v>1943</v>
      </c>
      <c r="O37" s="415"/>
      <c r="P37" s="423">
        <v>4000</v>
      </c>
      <c r="Q37" s="427">
        <f>P37</f>
        <v>4000</v>
      </c>
      <c r="R37" s="415"/>
      <c r="S37" s="415"/>
      <c r="T37" s="415"/>
      <c r="U37" s="415"/>
      <c r="V37" s="415"/>
      <c r="W37" s="415"/>
      <c r="X37" s="415"/>
      <c r="Y37" s="415"/>
      <c r="Z37" s="415"/>
      <c r="AA37" s="415"/>
      <c r="AB37" s="415"/>
      <c r="AC37" s="415"/>
      <c r="AD37" s="415"/>
      <c r="AE37" s="415"/>
      <c r="AF37" s="415"/>
      <c r="AG37" s="414" t="s">
        <v>1881</v>
      </c>
      <c r="AH37" s="415"/>
      <c r="AI37" s="415" t="s">
        <v>1042</v>
      </c>
      <c r="AJ37" s="414" t="s">
        <v>1121</v>
      </c>
      <c r="AK37" s="414" t="s">
        <v>1883</v>
      </c>
      <c r="AL37" s="427"/>
      <c r="AM37" s="414" t="s">
        <v>1925</v>
      </c>
      <c r="AN37" s="415"/>
      <c r="AO37" s="415" t="s">
        <v>536</v>
      </c>
      <c r="AP37" s="415" t="s">
        <v>536</v>
      </c>
      <c r="AQ37" s="415" t="s">
        <v>536</v>
      </c>
      <c r="AR37" s="415" t="s">
        <v>536</v>
      </c>
      <c r="AS37" s="415" t="s">
        <v>536</v>
      </c>
      <c r="AT37" s="415" t="s">
        <v>536</v>
      </c>
      <c r="AU37" s="415" t="s">
        <v>536</v>
      </c>
      <c r="AV37" s="415" t="s">
        <v>536</v>
      </c>
      <c r="AW37" s="415" t="s">
        <v>536</v>
      </c>
      <c r="AX37" s="415" t="s">
        <v>536</v>
      </c>
      <c r="AY37" s="415" t="s">
        <v>536</v>
      </c>
      <c r="AZ37" s="414" t="s">
        <v>1885</v>
      </c>
      <c r="BA37" s="414" t="s">
        <v>1926</v>
      </c>
    </row>
    <row r="38" spans="1:53" ht="156.75" x14ac:dyDescent="0.25">
      <c r="A38" s="214" t="s">
        <v>1245</v>
      </c>
      <c r="B38" s="214" t="s">
        <v>1872</v>
      </c>
      <c r="C38" s="947"/>
      <c r="D38" s="947"/>
      <c r="E38" s="947"/>
      <c r="F38" s="108" t="s">
        <v>1934</v>
      </c>
      <c r="G38" s="944"/>
      <c r="H38" s="136" t="s">
        <v>1944</v>
      </c>
      <c r="I38" s="136" t="s">
        <v>1945</v>
      </c>
      <c r="J38" s="438">
        <v>9367</v>
      </c>
      <c r="K38" s="438" t="s">
        <v>1835</v>
      </c>
      <c r="L38" s="440">
        <v>6000</v>
      </c>
      <c r="M38" s="136">
        <v>1500</v>
      </c>
      <c r="N38" s="136" t="s">
        <v>1945</v>
      </c>
      <c r="O38" s="427"/>
      <c r="P38" s="416">
        <f t="shared" si="0"/>
        <v>75000</v>
      </c>
      <c r="Q38" s="416"/>
      <c r="R38" s="415"/>
      <c r="S38" s="415"/>
      <c r="T38" s="415"/>
      <c r="U38" s="415"/>
      <c r="V38" s="415"/>
      <c r="W38" s="415"/>
      <c r="X38" s="415"/>
      <c r="Y38" s="415"/>
      <c r="Z38" s="415"/>
      <c r="AA38" s="415"/>
      <c r="AB38" s="415"/>
      <c r="AC38" s="415"/>
      <c r="AD38" s="415">
        <v>75000</v>
      </c>
      <c r="AE38" s="415"/>
      <c r="AF38" s="415"/>
      <c r="AG38" s="414" t="s">
        <v>1946</v>
      </c>
      <c r="AH38" s="447">
        <v>2017003190381</v>
      </c>
      <c r="AI38" s="414" t="s">
        <v>1947</v>
      </c>
      <c r="AJ38" s="414" t="s">
        <v>1121</v>
      </c>
      <c r="AK38" s="414">
        <v>4000</v>
      </c>
      <c r="AL38" s="448">
        <v>75000</v>
      </c>
      <c r="AM38" s="136" t="s">
        <v>1948</v>
      </c>
      <c r="AN38" s="415" t="s">
        <v>554</v>
      </c>
      <c r="AO38" s="415" t="s">
        <v>554</v>
      </c>
      <c r="AP38" s="415" t="s">
        <v>554</v>
      </c>
      <c r="AQ38" s="415" t="s">
        <v>554</v>
      </c>
      <c r="AR38" s="415" t="s">
        <v>554</v>
      </c>
      <c r="AS38" s="415" t="s">
        <v>554</v>
      </c>
      <c r="AT38" s="415" t="s">
        <v>554</v>
      </c>
      <c r="AU38" s="415" t="s">
        <v>554</v>
      </c>
      <c r="AV38" s="415" t="s">
        <v>554</v>
      </c>
      <c r="AW38" s="415" t="s">
        <v>554</v>
      </c>
      <c r="AX38" s="415" t="s">
        <v>554</v>
      </c>
      <c r="AY38" s="415" t="s">
        <v>554</v>
      </c>
      <c r="AZ38" s="414" t="s">
        <v>1868</v>
      </c>
      <c r="BA38" s="415"/>
    </row>
    <row r="39" spans="1:53" ht="156.75" x14ac:dyDescent="0.25">
      <c r="A39" s="214" t="s">
        <v>1245</v>
      </c>
      <c r="B39" s="214" t="s">
        <v>1872</v>
      </c>
      <c r="C39" s="937"/>
      <c r="D39" s="937"/>
      <c r="E39" s="937"/>
      <c r="F39" s="108" t="s">
        <v>1934</v>
      </c>
      <c r="G39" s="944"/>
      <c r="H39" s="136" t="s">
        <v>1949</v>
      </c>
      <c r="I39" s="136" t="s">
        <v>1950</v>
      </c>
      <c r="J39" s="136">
        <v>46</v>
      </c>
      <c r="K39" s="136" t="s">
        <v>1835</v>
      </c>
      <c r="L39" s="136">
        <v>40</v>
      </c>
      <c r="M39" s="136">
        <v>10</v>
      </c>
      <c r="N39" s="136" t="s">
        <v>1950</v>
      </c>
      <c r="O39" s="415"/>
      <c r="P39" s="416">
        <f t="shared" si="0"/>
        <v>2000</v>
      </c>
      <c r="Q39" s="416">
        <v>2000</v>
      </c>
      <c r="R39" s="415"/>
      <c r="S39" s="415"/>
      <c r="T39" s="415"/>
      <c r="U39" s="415"/>
      <c r="V39" s="415"/>
      <c r="W39" s="415"/>
      <c r="X39" s="415"/>
      <c r="Y39" s="415"/>
      <c r="Z39" s="415"/>
      <c r="AA39" s="415"/>
      <c r="AB39" s="415"/>
      <c r="AC39" s="415"/>
      <c r="AD39" s="415"/>
      <c r="AE39" s="415"/>
      <c r="AF39" s="415"/>
      <c r="AG39" s="414" t="s">
        <v>1946</v>
      </c>
      <c r="AH39" s="447">
        <v>2017003190381</v>
      </c>
      <c r="AI39" s="414" t="s">
        <v>1947</v>
      </c>
      <c r="AJ39" s="414" t="s">
        <v>1121</v>
      </c>
      <c r="AK39" s="414">
        <v>1000</v>
      </c>
      <c r="AL39" s="448">
        <v>2000</v>
      </c>
      <c r="AM39" s="136" t="s">
        <v>1951</v>
      </c>
      <c r="AN39" s="415" t="s">
        <v>554</v>
      </c>
      <c r="AO39" s="415" t="s">
        <v>554</v>
      </c>
      <c r="AP39" s="415" t="s">
        <v>554</v>
      </c>
      <c r="AQ39" s="415" t="s">
        <v>554</v>
      </c>
      <c r="AR39" s="415" t="s">
        <v>554</v>
      </c>
      <c r="AS39" s="415" t="s">
        <v>554</v>
      </c>
      <c r="AT39" s="415" t="s">
        <v>554</v>
      </c>
      <c r="AU39" s="415" t="s">
        <v>554</v>
      </c>
      <c r="AV39" s="415" t="s">
        <v>554</v>
      </c>
      <c r="AW39" s="415" t="s">
        <v>554</v>
      </c>
      <c r="AX39" s="415" t="s">
        <v>554</v>
      </c>
      <c r="AY39" s="415" t="s">
        <v>554</v>
      </c>
      <c r="AZ39" s="414" t="s">
        <v>1868</v>
      </c>
      <c r="BA39" s="415"/>
    </row>
    <row r="40" spans="1:53" ht="150" x14ac:dyDescent="0.25">
      <c r="A40" s="214" t="s">
        <v>1245</v>
      </c>
      <c r="B40" s="214" t="s">
        <v>1872</v>
      </c>
      <c r="C40" s="936" t="s">
        <v>1952</v>
      </c>
      <c r="D40" s="936" t="s">
        <v>1953</v>
      </c>
      <c r="E40" s="936">
        <v>6</v>
      </c>
      <c r="F40" s="108" t="s">
        <v>1934</v>
      </c>
      <c r="G40" s="944"/>
      <c r="H40" s="136" t="s">
        <v>1954</v>
      </c>
      <c r="I40" s="136" t="s">
        <v>1955</v>
      </c>
      <c r="J40" s="136">
        <v>0</v>
      </c>
      <c r="K40" s="136" t="s">
        <v>1835</v>
      </c>
      <c r="L40" s="136">
        <v>1</v>
      </c>
      <c r="M40" s="136">
        <v>0</v>
      </c>
      <c r="N40" s="136" t="s">
        <v>1955</v>
      </c>
      <c r="O40" s="415"/>
      <c r="P40" s="416">
        <f t="shared" si="0"/>
        <v>0</v>
      </c>
      <c r="Q40" s="415"/>
      <c r="R40" s="415"/>
      <c r="S40" s="415"/>
      <c r="T40" s="415"/>
      <c r="U40" s="415"/>
      <c r="V40" s="415"/>
      <c r="W40" s="415"/>
      <c r="X40" s="415"/>
      <c r="Y40" s="415"/>
      <c r="Z40" s="415"/>
      <c r="AA40" s="415"/>
      <c r="AB40" s="415"/>
      <c r="AC40" s="415"/>
      <c r="AD40" s="415"/>
      <c r="AE40" s="415"/>
      <c r="AF40" s="415"/>
      <c r="AG40" s="417"/>
      <c r="AH40" s="414"/>
      <c r="AI40" s="414"/>
      <c r="AJ40" s="414"/>
      <c r="AK40" s="414"/>
      <c r="AL40" s="414"/>
      <c r="AM40" s="414"/>
      <c r="AN40" s="415"/>
      <c r="AO40" s="418"/>
      <c r="AP40" s="418"/>
      <c r="AQ40" s="418"/>
      <c r="AR40" s="418"/>
      <c r="AS40" s="418"/>
      <c r="AT40" s="418"/>
      <c r="AU40" s="418"/>
      <c r="AV40" s="418"/>
      <c r="AW40" s="418"/>
      <c r="AX40" s="418"/>
      <c r="AY40" s="418"/>
      <c r="AZ40" s="414"/>
      <c r="BA40" s="414" t="s">
        <v>1836</v>
      </c>
    </row>
    <row r="41" spans="1:53" ht="120" x14ac:dyDescent="0.25">
      <c r="A41" s="214" t="s">
        <v>1245</v>
      </c>
      <c r="B41" s="214" t="s">
        <v>1872</v>
      </c>
      <c r="C41" s="947"/>
      <c r="D41" s="947"/>
      <c r="E41" s="947"/>
      <c r="F41" s="108" t="s">
        <v>1934</v>
      </c>
      <c r="G41" s="944"/>
      <c r="H41" s="136" t="s">
        <v>1956</v>
      </c>
      <c r="I41" s="136" t="s">
        <v>1957</v>
      </c>
      <c r="J41" s="136">
        <v>0</v>
      </c>
      <c r="K41" s="136" t="s">
        <v>1835</v>
      </c>
      <c r="L41" s="136">
        <v>7</v>
      </c>
      <c r="M41" s="136">
        <v>6.5</v>
      </c>
      <c r="N41" s="136" t="s">
        <v>1957</v>
      </c>
      <c r="O41" s="415"/>
      <c r="P41" s="416">
        <f t="shared" si="0"/>
        <v>121000</v>
      </c>
      <c r="Q41" s="415">
        <v>66000</v>
      </c>
      <c r="R41" s="415"/>
      <c r="S41" s="415"/>
      <c r="T41" s="415"/>
      <c r="U41" s="415"/>
      <c r="V41" s="415"/>
      <c r="W41" s="415"/>
      <c r="X41" s="415"/>
      <c r="Y41" s="415"/>
      <c r="Z41" s="415"/>
      <c r="AA41" s="415"/>
      <c r="AB41" s="415"/>
      <c r="AC41" s="415"/>
      <c r="AD41" s="415">
        <v>55000</v>
      </c>
      <c r="AE41" s="415"/>
      <c r="AF41" s="415"/>
      <c r="AG41" s="417" t="s">
        <v>1827</v>
      </c>
      <c r="AH41" s="414"/>
      <c r="AI41" s="414" t="s">
        <v>1828</v>
      </c>
      <c r="AJ41" s="414" t="s">
        <v>1121</v>
      </c>
      <c r="AK41" s="415">
        <v>168120</v>
      </c>
      <c r="AL41" s="415">
        <v>43000</v>
      </c>
      <c r="AM41" s="414" t="s">
        <v>1958</v>
      </c>
      <c r="AN41" s="415"/>
      <c r="AO41" s="415"/>
      <c r="AP41" s="415"/>
      <c r="AQ41" s="415"/>
      <c r="AR41" s="415"/>
      <c r="AS41" s="418" t="s">
        <v>536</v>
      </c>
      <c r="AT41" s="418" t="s">
        <v>536</v>
      </c>
      <c r="AU41" s="418" t="s">
        <v>536</v>
      </c>
      <c r="AV41" s="418" t="s">
        <v>536</v>
      </c>
      <c r="AW41" s="418" t="s">
        <v>536</v>
      </c>
      <c r="AX41" s="418" t="s">
        <v>536</v>
      </c>
      <c r="AY41" s="418" t="s">
        <v>536</v>
      </c>
      <c r="AZ41" s="414" t="s">
        <v>1831</v>
      </c>
      <c r="BA41" s="415"/>
    </row>
    <row r="42" spans="1:53" ht="120" x14ac:dyDescent="0.25">
      <c r="A42" s="214" t="s">
        <v>1959</v>
      </c>
      <c r="B42" s="108" t="s">
        <v>1960</v>
      </c>
      <c r="C42" s="947"/>
      <c r="D42" s="947"/>
      <c r="E42" s="947"/>
      <c r="F42" s="108" t="s">
        <v>1934</v>
      </c>
      <c r="G42" s="944"/>
      <c r="H42" s="111" t="s">
        <v>1961</v>
      </c>
      <c r="I42" s="111" t="s">
        <v>1962</v>
      </c>
      <c r="J42" s="136">
        <v>25</v>
      </c>
      <c r="K42" s="136" t="s">
        <v>526</v>
      </c>
      <c r="L42" s="136">
        <v>8</v>
      </c>
      <c r="M42" s="136">
        <v>2</v>
      </c>
      <c r="N42" s="111" t="s">
        <v>1962</v>
      </c>
      <c r="O42" s="415"/>
      <c r="P42" s="416">
        <f t="shared" si="0"/>
        <v>40000</v>
      </c>
      <c r="Q42" s="449">
        <v>40000</v>
      </c>
      <c r="R42" s="415"/>
      <c r="S42" s="415"/>
      <c r="T42" s="415"/>
      <c r="U42" s="415"/>
      <c r="V42" s="415"/>
      <c r="W42" s="415"/>
      <c r="X42" s="415"/>
      <c r="Y42" s="415"/>
      <c r="Z42" s="415"/>
      <c r="AA42" s="415"/>
      <c r="AB42" s="415"/>
      <c r="AC42" s="415"/>
      <c r="AD42" s="415"/>
      <c r="AE42" s="415"/>
      <c r="AF42" s="415"/>
      <c r="AG42" s="417" t="s">
        <v>1827</v>
      </c>
      <c r="AH42" s="414"/>
      <c r="AI42" s="414" t="s">
        <v>1828</v>
      </c>
      <c r="AJ42" s="414" t="s">
        <v>1121</v>
      </c>
      <c r="AK42" s="415">
        <v>24874</v>
      </c>
      <c r="AL42" s="415">
        <v>40000</v>
      </c>
      <c r="AM42" s="414" t="s">
        <v>1963</v>
      </c>
      <c r="AN42" s="415"/>
      <c r="AO42" s="415"/>
      <c r="AP42" s="415"/>
      <c r="AQ42" s="415"/>
      <c r="AR42" s="418" t="s">
        <v>536</v>
      </c>
      <c r="AS42" s="418" t="s">
        <v>536</v>
      </c>
      <c r="AT42" s="418" t="s">
        <v>536</v>
      </c>
      <c r="AU42" s="418" t="s">
        <v>536</v>
      </c>
      <c r="AV42" s="418" t="s">
        <v>536</v>
      </c>
      <c r="AW42" s="418" t="s">
        <v>536</v>
      </c>
      <c r="AX42" s="418" t="s">
        <v>536</v>
      </c>
      <c r="AY42" s="418" t="s">
        <v>536</v>
      </c>
      <c r="AZ42" s="414" t="s">
        <v>1831</v>
      </c>
      <c r="BA42" s="415"/>
    </row>
    <row r="43" spans="1:53" ht="120" x14ac:dyDescent="0.25">
      <c r="A43" s="214" t="s">
        <v>1245</v>
      </c>
      <c r="B43" s="214" t="s">
        <v>1872</v>
      </c>
      <c r="C43" s="947"/>
      <c r="D43" s="947"/>
      <c r="E43" s="947"/>
      <c r="F43" s="108" t="s">
        <v>1934</v>
      </c>
      <c r="G43" s="944"/>
      <c r="H43" s="136" t="s">
        <v>1964</v>
      </c>
      <c r="I43" s="136" t="s">
        <v>1965</v>
      </c>
      <c r="J43" s="136">
        <v>25</v>
      </c>
      <c r="K43" s="136" t="s">
        <v>1835</v>
      </c>
      <c r="L43" s="136">
        <v>6</v>
      </c>
      <c r="M43" s="136">
        <v>1</v>
      </c>
      <c r="N43" s="136" t="s">
        <v>1965</v>
      </c>
      <c r="O43" s="415"/>
      <c r="P43" s="416">
        <f t="shared" si="0"/>
        <v>0</v>
      </c>
      <c r="Q43" s="415"/>
      <c r="R43" s="415"/>
      <c r="S43" s="415"/>
      <c r="T43" s="415"/>
      <c r="U43" s="415"/>
      <c r="V43" s="415"/>
      <c r="W43" s="415"/>
      <c r="X43" s="415"/>
      <c r="Y43" s="415"/>
      <c r="Z43" s="415"/>
      <c r="AA43" s="415"/>
      <c r="AB43" s="415"/>
      <c r="AC43" s="415"/>
      <c r="AD43" s="415"/>
      <c r="AE43" s="415"/>
      <c r="AF43" s="415"/>
      <c r="AG43" s="417"/>
      <c r="AH43" s="414"/>
      <c r="AI43" s="414"/>
      <c r="AJ43" s="414"/>
      <c r="AK43" s="415"/>
      <c r="AL43" s="415"/>
      <c r="AM43" s="415"/>
      <c r="AN43" s="415"/>
      <c r="AO43" s="415"/>
      <c r="AP43" s="415"/>
      <c r="AQ43" s="415"/>
      <c r="AR43" s="415"/>
      <c r="AS43" s="415"/>
      <c r="AT43" s="415"/>
      <c r="AU43" s="415"/>
      <c r="AV43" s="415"/>
      <c r="AW43" s="415"/>
      <c r="AX43" s="415"/>
      <c r="AY43" s="415"/>
      <c r="AZ43" s="414"/>
      <c r="BA43" s="414" t="s">
        <v>1836</v>
      </c>
    </row>
    <row r="44" spans="1:53" ht="120" x14ac:dyDescent="0.25">
      <c r="A44" s="214" t="s">
        <v>1245</v>
      </c>
      <c r="B44" s="214" t="s">
        <v>1872</v>
      </c>
      <c r="C44" s="937"/>
      <c r="D44" s="937"/>
      <c r="E44" s="937"/>
      <c r="F44" s="108" t="s">
        <v>1934</v>
      </c>
      <c r="G44" s="944"/>
      <c r="H44" s="136" t="s">
        <v>1966</v>
      </c>
      <c r="I44" s="136" t="s">
        <v>1967</v>
      </c>
      <c r="J44" s="136">
        <v>3</v>
      </c>
      <c r="K44" s="136" t="s">
        <v>1835</v>
      </c>
      <c r="L44" s="136">
        <v>12</v>
      </c>
      <c r="M44" s="136">
        <v>6</v>
      </c>
      <c r="N44" s="136" t="s">
        <v>1967</v>
      </c>
      <c r="O44" s="415"/>
      <c r="P44" s="416">
        <f>SUM(Q44:AF44)</f>
        <v>3000</v>
      </c>
      <c r="Q44" s="415">
        <v>3000</v>
      </c>
      <c r="R44" s="415"/>
      <c r="S44" s="415"/>
      <c r="T44" s="415"/>
      <c r="U44" s="415"/>
      <c r="V44" s="415"/>
      <c r="W44" s="415"/>
      <c r="X44" s="415"/>
      <c r="Y44" s="415"/>
      <c r="Z44" s="415"/>
      <c r="AA44" s="415"/>
      <c r="AB44" s="415"/>
      <c r="AC44" s="415"/>
      <c r="AD44" s="415"/>
      <c r="AE44" s="415"/>
      <c r="AF44" s="415"/>
      <c r="AG44" s="417" t="s">
        <v>1827</v>
      </c>
      <c r="AH44" s="414"/>
      <c r="AI44" s="414" t="s">
        <v>1828</v>
      </c>
      <c r="AJ44" s="414" t="s">
        <v>1121</v>
      </c>
      <c r="AK44" s="419">
        <v>1400000</v>
      </c>
      <c r="AL44" s="415">
        <v>3000</v>
      </c>
      <c r="AM44" s="414" t="s">
        <v>1968</v>
      </c>
      <c r="AN44" s="415"/>
      <c r="AO44" s="415"/>
      <c r="AP44" s="415"/>
      <c r="AQ44" s="418" t="s">
        <v>536</v>
      </c>
      <c r="AR44" s="418"/>
      <c r="AS44" s="418"/>
      <c r="AT44" s="418"/>
      <c r="AU44" s="418" t="s">
        <v>536</v>
      </c>
      <c r="AV44" s="418"/>
      <c r="AW44" s="418"/>
      <c r="AX44" s="418" t="s">
        <v>536</v>
      </c>
      <c r="AY44" s="415"/>
      <c r="AZ44" s="414" t="s">
        <v>1831</v>
      </c>
      <c r="BA44" s="415"/>
    </row>
    <row r="45" spans="1:53" ht="210" customHeight="1" x14ac:dyDescent="0.25">
      <c r="A45" s="214" t="s">
        <v>1959</v>
      </c>
      <c r="B45" s="108" t="s">
        <v>1960</v>
      </c>
      <c r="C45" s="936" t="s">
        <v>1969</v>
      </c>
      <c r="D45" s="936" t="s">
        <v>1970</v>
      </c>
      <c r="E45" s="936" t="s">
        <v>1971</v>
      </c>
      <c r="F45" s="108" t="s">
        <v>1972</v>
      </c>
      <c r="G45" s="944" t="s">
        <v>2059</v>
      </c>
      <c r="H45" s="178" t="s">
        <v>1973</v>
      </c>
      <c r="I45" s="136" t="s">
        <v>1974</v>
      </c>
      <c r="J45" s="136">
        <v>30000</v>
      </c>
      <c r="K45" s="136" t="s">
        <v>526</v>
      </c>
      <c r="L45" s="443">
        <v>0.25</v>
      </c>
      <c r="M45" s="136">
        <v>310</v>
      </c>
      <c r="N45" s="136" t="s">
        <v>1974</v>
      </c>
      <c r="O45" s="437"/>
      <c r="P45" s="416">
        <f t="shared" si="0"/>
        <v>1400000</v>
      </c>
      <c r="Q45" s="450"/>
      <c r="R45" s="450"/>
      <c r="S45" s="450"/>
      <c r="T45" s="450"/>
      <c r="U45" s="450"/>
      <c r="V45" s="450"/>
      <c r="W45" s="450">
        <v>1400000</v>
      </c>
      <c r="X45" s="450"/>
      <c r="Y45" s="450"/>
      <c r="Z45" s="450"/>
      <c r="AA45" s="450"/>
      <c r="AB45" s="450"/>
      <c r="AC45" s="450"/>
      <c r="AD45" s="450"/>
      <c r="AE45" s="450"/>
      <c r="AF45" s="450"/>
      <c r="AG45" s="450" t="s">
        <v>1975</v>
      </c>
      <c r="AH45" s="450"/>
      <c r="AI45" s="450" t="s">
        <v>1976</v>
      </c>
      <c r="AJ45" s="450" t="s">
        <v>856</v>
      </c>
      <c r="AK45" s="450" t="s">
        <v>1976</v>
      </c>
      <c r="AL45" s="450">
        <f>P45</f>
        <v>1400000</v>
      </c>
      <c r="AM45" s="417" t="s">
        <v>1977</v>
      </c>
      <c r="AN45" s="450"/>
      <c r="AO45" s="450"/>
      <c r="AP45" s="450"/>
      <c r="AQ45" s="450"/>
      <c r="AR45" s="450"/>
      <c r="AS45" s="450"/>
      <c r="AT45" s="450" t="s">
        <v>536</v>
      </c>
      <c r="AU45" s="450" t="s">
        <v>536</v>
      </c>
      <c r="AV45" s="450" t="s">
        <v>536</v>
      </c>
      <c r="AW45" s="450" t="s">
        <v>536</v>
      </c>
      <c r="AX45" s="450" t="s">
        <v>536</v>
      </c>
      <c r="AY45" s="450" t="s">
        <v>536</v>
      </c>
      <c r="AZ45" s="417" t="s">
        <v>1978</v>
      </c>
      <c r="BA45" s="417" t="s">
        <v>1979</v>
      </c>
    </row>
    <row r="46" spans="1:53" ht="360" x14ac:dyDescent="0.25">
      <c r="A46" s="214" t="s">
        <v>1959</v>
      </c>
      <c r="B46" s="108" t="s">
        <v>1960</v>
      </c>
      <c r="C46" s="947"/>
      <c r="D46" s="947"/>
      <c r="E46" s="947"/>
      <c r="F46" s="108" t="s">
        <v>1972</v>
      </c>
      <c r="G46" s="944"/>
      <c r="H46" s="178" t="s">
        <v>1980</v>
      </c>
      <c r="I46" s="136" t="s">
        <v>1981</v>
      </c>
      <c r="J46" s="174">
        <v>0</v>
      </c>
      <c r="K46" s="136" t="s">
        <v>526</v>
      </c>
      <c r="L46" s="174">
        <v>1</v>
      </c>
      <c r="M46" s="443">
        <v>0.25</v>
      </c>
      <c r="N46" s="136" t="s">
        <v>1981</v>
      </c>
      <c r="O46" s="415"/>
      <c r="P46" s="416">
        <f t="shared" si="0"/>
        <v>3750386979</v>
      </c>
      <c r="Q46" s="418"/>
      <c r="R46" s="418"/>
      <c r="S46" s="418"/>
      <c r="T46" s="418"/>
      <c r="U46" s="418"/>
      <c r="V46" s="418"/>
      <c r="W46" s="418"/>
      <c r="X46" s="451">
        <v>3750386979</v>
      </c>
      <c r="Y46" s="418"/>
      <c r="Z46" s="418"/>
      <c r="AA46" s="418"/>
      <c r="AB46" s="418"/>
      <c r="AC46" s="418"/>
      <c r="AD46" s="418"/>
      <c r="AE46" s="418"/>
      <c r="AF46" s="418"/>
      <c r="AG46" s="444" t="s">
        <v>1982</v>
      </c>
      <c r="AH46" s="452">
        <v>2014000100064</v>
      </c>
      <c r="AI46" s="453" t="s">
        <v>1983</v>
      </c>
      <c r="AJ46" s="418"/>
      <c r="AK46" s="454">
        <v>477119</v>
      </c>
      <c r="AL46" s="455">
        <v>3750386.9789999998</v>
      </c>
      <c r="AM46" s="453" t="s">
        <v>1984</v>
      </c>
      <c r="AN46" s="418" t="s">
        <v>554</v>
      </c>
      <c r="AO46" s="418" t="s">
        <v>554</v>
      </c>
      <c r="AP46" s="418" t="s">
        <v>554</v>
      </c>
      <c r="AQ46" s="418" t="s">
        <v>554</v>
      </c>
      <c r="AR46" s="418" t="s">
        <v>554</v>
      </c>
      <c r="AS46" s="418" t="s">
        <v>554</v>
      </c>
      <c r="AT46" s="418" t="s">
        <v>554</v>
      </c>
      <c r="AU46" s="418" t="s">
        <v>554</v>
      </c>
      <c r="AV46" s="418" t="s">
        <v>554</v>
      </c>
      <c r="AW46" s="418" t="s">
        <v>554</v>
      </c>
      <c r="AX46" s="418" t="s">
        <v>554</v>
      </c>
      <c r="AY46" s="418" t="s">
        <v>554</v>
      </c>
      <c r="AZ46" s="414" t="s">
        <v>1868</v>
      </c>
      <c r="BA46" s="418"/>
    </row>
    <row r="47" spans="1:53" ht="345" x14ac:dyDescent="0.25">
      <c r="A47" s="214" t="s">
        <v>1959</v>
      </c>
      <c r="B47" s="108" t="s">
        <v>1960</v>
      </c>
      <c r="C47" s="947"/>
      <c r="D47" s="947"/>
      <c r="E47" s="947"/>
      <c r="F47" s="108" t="s">
        <v>1972</v>
      </c>
      <c r="G47" s="944"/>
      <c r="H47" s="178" t="s">
        <v>1985</v>
      </c>
      <c r="I47" s="136" t="s">
        <v>1986</v>
      </c>
      <c r="J47" s="136">
        <v>0</v>
      </c>
      <c r="K47" s="136" t="s">
        <v>526</v>
      </c>
      <c r="L47" s="136">
        <v>1</v>
      </c>
      <c r="M47" s="136">
        <v>1</v>
      </c>
      <c r="N47" s="136" t="s">
        <v>1986</v>
      </c>
      <c r="O47" s="415"/>
      <c r="P47" s="416">
        <f t="shared" si="0"/>
        <v>430000</v>
      </c>
      <c r="Q47" s="450">
        <f>180000+250000</f>
        <v>430000</v>
      </c>
      <c r="R47" s="450"/>
      <c r="S47" s="450"/>
      <c r="T47" s="450"/>
      <c r="U47" s="450"/>
      <c r="V47" s="450"/>
      <c r="W47" s="450"/>
      <c r="X47" s="450"/>
      <c r="Y47" s="450"/>
      <c r="Z47" s="450"/>
      <c r="AA47" s="450"/>
      <c r="AB47" s="450"/>
      <c r="AC47" s="450"/>
      <c r="AD47" s="450"/>
      <c r="AE47" s="450"/>
      <c r="AF47" s="450"/>
      <c r="AG47" s="450" t="s">
        <v>1975</v>
      </c>
      <c r="AH47" s="450"/>
      <c r="AI47" s="450" t="s">
        <v>1976</v>
      </c>
      <c r="AJ47" s="450" t="s">
        <v>856</v>
      </c>
      <c r="AK47" s="450" t="s">
        <v>1976</v>
      </c>
      <c r="AL47" s="456">
        <f>W47</f>
        <v>0</v>
      </c>
      <c r="AM47" s="450" t="s">
        <v>1987</v>
      </c>
      <c r="AN47" s="450"/>
      <c r="AO47" s="450"/>
      <c r="AP47" s="450"/>
      <c r="AQ47" s="450"/>
      <c r="AR47" s="450"/>
      <c r="AS47" s="450"/>
      <c r="AT47" s="450" t="s">
        <v>536</v>
      </c>
      <c r="AU47" s="450" t="s">
        <v>536</v>
      </c>
      <c r="AV47" s="450" t="s">
        <v>536</v>
      </c>
      <c r="AW47" s="450" t="s">
        <v>536</v>
      </c>
      <c r="AX47" s="450" t="s">
        <v>536</v>
      </c>
      <c r="AY47" s="450" t="s">
        <v>536</v>
      </c>
      <c r="AZ47" s="417" t="s">
        <v>1978</v>
      </c>
      <c r="BA47" s="417" t="s">
        <v>1979</v>
      </c>
    </row>
    <row r="48" spans="1:53" ht="330" x14ac:dyDescent="0.25">
      <c r="A48" s="214" t="s">
        <v>1959</v>
      </c>
      <c r="B48" s="108" t="s">
        <v>1960</v>
      </c>
      <c r="C48" s="937"/>
      <c r="D48" s="937"/>
      <c r="E48" s="937"/>
      <c r="F48" s="111" t="s">
        <v>1988</v>
      </c>
      <c r="G48" s="178" t="s">
        <v>2060</v>
      </c>
      <c r="H48" s="178" t="s">
        <v>1989</v>
      </c>
      <c r="I48" s="178" t="s">
        <v>1990</v>
      </c>
      <c r="J48" s="174">
        <v>14</v>
      </c>
      <c r="K48" s="174" t="s">
        <v>526</v>
      </c>
      <c r="L48" s="174">
        <v>4</v>
      </c>
      <c r="M48" s="136">
        <v>2</v>
      </c>
      <c r="N48" s="178" t="s">
        <v>1990</v>
      </c>
      <c r="O48" s="415"/>
      <c r="P48" s="416">
        <v>2000000</v>
      </c>
      <c r="Q48" s="450"/>
      <c r="R48" s="450"/>
      <c r="S48" s="450"/>
      <c r="T48" s="450"/>
      <c r="U48" s="450"/>
      <c r="V48" s="450"/>
      <c r="W48" s="456">
        <f>P48</f>
        <v>2000000</v>
      </c>
      <c r="X48" s="450"/>
      <c r="Y48" s="450"/>
      <c r="Z48" s="450"/>
      <c r="AA48" s="450"/>
      <c r="AB48" s="450"/>
      <c r="AC48" s="450"/>
      <c r="AD48" s="450"/>
      <c r="AE48" s="450"/>
      <c r="AF48" s="450"/>
      <c r="AG48" s="450" t="s">
        <v>1975</v>
      </c>
      <c r="AH48" s="450"/>
      <c r="AI48" s="450" t="s">
        <v>1976</v>
      </c>
      <c r="AJ48" s="450" t="s">
        <v>856</v>
      </c>
      <c r="AK48" s="450" t="s">
        <v>1976</v>
      </c>
      <c r="AL48" s="456">
        <f>W48</f>
        <v>2000000</v>
      </c>
      <c r="AM48" s="450" t="s">
        <v>1987</v>
      </c>
      <c r="AN48" s="450"/>
      <c r="AO48" s="450"/>
      <c r="AP48" s="450"/>
      <c r="AQ48" s="450"/>
      <c r="AR48" s="450"/>
      <c r="AS48" s="450"/>
      <c r="AT48" s="450" t="s">
        <v>536</v>
      </c>
      <c r="AU48" s="450" t="s">
        <v>536</v>
      </c>
      <c r="AV48" s="450" t="s">
        <v>536</v>
      </c>
      <c r="AW48" s="450" t="s">
        <v>536</v>
      </c>
      <c r="AX48" s="450" t="s">
        <v>536</v>
      </c>
      <c r="AY48" s="450" t="s">
        <v>536</v>
      </c>
      <c r="AZ48" s="417" t="s">
        <v>1978</v>
      </c>
      <c r="BA48" s="417" t="s">
        <v>1979</v>
      </c>
    </row>
    <row r="49" spans="1:53" ht="318.75" x14ac:dyDescent="0.25">
      <c r="A49" s="214" t="s">
        <v>1959</v>
      </c>
      <c r="B49" s="108" t="s">
        <v>1960</v>
      </c>
      <c r="C49" s="936" t="s">
        <v>1991</v>
      </c>
      <c r="D49" s="936" t="s">
        <v>1992</v>
      </c>
      <c r="E49" s="936">
        <v>0.55000000000000004</v>
      </c>
      <c r="F49" s="108" t="s">
        <v>1993</v>
      </c>
      <c r="G49" s="944" t="s">
        <v>2061</v>
      </c>
      <c r="H49" s="178" t="s">
        <v>1994</v>
      </c>
      <c r="I49" s="136" t="s">
        <v>1995</v>
      </c>
      <c r="J49" s="174">
        <v>89</v>
      </c>
      <c r="K49" s="136" t="s">
        <v>526</v>
      </c>
      <c r="L49" s="174">
        <v>700</v>
      </c>
      <c r="M49" s="136">
        <v>150</v>
      </c>
      <c r="N49" s="136" t="s">
        <v>1995</v>
      </c>
      <c r="O49" s="415"/>
      <c r="P49" s="416">
        <f t="shared" si="0"/>
        <v>1500000</v>
      </c>
      <c r="Q49" s="450">
        <v>559352.30000000005</v>
      </c>
      <c r="R49" s="450"/>
      <c r="S49" s="450"/>
      <c r="T49" s="457"/>
      <c r="U49" s="450"/>
      <c r="V49" s="450"/>
      <c r="W49" s="450"/>
      <c r="X49" s="450"/>
      <c r="Y49" s="450"/>
      <c r="Z49" s="450"/>
      <c r="AA49" s="458"/>
      <c r="AB49" s="450"/>
      <c r="AC49" s="458">
        <v>940647.7</v>
      </c>
      <c r="AD49" s="450"/>
      <c r="AE49" s="450"/>
      <c r="AF49" s="450"/>
      <c r="AG49" s="417" t="s">
        <v>1996</v>
      </c>
      <c r="AH49" s="459">
        <v>2018003190021</v>
      </c>
      <c r="AI49" s="417" t="s">
        <v>1997</v>
      </c>
      <c r="AJ49" s="450" t="s">
        <v>1998</v>
      </c>
      <c r="AK49" s="417" t="s">
        <v>1999</v>
      </c>
      <c r="AL49" s="450">
        <f>P49</f>
        <v>1500000</v>
      </c>
      <c r="AM49" s="417" t="s">
        <v>2000</v>
      </c>
      <c r="AN49" s="450" t="s">
        <v>536</v>
      </c>
      <c r="AO49" s="450" t="s">
        <v>536</v>
      </c>
      <c r="AP49" s="450" t="s">
        <v>536</v>
      </c>
      <c r="AQ49" s="450" t="s">
        <v>536</v>
      </c>
      <c r="AR49" s="450" t="s">
        <v>536</v>
      </c>
      <c r="AS49" s="450" t="s">
        <v>536</v>
      </c>
      <c r="AT49" s="450" t="s">
        <v>536</v>
      </c>
      <c r="AU49" s="450" t="s">
        <v>536</v>
      </c>
      <c r="AV49" s="450" t="s">
        <v>536</v>
      </c>
      <c r="AW49" s="450" t="s">
        <v>536</v>
      </c>
      <c r="AX49" s="450" t="s">
        <v>536</v>
      </c>
      <c r="AY49" s="450" t="s">
        <v>536</v>
      </c>
      <c r="AZ49" s="417" t="s">
        <v>2001</v>
      </c>
      <c r="BA49" s="450"/>
    </row>
    <row r="50" spans="1:53" ht="180" x14ac:dyDescent="0.25">
      <c r="A50" s="214" t="s">
        <v>1959</v>
      </c>
      <c r="B50" s="108" t="s">
        <v>1960</v>
      </c>
      <c r="C50" s="947"/>
      <c r="D50" s="947"/>
      <c r="E50" s="947"/>
      <c r="F50" s="108" t="s">
        <v>1993</v>
      </c>
      <c r="G50" s="944"/>
      <c r="H50" s="178" t="s">
        <v>2002</v>
      </c>
      <c r="I50" s="136" t="s">
        <v>2003</v>
      </c>
      <c r="J50" s="174">
        <v>0</v>
      </c>
      <c r="K50" s="136" t="s">
        <v>526</v>
      </c>
      <c r="L50" s="174">
        <v>1</v>
      </c>
      <c r="M50" s="136">
        <v>0</v>
      </c>
      <c r="N50" s="136" t="s">
        <v>2003</v>
      </c>
      <c r="O50" s="415"/>
      <c r="P50" s="416">
        <f t="shared" si="0"/>
        <v>0</v>
      </c>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t="s">
        <v>2004</v>
      </c>
    </row>
    <row r="51" spans="1:53" ht="270" x14ac:dyDescent="0.25">
      <c r="A51" s="214" t="s">
        <v>1959</v>
      </c>
      <c r="B51" s="108" t="s">
        <v>1960</v>
      </c>
      <c r="C51" s="937"/>
      <c r="D51" s="937"/>
      <c r="E51" s="937"/>
      <c r="F51" s="108" t="s">
        <v>1993</v>
      </c>
      <c r="G51" s="944"/>
      <c r="H51" s="178" t="s">
        <v>2005</v>
      </c>
      <c r="I51" s="136" t="s">
        <v>2006</v>
      </c>
      <c r="J51" s="174">
        <v>0</v>
      </c>
      <c r="K51" s="174" t="s">
        <v>526</v>
      </c>
      <c r="L51" s="174">
        <v>1</v>
      </c>
      <c r="M51" s="136">
        <v>0.75</v>
      </c>
      <c r="N51" s="136" t="s">
        <v>2006</v>
      </c>
      <c r="O51" s="415"/>
      <c r="P51" s="416">
        <f t="shared" si="0"/>
        <v>1529706990</v>
      </c>
      <c r="Q51" s="450"/>
      <c r="R51" s="450"/>
      <c r="S51" s="450"/>
      <c r="T51" s="450"/>
      <c r="U51" s="450"/>
      <c r="V51" s="450"/>
      <c r="W51" s="450"/>
      <c r="X51" s="450">
        <v>1529706990</v>
      </c>
      <c r="Y51" s="418"/>
      <c r="Z51" s="418"/>
      <c r="AA51" s="418"/>
      <c r="AB51" s="418"/>
      <c r="AC51" s="418"/>
      <c r="AD51" s="418"/>
      <c r="AE51" s="418"/>
      <c r="AF51" s="418"/>
      <c r="AG51" s="444" t="s">
        <v>2007</v>
      </c>
      <c r="AH51" s="452">
        <v>2013000100076</v>
      </c>
      <c r="AI51" s="453" t="s">
        <v>2008</v>
      </c>
      <c r="AJ51" s="418"/>
      <c r="AK51" s="454" t="s">
        <v>2009</v>
      </c>
      <c r="AL51" s="455">
        <v>1529706.99</v>
      </c>
      <c r="AM51" s="453" t="s">
        <v>2010</v>
      </c>
      <c r="AN51" s="418" t="s">
        <v>554</v>
      </c>
      <c r="AO51" s="418" t="s">
        <v>554</v>
      </c>
      <c r="AP51" s="418" t="s">
        <v>554</v>
      </c>
      <c r="AQ51" s="418" t="s">
        <v>554</v>
      </c>
      <c r="AR51" s="418" t="s">
        <v>554</v>
      </c>
      <c r="AS51" s="418" t="s">
        <v>554</v>
      </c>
      <c r="AT51" s="418" t="s">
        <v>554</v>
      </c>
      <c r="AU51" s="418" t="s">
        <v>554</v>
      </c>
      <c r="AV51" s="418" t="s">
        <v>554</v>
      </c>
      <c r="AW51" s="418" t="s">
        <v>554</v>
      </c>
      <c r="AX51" s="418" t="s">
        <v>554</v>
      </c>
      <c r="AY51" s="418" t="s">
        <v>554</v>
      </c>
      <c r="AZ51" s="414" t="s">
        <v>1868</v>
      </c>
      <c r="BA51" s="418"/>
    </row>
    <row r="52" spans="1:53" ht="165" customHeight="1" x14ac:dyDescent="0.25">
      <c r="A52" s="214" t="s">
        <v>1959</v>
      </c>
      <c r="B52" s="108" t="s">
        <v>1960</v>
      </c>
      <c r="C52" s="936" t="s">
        <v>2011</v>
      </c>
      <c r="D52" s="936" t="s">
        <v>2012</v>
      </c>
      <c r="E52" s="998" t="s">
        <v>2013</v>
      </c>
      <c r="F52" s="136" t="s">
        <v>2014</v>
      </c>
      <c r="G52" s="996" t="s">
        <v>2062</v>
      </c>
      <c r="H52" s="178" t="s">
        <v>2015</v>
      </c>
      <c r="I52" s="178" t="s">
        <v>2016</v>
      </c>
      <c r="J52" s="136">
        <v>0</v>
      </c>
      <c r="K52" s="174" t="s">
        <v>526</v>
      </c>
      <c r="L52" s="136">
        <v>1</v>
      </c>
      <c r="M52" s="136">
        <v>1</v>
      </c>
      <c r="N52" s="178" t="s">
        <v>2016</v>
      </c>
      <c r="O52" s="415"/>
      <c r="P52" s="416">
        <f>SUM(Q52:AF52)</f>
        <v>83000</v>
      </c>
      <c r="Q52" s="450"/>
      <c r="R52" s="450"/>
      <c r="S52" s="450"/>
      <c r="T52" s="450"/>
      <c r="U52" s="450"/>
      <c r="V52" s="450"/>
      <c r="W52" s="450"/>
      <c r="X52" s="450"/>
      <c r="Y52" s="450"/>
      <c r="Z52" s="450"/>
      <c r="AA52" s="450"/>
      <c r="AB52" s="450"/>
      <c r="AC52" s="450"/>
      <c r="AD52" s="450">
        <v>83000</v>
      </c>
      <c r="AE52" s="450"/>
      <c r="AF52" s="450"/>
      <c r="AG52" s="414" t="s">
        <v>1832</v>
      </c>
      <c r="AH52" s="414"/>
      <c r="AI52" s="418">
        <v>42</v>
      </c>
      <c r="AJ52" s="415"/>
      <c r="AK52" s="450"/>
      <c r="AL52" s="450"/>
      <c r="AM52" s="417"/>
      <c r="AN52" s="450"/>
      <c r="AO52" s="450"/>
      <c r="AP52" s="450"/>
      <c r="AQ52" s="450"/>
      <c r="AR52" s="450"/>
      <c r="AS52" s="450"/>
      <c r="AT52" s="450"/>
      <c r="AU52" s="450"/>
      <c r="AV52" s="450"/>
      <c r="AW52" s="450"/>
      <c r="AX52" s="450"/>
      <c r="AY52" s="450"/>
      <c r="AZ52" s="414" t="s">
        <v>1885</v>
      </c>
      <c r="BA52" s="414" t="s">
        <v>1926</v>
      </c>
    </row>
    <row r="53" spans="1:53" ht="195" x14ac:dyDescent="0.25">
      <c r="A53" s="108" t="s">
        <v>1959</v>
      </c>
      <c r="B53" s="108" t="s">
        <v>1960</v>
      </c>
      <c r="C53" s="937"/>
      <c r="D53" s="937"/>
      <c r="E53" s="999"/>
      <c r="F53" s="136" t="s">
        <v>2014</v>
      </c>
      <c r="G53" s="996"/>
      <c r="H53" s="178" t="s">
        <v>2017</v>
      </c>
      <c r="I53" s="178" t="s">
        <v>2018</v>
      </c>
      <c r="J53" s="443">
        <v>0.25</v>
      </c>
      <c r="K53" s="136" t="s">
        <v>526</v>
      </c>
      <c r="L53" s="443">
        <v>0.7</v>
      </c>
      <c r="M53" s="443">
        <v>0.23</v>
      </c>
      <c r="N53" s="178" t="s">
        <v>2018</v>
      </c>
      <c r="O53" s="445"/>
      <c r="P53" s="416">
        <f t="shared" si="0"/>
        <v>8804882</v>
      </c>
      <c r="Q53" s="456"/>
      <c r="R53" s="450"/>
      <c r="S53" s="450"/>
      <c r="T53" s="450"/>
      <c r="U53" s="450"/>
      <c r="V53" s="450"/>
      <c r="W53" s="450">
        <v>8804882</v>
      </c>
      <c r="X53" s="450"/>
      <c r="Y53" s="450"/>
      <c r="Z53" s="450"/>
      <c r="AA53" s="450"/>
      <c r="AB53" s="450"/>
      <c r="AC53" s="450"/>
      <c r="AD53" s="450"/>
      <c r="AE53" s="450"/>
      <c r="AF53" s="450"/>
      <c r="AG53" s="414" t="s">
        <v>1832</v>
      </c>
      <c r="AH53" s="437"/>
      <c r="AI53" s="461"/>
      <c r="AJ53" s="414"/>
      <c r="AK53" s="462"/>
      <c r="AL53" s="456"/>
      <c r="AM53" s="417"/>
      <c r="AN53" s="450"/>
      <c r="AO53" s="450"/>
      <c r="AP53" s="450"/>
      <c r="AQ53" s="450"/>
      <c r="AR53" s="450"/>
      <c r="AS53" s="450"/>
      <c r="AT53" s="450"/>
      <c r="AU53" s="450"/>
      <c r="AV53" s="450"/>
      <c r="AW53" s="450"/>
      <c r="AX53" s="450"/>
      <c r="AY53" s="450"/>
      <c r="AZ53" s="414" t="s">
        <v>1885</v>
      </c>
      <c r="BA53" s="414" t="s">
        <v>1926</v>
      </c>
    </row>
  </sheetData>
  <sheetProtection password="DFEF" sheet="1" objects="1" scenarios="1" autoFilter="0"/>
  <mergeCells count="86">
    <mergeCell ref="G45:G47"/>
    <mergeCell ref="G49:G51"/>
    <mergeCell ref="G52:G53"/>
    <mergeCell ref="A11:L11"/>
    <mergeCell ref="G14:G15"/>
    <mergeCell ref="G16:G22"/>
    <mergeCell ref="G23:G24"/>
    <mergeCell ref="G25:G26"/>
    <mergeCell ref="E36:E39"/>
    <mergeCell ref="C40:C44"/>
    <mergeCell ref="D40:D44"/>
    <mergeCell ref="E40:E44"/>
    <mergeCell ref="G36:G44"/>
    <mergeCell ref="C52:C53"/>
    <mergeCell ref="D52:D53"/>
    <mergeCell ref="E52:E53"/>
    <mergeCell ref="A2:L2"/>
    <mergeCell ref="A3:L3"/>
    <mergeCell ref="A5:L5"/>
    <mergeCell ref="A6:L6"/>
    <mergeCell ref="A9:L9"/>
    <mergeCell ref="AH14:AH15"/>
    <mergeCell ref="A14:A15"/>
    <mergeCell ref="B14:B15"/>
    <mergeCell ref="C14:C15"/>
    <mergeCell ref="D14:D15"/>
    <mergeCell ref="E14:E15"/>
    <mergeCell ref="F14:F15"/>
    <mergeCell ref="L14:L15"/>
    <mergeCell ref="K14:K15"/>
    <mergeCell ref="H14:H15"/>
    <mergeCell ref="I14:I15"/>
    <mergeCell ref="J14:J15"/>
    <mergeCell ref="AZ14:AZ15"/>
    <mergeCell ref="BA14:BA15"/>
    <mergeCell ref="C16:C18"/>
    <mergeCell ref="D16:D18"/>
    <mergeCell ref="E16:E18"/>
    <mergeCell ref="AI14:AI15"/>
    <mergeCell ref="AJ14:AJ15"/>
    <mergeCell ref="AK14:AK15"/>
    <mergeCell ref="AL14:AL15"/>
    <mergeCell ref="AM14:AM15"/>
    <mergeCell ref="AN14:AY14"/>
    <mergeCell ref="M14:M15"/>
    <mergeCell ref="N14:O14"/>
    <mergeCell ref="P14:P15"/>
    <mergeCell ref="Q14:AF14"/>
    <mergeCell ref="AG14:AG15"/>
    <mergeCell ref="C23:C24"/>
    <mergeCell ref="D23:D24"/>
    <mergeCell ref="E23:E24"/>
    <mergeCell ref="I20:I21"/>
    <mergeCell ref="J20:J21"/>
    <mergeCell ref="C19:C22"/>
    <mergeCell ref="D19:D22"/>
    <mergeCell ref="E19:E22"/>
    <mergeCell ref="H20:H21"/>
    <mergeCell ref="G29:G31"/>
    <mergeCell ref="G33:G35"/>
    <mergeCell ref="N27:N28"/>
    <mergeCell ref="N20:N21"/>
    <mergeCell ref="O20:O21"/>
    <mergeCell ref="K20:K21"/>
    <mergeCell ref="L20:L21"/>
    <mergeCell ref="C49:C51"/>
    <mergeCell ref="D49:D51"/>
    <mergeCell ref="E49:E51"/>
    <mergeCell ref="O27:O28"/>
    <mergeCell ref="C29:C35"/>
    <mergeCell ref="D29:D35"/>
    <mergeCell ref="E29:E35"/>
    <mergeCell ref="I27:I28"/>
    <mergeCell ref="J27:J28"/>
    <mergeCell ref="K27:K28"/>
    <mergeCell ref="L27:L28"/>
    <mergeCell ref="C25:C27"/>
    <mergeCell ref="D25:D27"/>
    <mergeCell ref="E25:E27"/>
    <mergeCell ref="H27:H28"/>
    <mergeCell ref="G27:G28"/>
    <mergeCell ref="C36:C39"/>
    <mergeCell ref="D36:D39"/>
    <mergeCell ref="C45:C48"/>
    <mergeCell ref="D45:D48"/>
    <mergeCell ref="E45:E4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49"/>
  <sheetViews>
    <sheetView zoomScale="80" zoomScaleNormal="80" workbookViewId="0">
      <selection activeCell="C16" sqref="C16:C27"/>
    </sheetView>
  </sheetViews>
  <sheetFormatPr baseColWidth="10" defaultRowHeight="15" x14ac:dyDescent="0.25"/>
  <cols>
    <col min="2" max="2" width="13.7109375" customWidth="1"/>
    <col min="3" max="3" width="16.7109375" customWidth="1"/>
    <col min="4" max="4" width="18.42578125" customWidth="1"/>
    <col min="5" max="5" width="14.85546875" customWidth="1"/>
    <col min="6" max="6" width="14.28515625" customWidth="1"/>
    <col min="7" max="7" width="14" customWidth="1"/>
    <col min="8" max="8" width="17.5703125" customWidth="1"/>
    <col min="9" max="9" width="17" customWidth="1"/>
    <col min="11" max="11" width="15.5703125" customWidth="1"/>
    <col min="14" max="14" width="14.7109375" customWidth="1"/>
    <col min="33" max="33" width="23.5703125" customWidth="1"/>
    <col min="34" max="34" width="19" customWidth="1"/>
    <col min="35" max="35" width="15" customWidth="1"/>
    <col min="37" max="37" width="15.140625" customWidth="1"/>
    <col min="38" max="38" width="15" customWidth="1"/>
    <col min="39" max="39" width="23.28515625" customWidth="1"/>
    <col min="40" max="51" width="6.7109375" customWidth="1"/>
    <col min="52" max="52" width="16.42578125" customWidth="1"/>
    <col min="53" max="53" width="36.42578125" customWidth="1"/>
  </cols>
  <sheetData>
    <row r="1" spans="1:53" x14ac:dyDescent="0.25">
      <c r="A1" s="96"/>
      <c r="B1" s="96"/>
      <c r="C1" s="96"/>
      <c r="D1" s="96"/>
      <c r="E1" s="96"/>
      <c r="F1" s="96"/>
      <c r="G1" s="96"/>
      <c r="H1" s="97"/>
      <c r="I1" s="96"/>
      <c r="J1" s="96"/>
      <c r="K1" s="96"/>
      <c r="L1" s="96"/>
      <c r="M1" s="98"/>
      <c r="N1" s="98"/>
      <c r="O1" s="464"/>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row>
    <row r="2" spans="1:53" ht="18" x14ac:dyDescent="0.25">
      <c r="A2" s="958" t="s">
        <v>481</v>
      </c>
      <c r="B2" s="958"/>
      <c r="C2" s="958"/>
      <c r="D2" s="958"/>
      <c r="E2" s="958"/>
      <c r="F2" s="958"/>
      <c r="G2" s="958"/>
      <c r="H2" s="958"/>
      <c r="I2" s="958"/>
      <c r="J2" s="958"/>
      <c r="K2" s="958"/>
      <c r="L2" s="958"/>
      <c r="M2" s="98"/>
      <c r="N2" s="98"/>
      <c r="O2" s="464"/>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row>
    <row r="3" spans="1:53" ht="18" x14ac:dyDescent="0.25">
      <c r="A3" s="959" t="s">
        <v>482</v>
      </c>
      <c r="B3" s="959"/>
      <c r="C3" s="959"/>
      <c r="D3" s="959"/>
      <c r="E3" s="959"/>
      <c r="F3" s="959"/>
      <c r="G3" s="959"/>
      <c r="H3" s="959"/>
      <c r="I3" s="959"/>
      <c r="J3" s="959"/>
      <c r="K3" s="959"/>
      <c r="L3" s="959"/>
      <c r="M3" s="98"/>
      <c r="N3" s="98"/>
      <c r="O3" s="464"/>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x14ac:dyDescent="0.25">
      <c r="A4" s="101"/>
      <c r="B4" s="96"/>
      <c r="C4" s="96"/>
      <c r="D4" s="96"/>
      <c r="E4" s="96"/>
      <c r="F4" s="96"/>
      <c r="G4" s="96"/>
      <c r="H4" s="97"/>
      <c r="I4" s="96"/>
      <c r="J4" s="96"/>
      <c r="K4" s="96"/>
      <c r="L4" s="96"/>
      <c r="M4" s="98"/>
      <c r="N4" s="98"/>
      <c r="O4" s="464"/>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row>
    <row r="5" spans="1:53" ht="18" x14ac:dyDescent="0.25">
      <c r="A5" s="960" t="s">
        <v>483</v>
      </c>
      <c r="B5" s="960"/>
      <c r="C5" s="960"/>
      <c r="D5" s="960"/>
      <c r="E5" s="960"/>
      <c r="F5" s="960"/>
      <c r="G5" s="960"/>
      <c r="H5" s="960"/>
      <c r="I5" s="960"/>
      <c r="J5" s="960"/>
      <c r="K5" s="960"/>
      <c r="L5" s="960"/>
      <c r="M5" s="98"/>
      <c r="N5" s="98"/>
      <c r="O5" s="464"/>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row>
    <row r="6" spans="1:53" ht="18" x14ac:dyDescent="0.25">
      <c r="A6" s="958" t="s">
        <v>528</v>
      </c>
      <c r="B6" s="958"/>
      <c r="C6" s="958"/>
      <c r="D6" s="958"/>
      <c r="E6" s="958"/>
      <c r="F6" s="958"/>
      <c r="G6" s="958"/>
      <c r="H6" s="958"/>
      <c r="I6" s="958"/>
      <c r="J6" s="958"/>
      <c r="K6" s="958"/>
      <c r="L6" s="958"/>
      <c r="M6" s="98"/>
      <c r="N6" s="98"/>
      <c r="O6" s="464"/>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row>
    <row r="7" spans="1:53" ht="18" x14ac:dyDescent="0.25">
      <c r="A7" s="100"/>
      <c r="B7" s="100"/>
      <c r="C7" s="100"/>
      <c r="D7" s="100"/>
      <c r="E7" s="100"/>
      <c r="F7" s="100"/>
      <c r="G7" s="100"/>
      <c r="H7" s="100"/>
      <c r="I7" s="100"/>
      <c r="J7" s="100"/>
      <c r="K7" s="100"/>
      <c r="L7" s="100"/>
      <c r="M7" s="98"/>
      <c r="N7" s="98"/>
      <c r="O7" s="464"/>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row>
    <row r="8" spans="1:53" ht="18" x14ac:dyDescent="0.25">
      <c r="A8" s="100"/>
      <c r="B8" s="100"/>
      <c r="C8" s="100"/>
      <c r="D8" s="100"/>
      <c r="E8" s="100"/>
      <c r="F8" s="100"/>
      <c r="G8" s="100"/>
      <c r="H8" s="100"/>
      <c r="I8" s="100"/>
      <c r="J8" s="100"/>
      <c r="K8" s="100"/>
      <c r="L8" s="100"/>
      <c r="M8" s="98"/>
      <c r="N8" s="98"/>
      <c r="O8" s="464"/>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53" x14ac:dyDescent="0.25">
      <c r="A9" s="961" t="s">
        <v>2063</v>
      </c>
      <c r="B9" s="961"/>
      <c r="C9" s="961"/>
      <c r="D9" s="961"/>
      <c r="E9" s="961"/>
      <c r="F9" s="961"/>
      <c r="G9" s="961"/>
      <c r="H9" s="961"/>
      <c r="I9" s="961"/>
      <c r="J9" s="961"/>
      <c r="K9" s="961"/>
      <c r="L9" s="961"/>
      <c r="M9" s="961"/>
      <c r="N9" s="98"/>
      <c r="O9" s="464"/>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row>
    <row r="10" spans="1:53" ht="18" x14ac:dyDescent="0.25">
      <c r="A10" s="102"/>
      <c r="B10" s="102"/>
      <c r="C10" s="102"/>
      <c r="D10" s="102"/>
      <c r="E10" s="102"/>
      <c r="F10" s="100"/>
      <c r="G10" s="100"/>
      <c r="H10" s="100"/>
      <c r="I10" s="100"/>
      <c r="J10" s="100"/>
      <c r="K10" s="100"/>
      <c r="L10" s="100"/>
      <c r="M10" s="100"/>
      <c r="N10" s="98"/>
      <c r="O10" s="464"/>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x14ac:dyDescent="0.25">
      <c r="A11" s="961" t="s">
        <v>951</v>
      </c>
      <c r="B11" s="961"/>
      <c r="C11" s="961"/>
      <c r="D11" s="961"/>
      <c r="E11" s="961"/>
      <c r="F11" s="961"/>
      <c r="G11" s="961"/>
      <c r="H11" s="961"/>
      <c r="I11" s="961"/>
      <c r="J11" s="961"/>
      <c r="K11" s="961"/>
      <c r="L11" s="961"/>
      <c r="M11" s="961"/>
      <c r="N11" s="98"/>
      <c r="O11" s="464"/>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ht="18" x14ac:dyDescent="0.25">
      <c r="A12" s="100"/>
      <c r="B12" s="100"/>
      <c r="C12" s="100"/>
      <c r="D12" s="100"/>
      <c r="E12" s="100"/>
      <c r="F12" s="100"/>
      <c r="G12" s="100"/>
      <c r="H12" s="100"/>
      <c r="I12" s="100"/>
      <c r="J12" s="100"/>
      <c r="K12" s="100"/>
      <c r="L12" s="100"/>
      <c r="M12" s="98"/>
      <c r="N12" s="98"/>
      <c r="O12" s="464"/>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x14ac:dyDescent="0.25">
      <c r="A13" s="96"/>
      <c r="B13" s="96"/>
      <c r="C13" s="96"/>
      <c r="D13" s="96"/>
      <c r="E13" s="96"/>
      <c r="F13" s="96"/>
      <c r="G13" s="96"/>
      <c r="H13" s="97"/>
      <c r="I13" s="96"/>
      <c r="J13" s="96"/>
      <c r="K13" s="96"/>
      <c r="L13" s="96"/>
      <c r="M13" s="98"/>
      <c r="N13" s="98"/>
      <c r="O13" s="464"/>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row>
    <row r="14" spans="1:53" ht="30.75" customHeight="1" x14ac:dyDescent="0.25">
      <c r="A14" s="914" t="s">
        <v>62</v>
      </c>
      <c r="B14" s="914" t="s">
        <v>63</v>
      </c>
      <c r="C14" s="894" t="s">
        <v>0</v>
      </c>
      <c r="D14" s="894" t="s">
        <v>1</v>
      </c>
      <c r="E14" s="894" t="s">
        <v>2</v>
      </c>
      <c r="F14" s="894" t="s">
        <v>3</v>
      </c>
      <c r="G14" s="894" t="s">
        <v>64</v>
      </c>
      <c r="H14" s="894" t="s">
        <v>65</v>
      </c>
      <c r="I14" s="894" t="s">
        <v>66</v>
      </c>
      <c r="J14" s="894" t="s">
        <v>67</v>
      </c>
      <c r="K14" s="894" t="s">
        <v>480</v>
      </c>
      <c r="L14" s="894" t="s">
        <v>521</v>
      </c>
      <c r="M14" s="889" t="s">
        <v>529</v>
      </c>
      <c r="N14" s="891" t="s">
        <v>66</v>
      </c>
      <c r="O14" s="893"/>
      <c r="P14" s="889" t="s">
        <v>532</v>
      </c>
      <c r="Q14" s="1000" t="s">
        <v>484</v>
      </c>
      <c r="R14" s="1001"/>
      <c r="S14" s="1001"/>
      <c r="T14" s="1001"/>
      <c r="U14" s="1001"/>
      <c r="V14" s="1001"/>
      <c r="W14" s="1001"/>
      <c r="X14" s="1001"/>
      <c r="Y14" s="1001"/>
      <c r="Z14" s="1001"/>
      <c r="AA14" s="1001"/>
      <c r="AB14" s="1001"/>
      <c r="AC14" s="1001"/>
      <c r="AD14" s="1001"/>
      <c r="AE14" s="1001"/>
      <c r="AF14" s="1002"/>
      <c r="AG14" s="1003" t="s">
        <v>485</v>
      </c>
      <c r="AH14" s="1003" t="s">
        <v>531</v>
      </c>
      <c r="AI14" s="1003" t="s">
        <v>952</v>
      </c>
      <c r="AJ14" s="1003" t="s">
        <v>511</v>
      </c>
      <c r="AK14" s="1003" t="s">
        <v>486</v>
      </c>
      <c r="AL14" s="1003" t="s">
        <v>535</v>
      </c>
      <c r="AM14" s="1003" t="s">
        <v>487</v>
      </c>
      <c r="AN14" s="1007" t="s">
        <v>524</v>
      </c>
      <c r="AO14" s="1008"/>
      <c r="AP14" s="1008"/>
      <c r="AQ14" s="1008"/>
      <c r="AR14" s="1008"/>
      <c r="AS14" s="1008"/>
      <c r="AT14" s="1008"/>
      <c r="AU14" s="1008"/>
      <c r="AV14" s="1008"/>
      <c r="AW14" s="1008"/>
      <c r="AX14" s="1008"/>
      <c r="AY14" s="1009"/>
      <c r="AZ14" s="1005" t="s">
        <v>512</v>
      </c>
      <c r="BA14" s="950" t="s">
        <v>488</v>
      </c>
    </row>
    <row r="15" spans="1:53" ht="71.25" customHeight="1" x14ac:dyDescent="0.25">
      <c r="A15" s="915"/>
      <c r="B15" s="915"/>
      <c r="C15" s="895"/>
      <c r="D15" s="895"/>
      <c r="E15" s="895"/>
      <c r="F15" s="895"/>
      <c r="G15" s="895"/>
      <c r="H15" s="895"/>
      <c r="I15" s="895"/>
      <c r="J15" s="895"/>
      <c r="K15" s="895"/>
      <c r="L15" s="895"/>
      <c r="M15" s="890"/>
      <c r="N15" s="93" t="s">
        <v>489</v>
      </c>
      <c r="O15" s="93" t="s">
        <v>530</v>
      </c>
      <c r="P15" s="890"/>
      <c r="Q15" s="94" t="s">
        <v>490</v>
      </c>
      <c r="R15" s="94" t="s">
        <v>533</v>
      </c>
      <c r="S15" s="94" t="s">
        <v>491</v>
      </c>
      <c r="T15" s="94" t="s">
        <v>492</v>
      </c>
      <c r="U15" s="94" t="s">
        <v>522</v>
      </c>
      <c r="V15" s="94" t="s">
        <v>493</v>
      </c>
      <c r="W15" s="94" t="s">
        <v>494</v>
      </c>
      <c r="X15" s="94" t="s">
        <v>495</v>
      </c>
      <c r="Y15" s="94" t="s">
        <v>496</v>
      </c>
      <c r="Z15" s="94" t="s">
        <v>497</v>
      </c>
      <c r="AA15" s="94" t="s">
        <v>523</v>
      </c>
      <c r="AB15" s="94" t="s">
        <v>534</v>
      </c>
      <c r="AC15" s="94" t="s">
        <v>498</v>
      </c>
      <c r="AD15" s="94" t="s">
        <v>499</v>
      </c>
      <c r="AE15" s="94" t="s">
        <v>500</v>
      </c>
      <c r="AF15" s="94" t="s">
        <v>501</v>
      </c>
      <c r="AG15" s="1004"/>
      <c r="AH15" s="1004"/>
      <c r="AI15" s="1004"/>
      <c r="AJ15" s="1004"/>
      <c r="AK15" s="1004"/>
      <c r="AL15" s="1004"/>
      <c r="AM15" s="1004"/>
      <c r="AN15" s="465" t="s">
        <v>502</v>
      </c>
      <c r="AO15" s="465" t="s">
        <v>503</v>
      </c>
      <c r="AP15" s="465" t="s">
        <v>504</v>
      </c>
      <c r="AQ15" s="465" t="s">
        <v>505</v>
      </c>
      <c r="AR15" s="465" t="s">
        <v>504</v>
      </c>
      <c r="AS15" s="465" t="s">
        <v>506</v>
      </c>
      <c r="AT15" s="465" t="s">
        <v>506</v>
      </c>
      <c r="AU15" s="465" t="s">
        <v>505</v>
      </c>
      <c r="AV15" s="465" t="s">
        <v>507</v>
      </c>
      <c r="AW15" s="465" t="s">
        <v>508</v>
      </c>
      <c r="AX15" s="465" t="s">
        <v>509</v>
      </c>
      <c r="AY15" s="465" t="s">
        <v>510</v>
      </c>
      <c r="AZ15" s="1006"/>
      <c r="BA15" s="951"/>
    </row>
    <row r="16" spans="1:53" ht="142.5" x14ac:dyDescent="0.25">
      <c r="A16" s="214" t="s">
        <v>1245</v>
      </c>
      <c r="B16" s="214" t="s">
        <v>2064</v>
      </c>
      <c r="C16" s="936" t="s">
        <v>2065</v>
      </c>
      <c r="D16" s="936" t="s">
        <v>2066</v>
      </c>
      <c r="E16" s="936" t="s">
        <v>2067</v>
      </c>
      <c r="F16" s="214" t="s">
        <v>2068</v>
      </c>
      <c r="G16" s="944" t="s">
        <v>2069</v>
      </c>
      <c r="H16" s="136" t="s">
        <v>2070</v>
      </c>
      <c r="I16" s="136" t="s">
        <v>2071</v>
      </c>
      <c r="J16" s="136">
        <v>0</v>
      </c>
      <c r="K16" s="136" t="s">
        <v>526</v>
      </c>
      <c r="L16" s="139">
        <v>1</v>
      </c>
      <c r="M16" s="466">
        <v>0.25</v>
      </c>
      <c r="N16" s="467" t="str">
        <f>I16</f>
        <v>Número de centros de estudios económicos y de desarrollo implementados</v>
      </c>
      <c r="O16" s="468">
        <v>0.75</v>
      </c>
      <c r="P16" s="469">
        <v>319000</v>
      </c>
      <c r="Q16" s="470">
        <v>25000</v>
      </c>
      <c r="R16" s="471"/>
      <c r="S16" s="471"/>
      <c r="T16" s="471"/>
      <c r="U16" s="471"/>
      <c r="V16" s="471"/>
      <c r="W16" s="471"/>
      <c r="X16" s="471"/>
      <c r="Y16" s="471"/>
      <c r="Z16" s="471"/>
      <c r="AA16" s="471"/>
      <c r="AB16" s="471"/>
      <c r="AC16" s="471"/>
      <c r="AD16" s="469">
        <v>294000</v>
      </c>
      <c r="AE16" s="471"/>
      <c r="AF16" s="471"/>
      <c r="AG16" s="472" t="s">
        <v>2072</v>
      </c>
      <c r="AH16" s="473">
        <v>0</v>
      </c>
      <c r="AI16" s="467" t="s">
        <v>2073</v>
      </c>
      <c r="AJ16" s="467" t="s">
        <v>2074</v>
      </c>
      <c r="AK16" s="471" t="s">
        <v>2075</v>
      </c>
      <c r="AL16" s="474">
        <f>Q16</f>
        <v>25000</v>
      </c>
      <c r="AM16" s="472" t="s">
        <v>2076</v>
      </c>
      <c r="AN16" s="475" t="s">
        <v>554</v>
      </c>
      <c r="AO16" s="475" t="s">
        <v>554</v>
      </c>
      <c r="AP16" s="475" t="s">
        <v>554</v>
      </c>
      <c r="AQ16" s="475" t="s">
        <v>554</v>
      </c>
      <c r="AR16" s="475" t="s">
        <v>554</v>
      </c>
      <c r="AS16" s="475" t="s">
        <v>554</v>
      </c>
      <c r="AT16" s="475" t="s">
        <v>554</v>
      </c>
      <c r="AU16" s="475" t="s">
        <v>554</v>
      </c>
      <c r="AV16" s="475" t="s">
        <v>554</v>
      </c>
      <c r="AW16" s="475" t="s">
        <v>554</v>
      </c>
      <c r="AX16" s="475" t="s">
        <v>554</v>
      </c>
      <c r="AY16" s="475" t="s">
        <v>554</v>
      </c>
      <c r="AZ16" s="467" t="s">
        <v>2077</v>
      </c>
      <c r="BA16" s="472" t="s">
        <v>2078</v>
      </c>
    </row>
    <row r="17" spans="1:53" ht="165" x14ac:dyDescent="0.25">
      <c r="A17" s="214" t="s">
        <v>1245</v>
      </c>
      <c r="B17" s="214" t="s">
        <v>2064</v>
      </c>
      <c r="C17" s="947"/>
      <c r="D17" s="947"/>
      <c r="E17" s="947"/>
      <c r="F17" s="108" t="s">
        <v>2068</v>
      </c>
      <c r="G17" s="944"/>
      <c r="H17" s="136" t="s">
        <v>2079</v>
      </c>
      <c r="I17" s="136" t="s">
        <v>2080</v>
      </c>
      <c r="J17" s="136" t="s">
        <v>2081</v>
      </c>
      <c r="K17" s="136" t="s">
        <v>526</v>
      </c>
      <c r="L17" s="476">
        <v>0.3</v>
      </c>
      <c r="M17" s="443">
        <f>8%-3%</f>
        <v>0.05</v>
      </c>
      <c r="N17" s="467" t="str">
        <f t="shared" ref="N17:N49" si="0">I17</f>
        <v xml:space="preserve">Porcentaje del plan regional de competitividad del Departamento del Cauca, alineado al Sistema Nacional de Competitividad – CteI ejecutado </v>
      </c>
      <c r="O17" s="477">
        <v>0.22</v>
      </c>
      <c r="P17" s="469">
        <v>2350000</v>
      </c>
      <c r="Q17" s="470"/>
      <c r="R17" s="471"/>
      <c r="S17" s="471"/>
      <c r="T17" s="470"/>
      <c r="U17" s="471"/>
      <c r="V17" s="470">
        <v>2300000</v>
      </c>
      <c r="W17" s="471"/>
      <c r="X17" s="471"/>
      <c r="Y17" s="471"/>
      <c r="Z17" s="471"/>
      <c r="AA17" s="471"/>
      <c r="AB17" s="471"/>
      <c r="AC17" s="471"/>
      <c r="AD17" s="474">
        <v>50000</v>
      </c>
      <c r="AE17" s="471"/>
      <c r="AF17" s="471"/>
      <c r="AG17" s="478" t="s">
        <v>2082</v>
      </c>
      <c r="AH17" s="479">
        <v>2015000030068</v>
      </c>
      <c r="AI17" s="467" t="s">
        <v>2083</v>
      </c>
      <c r="AJ17" s="467" t="s">
        <v>2084</v>
      </c>
      <c r="AK17" s="467" t="s">
        <v>2085</v>
      </c>
      <c r="AL17" s="480">
        <v>1900000</v>
      </c>
      <c r="AM17" s="472" t="s">
        <v>2086</v>
      </c>
      <c r="AN17" s="475" t="s">
        <v>554</v>
      </c>
      <c r="AO17" s="475" t="s">
        <v>554</v>
      </c>
      <c r="AP17" s="475" t="s">
        <v>554</v>
      </c>
      <c r="AQ17" s="475" t="s">
        <v>554</v>
      </c>
      <c r="AR17" s="475" t="s">
        <v>554</v>
      </c>
      <c r="AS17" s="475" t="s">
        <v>554</v>
      </c>
      <c r="AT17" s="475" t="s">
        <v>554</v>
      </c>
      <c r="AU17" s="475" t="s">
        <v>554</v>
      </c>
      <c r="AV17" s="475" t="s">
        <v>554</v>
      </c>
      <c r="AW17" s="475" t="s">
        <v>554</v>
      </c>
      <c r="AX17" s="475" t="s">
        <v>554</v>
      </c>
      <c r="AY17" s="475" t="s">
        <v>554</v>
      </c>
      <c r="AZ17" s="467" t="s">
        <v>2077</v>
      </c>
      <c r="BA17" s="478" t="s">
        <v>2087</v>
      </c>
    </row>
    <row r="18" spans="1:53" ht="370.5" x14ac:dyDescent="0.25">
      <c r="A18" s="214" t="s">
        <v>1245</v>
      </c>
      <c r="B18" s="214" t="s">
        <v>2064</v>
      </c>
      <c r="C18" s="947"/>
      <c r="D18" s="947"/>
      <c r="E18" s="947"/>
      <c r="F18" s="108" t="s">
        <v>2068</v>
      </c>
      <c r="G18" s="944"/>
      <c r="H18" s="136" t="s">
        <v>2088</v>
      </c>
      <c r="I18" s="136" t="s">
        <v>2089</v>
      </c>
      <c r="J18" s="136" t="s">
        <v>2090</v>
      </c>
      <c r="K18" s="136" t="s">
        <v>526</v>
      </c>
      <c r="L18" s="139">
        <v>1</v>
      </c>
      <c r="M18" s="481">
        <v>0.45</v>
      </c>
      <c r="N18" s="467" t="str">
        <f t="shared" si="0"/>
        <v>Número de planes de acción para el fortalecimiento concertado con la Red Regional de Emprendimiento Departamento ejecutados</v>
      </c>
      <c r="O18" s="468">
        <v>0.55000000000000004</v>
      </c>
      <c r="P18" s="469">
        <v>319000</v>
      </c>
      <c r="Q18" s="470">
        <v>71000</v>
      </c>
      <c r="R18" s="471"/>
      <c r="S18" s="471"/>
      <c r="T18" s="471"/>
      <c r="U18" s="471"/>
      <c r="V18" s="470"/>
      <c r="W18" s="471"/>
      <c r="X18" s="471"/>
      <c r="Y18" s="471"/>
      <c r="Z18" s="471"/>
      <c r="AA18" s="471"/>
      <c r="AB18" s="471"/>
      <c r="AC18" s="471"/>
      <c r="AD18" s="474">
        <v>248000</v>
      </c>
      <c r="AE18" s="471"/>
      <c r="AF18" s="471"/>
      <c r="AG18" s="472" t="s">
        <v>2072</v>
      </c>
      <c r="AH18" s="473">
        <v>0</v>
      </c>
      <c r="AI18" s="467" t="s">
        <v>2073</v>
      </c>
      <c r="AJ18" s="467" t="s">
        <v>2074</v>
      </c>
      <c r="AK18" s="471" t="s">
        <v>2091</v>
      </c>
      <c r="AL18" s="474">
        <f>Q18</f>
        <v>71000</v>
      </c>
      <c r="AM18" s="472" t="s">
        <v>2092</v>
      </c>
      <c r="AN18" s="475" t="s">
        <v>554</v>
      </c>
      <c r="AO18" s="475" t="s">
        <v>554</v>
      </c>
      <c r="AP18" s="475" t="s">
        <v>554</v>
      </c>
      <c r="AQ18" s="475" t="s">
        <v>554</v>
      </c>
      <c r="AR18" s="475" t="s">
        <v>554</v>
      </c>
      <c r="AS18" s="475" t="s">
        <v>554</v>
      </c>
      <c r="AT18" s="475" t="s">
        <v>554</v>
      </c>
      <c r="AU18" s="475" t="s">
        <v>554</v>
      </c>
      <c r="AV18" s="475" t="s">
        <v>554</v>
      </c>
      <c r="AW18" s="475" t="s">
        <v>554</v>
      </c>
      <c r="AX18" s="475" t="s">
        <v>554</v>
      </c>
      <c r="AY18" s="475" t="s">
        <v>554</v>
      </c>
      <c r="AZ18" s="467" t="s">
        <v>2077</v>
      </c>
      <c r="BA18" s="472" t="s">
        <v>2078</v>
      </c>
    </row>
    <row r="19" spans="1:53" ht="142.5" x14ac:dyDescent="0.25">
      <c r="A19" s="214" t="s">
        <v>1245</v>
      </c>
      <c r="B19" s="214" t="s">
        <v>2064</v>
      </c>
      <c r="C19" s="947"/>
      <c r="D19" s="947"/>
      <c r="E19" s="947"/>
      <c r="F19" s="441" t="s">
        <v>2068</v>
      </c>
      <c r="G19" s="944"/>
      <c r="H19" s="136" t="s">
        <v>2093</v>
      </c>
      <c r="I19" s="136" t="s">
        <v>2094</v>
      </c>
      <c r="J19" s="136"/>
      <c r="K19" s="136" t="s">
        <v>526</v>
      </c>
      <c r="L19" s="139">
        <v>15</v>
      </c>
      <c r="M19" s="482">
        <v>9</v>
      </c>
      <c r="N19" s="467" t="str">
        <f t="shared" si="0"/>
        <v>Número de emprendimientos de impacto en el Departamento consolidados</v>
      </c>
      <c r="O19" s="468">
        <v>6</v>
      </c>
      <c r="P19" s="469">
        <v>475000</v>
      </c>
      <c r="Q19" s="470">
        <v>25000</v>
      </c>
      <c r="R19" s="471"/>
      <c r="S19" s="471"/>
      <c r="T19" s="471"/>
      <c r="U19" s="471"/>
      <c r="V19" s="470"/>
      <c r="W19" s="471"/>
      <c r="X19" s="471"/>
      <c r="Y19" s="471"/>
      <c r="Z19" s="471"/>
      <c r="AA19" s="471"/>
      <c r="AB19" s="471"/>
      <c r="AC19" s="471"/>
      <c r="AD19" s="474">
        <v>450000</v>
      </c>
      <c r="AE19" s="471"/>
      <c r="AF19" s="471"/>
      <c r="AG19" s="472" t="s">
        <v>2072</v>
      </c>
      <c r="AH19" s="473">
        <v>0</v>
      </c>
      <c r="AI19" s="467" t="s">
        <v>2073</v>
      </c>
      <c r="AJ19" s="467" t="s">
        <v>2074</v>
      </c>
      <c r="AK19" s="471" t="s">
        <v>2095</v>
      </c>
      <c r="AL19" s="474">
        <f>Q19</f>
        <v>25000</v>
      </c>
      <c r="AM19" s="472" t="s">
        <v>2096</v>
      </c>
      <c r="AN19" s="475" t="s">
        <v>554</v>
      </c>
      <c r="AO19" s="475" t="s">
        <v>554</v>
      </c>
      <c r="AP19" s="475" t="s">
        <v>554</v>
      </c>
      <c r="AQ19" s="475" t="s">
        <v>554</v>
      </c>
      <c r="AR19" s="475" t="s">
        <v>554</v>
      </c>
      <c r="AS19" s="475" t="s">
        <v>554</v>
      </c>
      <c r="AT19" s="475" t="s">
        <v>554</v>
      </c>
      <c r="AU19" s="475" t="s">
        <v>554</v>
      </c>
      <c r="AV19" s="475" t="s">
        <v>554</v>
      </c>
      <c r="AW19" s="475" t="s">
        <v>554</v>
      </c>
      <c r="AX19" s="475" t="s">
        <v>554</v>
      </c>
      <c r="AY19" s="475" t="s">
        <v>554</v>
      </c>
      <c r="AZ19" s="467" t="s">
        <v>2077</v>
      </c>
      <c r="BA19" s="472" t="s">
        <v>2078</v>
      </c>
    </row>
    <row r="20" spans="1:53" ht="142.5" x14ac:dyDescent="0.25">
      <c r="A20" s="214" t="s">
        <v>1245</v>
      </c>
      <c r="B20" s="214" t="s">
        <v>2064</v>
      </c>
      <c r="C20" s="947"/>
      <c r="D20" s="947"/>
      <c r="E20" s="947"/>
      <c r="F20" s="108" t="s">
        <v>2097</v>
      </c>
      <c r="G20" s="944" t="s">
        <v>2098</v>
      </c>
      <c r="H20" s="136" t="s">
        <v>2099</v>
      </c>
      <c r="I20" s="136" t="s">
        <v>2100</v>
      </c>
      <c r="J20" s="136" t="s">
        <v>2101</v>
      </c>
      <c r="K20" s="136" t="s">
        <v>526</v>
      </c>
      <c r="L20" s="139">
        <v>1</v>
      </c>
      <c r="M20" s="136">
        <v>0.3</v>
      </c>
      <c r="N20" s="467" t="str">
        <f t="shared" si="0"/>
        <v>Número de estrategia de fortalecimiento para 3 centros de empleo en el Cauca, en alianza con el Ministerio de Trabajo implementadas</v>
      </c>
      <c r="O20" s="468">
        <v>0.7</v>
      </c>
      <c r="P20" s="469">
        <v>15000</v>
      </c>
      <c r="Q20" s="471">
        <v>10000</v>
      </c>
      <c r="R20" s="471"/>
      <c r="S20" s="471"/>
      <c r="T20" s="471"/>
      <c r="U20" s="471"/>
      <c r="V20" s="471"/>
      <c r="W20" s="471"/>
      <c r="X20" s="471"/>
      <c r="Y20" s="471"/>
      <c r="Z20" s="471"/>
      <c r="AA20" s="471"/>
      <c r="AB20" s="471"/>
      <c r="AC20" s="471"/>
      <c r="AD20" s="471">
        <v>5000</v>
      </c>
      <c r="AE20" s="471"/>
      <c r="AF20" s="471"/>
      <c r="AG20" s="467" t="s">
        <v>2102</v>
      </c>
      <c r="AH20" s="473">
        <v>0</v>
      </c>
      <c r="AI20" s="467" t="s">
        <v>1907</v>
      </c>
      <c r="AJ20" s="467" t="s">
        <v>2074</v>
      </c>
      <c r="AK20" s="478" t="s">
        <v>2103</v>
      </c>
      <c r="AL20" s="483">
        <f>Q20</f>
        <v>10000</v>
      </c>
      <c r="AM20" s="472" t="s">
        <v>2104</v>
      </c>
      <c r="AN20" s="475"/>
      <c r="AO20" s="475"/>
      <c r="AP20" s="475" t="s">
        <v>536</v>
      </c>
      <c r="AQ20" s="475" t="s">
        <v>536</v>
      </c>
      <c r="AR20" s="475" t="s">
        <v>536</v>
      </c>
      <c r="AS20" s="475" t="s">
        <v>536</v>
      </c>
      <c r="AT20" s="475" t="s">
        <v>536</v>
      </c>
      <c r="AU20" s="475" t="s">
        <v>536</v>
      </c>
      <c r="AV20" s="475" t="s">
        <v>536</v>
      </c>
      <c r="AW20" s="475" t="s">
        <v>536</v>
      </c>
      <c r="AX20" s="475" t="s">
        <v>536</v>
      </c>
      <c r="AY20" s="475" t="s">
        <v>536</v>
      </c>
      <c r="AZ20" s="467" t="s">
        <v>2105</v>
      </c>
      <c r="BA20" s="478" t="s">
        <v>2106</v>
      </c>
    </row>
    <row r="21" spans="1:53" ht="160.5" customHeight="1" x14ac:dyDescent="0.25">
      <c r="A21" s="214" t="s">
        <v>1245</v>
      </c>
      <c r="B21" s="214" t="s">
        <v>2064</v>
      </c>
      <c r="C21" s="947"/>
      <c r="D21" s="947"/>
      <c r="E21" s="947"/>
      <c r="F21" s="439" t="s">
        <v>2097</v>
      </c>
      <c r="G21" s="944"/>
      <c r="H21" s="136" t="s">
        <v>2107</v>
      </c>
      <c r="I21" s="136" t="s">
        <v>2108</v>
      </c>
      <c r="J21" s="136">
        <v>0</v>
      </c>
      <c r="K21" s="136" t="s">
        <v>526</v>
      </c>
      <c r="L21" s="139">
        <v>8</v>
      </c>
      <c r="M21" s="136">
        <v>2</v>
      </c>
      <c r="N21" s="467" t="str">
        <f t="shared" si="0"/>
        <v xml:space="preserve">Número de publicaciones con información del mercado laboral generadas </v>
      </c>
      <c r="O21" s="468">
        <v>6</v>
      </c>
      <c r="P21" s="469">
        <v>18000</v>
      </c>
      <c r="Q21" s="471">
        <v>10000</v>
      </c>
      <c r="R21" s="471"/>
      <c r="S21" s="471"/>
      <c r="T21" s="471"/>
      <c r="U21" s="471"/>
      <c r="V21" s="471"/>
      <c r="W21" s="471"/>
      <c r="X21" s="471"/>
      <c r="Y21" s="471"/>
      <c r="Z21" s="471"/>
      <c r="AA21" s="471"/>
      <c r="AB21" s="471"/>
      <c r="AC21" s="471"/>
      <c r="AD21" s="471">
        <v>8000</v>
      </c>
      <c r="AE21" s="471"/>
      <c r="AF21" s="471"/>
      <c r="AG21" s="467" t="s">
        <v>2102</v>
      </c>
      <c r="AH21" s="473">
        <v>0</v>
      </c>
      <c r="AI21" s="467" t="s">
        <v>1907</v>
      </c>
      <c r="AJ21" s="467" t="s">
        <v>2074</v>
      </c>
      <c r="AK21" s="478" t="s">
        <v>2103</v>
      </c>
      <c r="AL21" s="483">
        <f t="shared" ref="AL21:AL22" si="1">Q21</f>
        <v>10000</v>
      </c>
      <c r="AM21" s="472" t="s">
        <v>2109</v>
      </c>
      <c r="AN21" s="475"/>
      <c r="AO21" s="475"/>
      <c r="AP21" s="475" t="s">
        <v>536</v>
      </c>
      <c r="AQ21" s="475" t="s">
        <v>536</v>
      </c>
      <c r="AR21" s="475" t="s">
        <v>536</v>
      </c>
      <c r="AS21" s="475" t="s">
        <v>536</v>
      </c>
      <c r="AT21" s="475" t="s">
        <v>536</v>
      </c>
      <c r="AU21" s="475" t="s">
        <v>536</v>
      </c>
      <c r="AV21" s="475" t="s">
        <v>536</v>
      </c>
      <c r="AW21" s="475" t="s">
        <v>536</v>
      </c>
      <c r="AX21" s="475" t="s">
        <v>536</v>
      </c>
      <c r="AY21" s="475" t="s">
        <v>536</v>
      </c>
      <c r="AZ21" s="467" t="s">
        <v>2110</v>
      </c>
      <c r="BA21" s="478" t="s">
        <v>2106</v>
      </c>
    </row>
    <row r="22" spans="1:53" ht="99.75" x14ac:dyDescent="0.25">
      <c r="A22" s="214" t="s">
        <v>1245</v>
      </c>
      <c r="B22" s="214" t="s">
        <v>2064</v>
      </c>
      <c r="C22" s="947"/>
      <c r="D22" s="947"/>
      <c r="E22" s="947"/>
      <c r="F22" s="108" t="s">
        <v>2097</v>
      </c>
      <c r="G22" s="944"/>
      <c r="H22" s="136" t="s">
        <v>2111</v>
      </c>
      <c r="I22" s="136" t="s">
        <v>2112</v>
      </c>
      <c r="J22" s="136">
        <v>0</v>
      </c>
      <c r="K22" s="136" t="s">
        <v>526</v>
      </c>
      <c r="L22" s="139">
        <v>1</v>
      </c>
      <c r="M22" s="136">
        <v>0.15</v>
      </c>
      <c r="N22" s="467" t="str">
        <f t="shared" si="0"/>
        <v>Número de estrategias que impulsen el empleo digno e incluyente implementadas</v>
      </c>
      <c r="O22" s="468">
        <v>0.85</v>
      </c>
      <c r="P22" s="469">
        <v>6000</v>
      </c>
      <c r="Q22" s="471">
        <v>6000</v>
      </c>
      <c r="R22" s="471"/>
      <c r="S22" s="471"/>
      <c r="T22" s="471"/>
      <c r="U22" s="471"/>
      <c r="V22" s="471"/>
      <c r="W22" s="471"/>
      <c r="X22" s="471"/>
      <c r="Y22" s="471"/>
      <c r="Z22" s="471"/>
      <c r="AA22" s="471"/>
      <c r="AB22" s="471"/>
      <c r="AC22" s="471"/>
      <c r="AD22" s="471"/>
      <c r="AE22" s="471"/>
      <c r="AF22" s="471"/>
      <c r="AG22" s="467" t="s">
        <v>2102</v>
      </c>
      <c r="AH22" s="473">
        <v>0</v>
      </c>
      <c r="AI22" s="467" t="s">
        <v>1907</v>
      </c>
      <c r="AJ22" s="467" t="s">
        <v>2074</v>
      </c>
      <c r="AK22" s="478" t="s">
        <v>2103</v>
      </c>
      <c r="AL22" s="483">
        <f t="shared" si="1"/>
        <v>6000</v>
      </c>
      <c r="AM22" s="472" t="s">
        <v>2113</v>
      </c>
      <c r="AN22" s="475"/>
      <c r="AO22" s="475"/>
      <c r="AP22" s="475" t="s">
        <v>536</v>
      </c>
      <c r="AQ22" s="475" t="s">
        <v>536</v>
      </c>
      <c r="AR22" s="475" t="s">
        <v>536</v>
      </c>
      <c r="AS22" s="475" t="s">
        <v>536</v>
      </c>
      <c r="AT22" s="475" t="s">
        <v>536</v>
      </c>
      <c r="AU22" s="475" t="s">
        <v>536</v>
      </c>
      <c r="AV22" s="475" t="s">
        <v>536</v>
      </c>
      <c r="AW22" s="475" t="s">
        <v>536</v>
      </c>
      <c r="AX22" s="475" t="s">
        <v>536</v>
      </c>
      <c r="AY22" s="475" t="s">
        <v>536</v>
      </c>
      <c r="AZ22" s="467" t="s">
        <v>2114</v>
      </c>
      <c r="BA22" s="478" t="s">
        <v>2106</v>
      </c>
    </row>
    <row r="23" spans="1:53" ht="142.5" x14ac:dyDescent="0.25">
      <c r="A23" s="214" t="s">
        <v>1245</v>
      </c>
      <c r="B23" s="214" t="s">
        <v>2064</v>
      </c>
      <c r="C23" s="947"/>
      <c r="D23" s="947"/>
      <c r="E23" s="947"/>
      <c r="F23" s="108" t="s">
        <v>2115</v>
      </c>
      <c r="G23" s="944" t="s">
        <v>2116</v>
      </c>
      <c r="H23" s="136" t="s">
        <v>2117</v>
      </c>
      <c r="I23" s="136" t="s">
        <v>2118</v>
      </c>
      <c r="J23" s="136">
        <v>0</v>
      </c>
      <c r="K23" s="136" t="s">
        <v>527</v>
      </c>
      <c r="L23" s="139">
        <v>1</v>
      </c>
      <c r="M23" s="136">
        <v>1</v>
      </c>
      <c r="N23" s="467" t="str">
        <f t="shared" si="0"/>
        <v>Herramienta Invest in Cauca operativizada</v>
      </c>
      <c r="O23" s="468">
        <v>1</v>
      </c>
      <c r="P23" s="469">
        <v>60000</v>
      </c>
      <c r="Q23" s="470">
        <v>20000</v>
      </c>
      <c r="R23" s="471"/>
      <c r="S23" s="471"/>
      <c r="T23" s="471"/>
      <c r="U23" s="471"/>
      <c r="V23" s="471"/>
      <c r="W23" s="471"/>
      <c r="X23" s="471"/>
      <c r="Y23" s="471"/>
      <c r="Z23" s="471"/>
      <c r="AA23" s="471"/>
      <c r="AB23" s="471"/>
      <c r="AC23" s="471"/>
      <c r="AD23" s="470">
        <v>40000</v>
      </c>
      <c r="AE23" s="471"/>
      <c r="AF23" s="471"/>
      <c r="AG23" s="472" t="s">
        <v>2072</v>
      </c>
      <c r="AH23" s="473">
        <v>0</v>
      </c>
      <c r="AI23" s="467" t="s">
        <v>2073</v>
      </c>
      <c r="AJ23" s="467" t="s">
        <v>2074</v>
      </c>
      <c r="AK23" s="471" t="s">
        <v>2119</v>
      </c>
      <c r="AL23" s="474">
        <f>Q23</f>
        <v>20000</v>
      </c>
      <c r="AM23" s="478" t="s">
        <v>2120</v>
      </c>
      <c r="AN23" s="475" t="s">
        <v>554</v>
      </c>
      <c r="AO23" s="475" t="s">
        <v>554</v>
      </c>
      <c r="AP23" s="475" t="s">
        <v>554</v>
      </c>
      <c r="AQ23" s="475" t="s">
        <v>554</v>
      </c>
      <c r="AR23" s="475" t="s">
        <v>554</v>
      </c>
      <c r="AS23" s="475" t="s">
        <v>554</v>
      </c>
      <c r="AT23" s="475" t="s">
        <v>554</v>
      </c>
      <c r="AU23" s="475" t="s">
        <v>554</v>
      </c>
      <c r="AV23" s="475" t="s">
        <v>554</v>
      </c>
      <c r="AW23" s="475" t="s">
        <v>554</v>
      </c>
      <c r="AX23" s="475" t="s">
        <v>554</v>
      </c>
      <c r="AY23" s="475" t="s">
        <v>554</v>
      </c>
      <c r="AZ23" s="467" t="s">
        <v>2077</v>
      </c>
      <c r="BA23" s="472" t="s">
        <v>2078</v>
      </c>
    </row>
    <row r="24" spans="1:53" ht="185.25" x14ac:dyDescent="0.25">
      <c r="A24" s="214" t="s">
        <v>1245</v>
      </c>
      <c r="B24" s="214" t="s">
        <v>2064</v>
      </c>
      <c r="C24" s="947"/>
      <c r="D24" s="947"/>
      <c r="E24" s="947"/>
      <c r="F24" s="439" t="s">
        <v>2115</v>
      </c>
      <c r="G24" s="944"/>
      <c r="H24" s="136" t="s">
        <v>2121</v>
      </c>
      <c r="I24" s="136" t="s">
        <v>2122</v>
      </c>
      <c r="J24" s="136" t="s">
        <v>2123</v>
      </c>
      <c r="K24" s="136" t="s">
        <v>526</v>
      </c>
      <c r="L24" s="139">
        <v>1</v>
      </c>
      <c r="M24" s="481">
        <v>0.25</v>
      </c>
      <c r="N24" s="467" t="str">
        <f t="shared" si="0"/>
        <v>Número de planes para promocionar la inversión en el Departamento del Cauca implementados</v>
      </c>
      <c r="O24" s="468">
        <v>0.75</v>
      </c>
      <c r="P24" s="469">
        <v>169000</v>
      </c>
      <c r="Q24" s="470">
        <v>29000</v>
      </c>
      <c r="R24" s="471"/>
      <c r="S24" s="471"/>
      <c r="T24" s="471"/>
      <c r="U24" s="471"/>
      <c r="V24" s="471"/>
      <c r="W24" s="471"/>
      <c r="X24" s="471"/>
      <c r="Y24" s="471"/>
      <c r="Z24" s="471"/>
      <c r="AA24" s="471"/>
      <c r="AB24" s="471"/>
      <c r="AC24" s="471"/>
      <c r="AD24" s="470">
        <v>140000</v>
      </c>
      <c r="AE24" s="471"/>
      <c r="AF24" s="471"/>
      <c r="AG24" s="472" t="s">
        <v>2072</v>
      </c>
      <c r="AH24" s="473">
        <v>0</v>
      </c>
      <c r="AI24" s="467" t="s">
        <v>2073</v>
      </c>
      <c r="AJ24" s="467" t="s">
        <v>2074</v>
      </c>
      <c r="AK24" s="471" t="s">
        <v>2091</v>
      </c>
      <c r="AL24" s="474">
        <f>Q24</f>
        <v>29000</v>
      </c>
      <c r="AM24" s="478" t="s">
        <v>2124</v>
      </c>
      <c r="AN24" s="475" t="s">
        <v>554</v>
      </c>
      <c r="AO24" s="475" t="s">
        <v>554</v>
      </c>
      <c r="AP24" s="475" t="s">
        <v>554</v>
      </c>
      <c r="AQ24" s="475" t="s">
        <v>554</v>
      </c>
      <c r="AR24" s="475" t="s">
        <v>554</v>
      </c>
      <c r="AS24" s="475" t="s">
        <v>554</v>
      </c>
      <c r="AT24" s="475" t="s">
        <v>554</v>
      </c>
      <c r="AU24" s="475" t="s">
        <v>554</v>
      </c>
      <c r="AV24" s="475" t="s">
        <v>554</v>
      </c>
      <c r="AW24" s="475" t="s">
        <v>554</v>
      </c>
      <c r="AX24" s="475" t="s">
        <v>554</v>
      </c>
      <c r="AY24" s="475" t="s">
        <v>554</v>
      </c>
      <c r="AZ24" s="467" t="s">
        <v>2077</v>
      </c>
      <c r="BA24" s="472" t="s">
        <v>2078</v>
      </c>
    </row>
    <row r="25" spans="1:53" ht="142.5" x14ac:dyDescent="0.25">
      <c r="A25" s="214" t="s">
        <v>1245</v>
      </c>
      <c r="B25" s="214" t="s">
        <v>2064</v>
      </c>
      <c r="C25" s="947"/>
      <c r="D25" s="947"/>
      <c r="E25" s="947"/>
      <c r="F25" s="108" t="s">
        <v>2115</v>
      </c>
      <c r="G25" s="944"/>
      <c r="H25" s="136" t="s">
        <v>2125</v>
      </c>
      <c r="I25" s="136" t="s">
        <v>2126</v>
      </c>
      <c r="J25" s="136" t="s">
        <v>2127</v>
      </c>
      <c r="K25" s="136" t="s">
        <v>526</v>
      </c>
      <c r="L25" s="139">
        <v>12</v>
      </c>
      <c r="M25" s="136">
        <v>2</v>
      </c>
      <c r="N25" s="467" t="str">
        <f t="shared" si="0"/>
        <v xml:space="preserve">Número de escenarios de promoción sectoriales especializados para el Departamento implementados </v>
      </c>
      <c r="O25" s="468">
        <v>10</v>
      </c>
      <c r="P25" s="469">
        <v>160000</v>
      </c>
      <c r="Q25" s="470">
        <v>20000</v>
      </c>
      <c r="R25" s="471"/>
      <c r="S25" s="471"/>
      <c r="T25" s="471"/>
      <c r="U25" s="471"/>
      <c r="V25" s="471"/>
      <c r="W25" s="471"/>
      <c r="X25" s="471"/>
      <c r="Y25" s="471"/>
      <c r="Z25" s="471"/>
      <c r="AA25" s="471"/>
      <c r="AB25" s="471"/>
      <c r="AC25" s="471"/>
      <c r="AD25" s="470">
        <v>140000</v>
      </c>
      <c r="AE25" s="471"/>
      <c r="AF25" s="471"/>
      <c r="AG25" s="472" t="s">
        <v>2072</v>
      </c>
      <c r="AH25" s="473">
        <v>0</v>
      </c>
      <c r="AI25" s="467" t="s">
        <v>2073</v>
      </c>
      <c r="AJ25" s="467" t="s">
        <v>2074</v>
      </c>
      <c r="AK25" s="471" t="s">
        <v>2128</v>
      </c>
      <c r="AL25" s="474">
        <f>Q25</f>
        <v>20000</v>
      </c>
      <c r="AM25" s="478" t="s">
        <v>2129</v>
      </c>
      <c r="AN25" s="475" t="s">
        <v>554</v>
      </c>
      <c r="AO25" s="475" t="s">
        <v>554</v>
      </c>
      <c r="AP25" s="475" t="s">
        <v>554</v>
      </c>
      <c r="AQ25" s="475" t="s">
        <v>554</v>
      </c>
      <c r="AR25" s="475" t="s">
        <v>554</v>
      </c>
      <c r="AS25" s="475" t="s">
        <v>554</v>
      </c>
      <c r="AT25" s="475" t="s">
        <v>554</v>
      </c>
      <c r="AU25" s="475" t="s">
        <v>554</v>
      </c>
      <c r="AV25" s="475" t="s">
        <v>554</v>
      </c>
      <c r="AW25" s="475" t="s">
        <v>554</v>
      </c>
      <c r="AX25" s="475" t="s">
        <v>554</v>
      </c>
      <c r="AY25" s="475" t="s">
        <v>554</v>
      </c>
      <c r="AZ25" s="467" t="s">
        <v>2077</v>
      </c>
      <c r="BA25" s="472" t="s">
        <v>2078</v>
      </c>
    </row>
    <row r="26" spans="1:53" ht="210" x14ac:dyDescent="0.25">
      <c r="A26" s="214" t="s">
        <v>1245</v>
      </c>
      <c r="B26" s="214" t="s">
        <v>2064</v>
      </c>
      <c r="C26" s="947"/>
      <c r="D26" s="947"/>
      <c r="E26" s="947"/>
      <c r="F26" s="136" t="s">
        <v>2130</v>
      </c>
      <c r="G26" s="136" t="s">
        <v>2131</v>
      </c>
      <c r="H26" s="136" t="s">
        <v>2132</v>
      </c>
      <c r="I26" s="136" t="s">
        <v>2133</v>
      </c>
      <c r="J26" s="136">
        <v>1</v>
      </c>
      <c r="K26" s="136" t="s">
        <v>526</v>
      </c>
      <c r="L26" s="139">
        <v>1</v>
      </c>
      <c r="M26" s="481">
        <v>0.25</v>
      </c>
      <c r="N26" s="467" t="str">
        <f t="shared" si="0"/>
        <v>Número de planes de acción de fortalecimiento de la mesa de cambio climático para el análisis económico  implementados</v>
      </c>
      <c r="O26" s="468">
        <v>0.75</v>
      </c>
      <c r="P26" s="469">
        <v>121000</v>
      </c>
      <c r="Q26" s="470">
        <v>53000</v>
      </c>
      <c r="R26" s="471"/>
      <c r="S26" s="471"/>
      <c r="T26" s="471"/>
      <c r="U26" s="471"/>
      <c r="V26" s="471"/>
      <c r="W26" s="471"/>
      <c r="X26" s="471"/>
      <c r="Y26" s="471"/>
      <c r="Z26" s="471"/>
      <c r="AA26" s="471"/>
      <c r="AB26" s="471"/>
      <c r="AC26" s="471"/>
      <c r="AD26" s="470">
        <v>68000</v>
      </c>
      <c r="AE26" s="471"/>
      <c r="AF26" s="471"/>
      <c r="AG26" s="472" t="s">
        <v>2134</v>
      </c>
      <c r="AH26" s="473">
        <v>0</v>
      </c>
      <c r="AI26" s="472" t="s">
        <v>2135</v>
      </c>
      <c r="AJ26" s="468" t="s">
        <v>1587</v>
      </c>
      <c r="AK26" s="483">
        <v>500000</v>
      </c>
      <c r="AL26" s="474">
        <v>53000</v>
      </c>
      <c r="AM26" s="472" t="s">
        <v>2136</v>
      </c>
      <c r="AN26" s="475" t="s">
        <v>536</v>
      </c>
      <c r="AO26" s="475" t="s">
        <v>536</v>
      </c>
      <c r="AP26" s="475" t="s">
        <v>536</v>
      </c>
      <c r="AQ26" s="475" t="s">
        <v>536</v>
      </c>
      <c r="AR26" s="475" t="s">
        <v>536</v>
      </c>
      <c r="AS26" s="475" t="s">
        <v>536</v>
      </c>
      <c r="AT26" s="475" t="s">
        <v>536</v>
      </c>
      <c r="AU26" s="475" t="s">
        <v>536</v>
      </c>
      <c r="AV26" s="475" t="s">
        <v>536</v>
      </c>
      <c r="AW26" s="475" t="s">
        <v>536</v>
      </c>
      <c r="AX26" s="475" t="s">
        <v>536</v>
      </c>
      <c r="AY26" s="475" t="s">
        <v>536</v>
      </c>
      <c r="AZ26" s="472" t="s">
        <v>2137</v>
      </c>
      <c r="BA26" s="472" t="s">
        <v>2138</v>
      </c>
    </row>
    <row r="27" spans="1:53" ht="142.5" x14ac:dyDescent="0.25">
      <c r="A27" s="214" t="s">
        <v>1245</v>
      </c>
      <c r="B27" s="214" t="s">
        <v>2064</v>
      </c>
      <c r="C27" s="937"/>
      <c r="D27" s="937"/>
      <c r="E27" s="937"/>
      <c r="F27" s="136" t="s">
        <v>2139</v>
      </c>
      <c r="G27" s="136" t="s">
        <v>2140</v>
      </c>
      <c r="H27" s="136" t="s">
        <v>2141</v>
      </c>
      <c r="I27" s="136" t="s">
        <v>2142</v>
      </c>
      <c r="J27" s="136">
        <v>1</v>
      </c>
      <c r="K27" s="136" t="s">
        <v>526</v>
      </c>
      <c r="L27" s="139">
        <v>1</v>
      </c>
      <c r="M27" s="136">
        <v>0.2</v>
      </c>
      <c r="N27" s="467" t="str">
        <f t="shared" si="0"/>
        <v>Número de estrategias para  el fortalecimiento de las alianzas supraregionales construidas</v>
      </c>
      <c r="O27" s="468"/>
      <c r="P27" s="469">
        <v>750000</v>
      </c>
      <c r="Q27" s="471"/>
      <c r="R27" s="471"/>
      <c r="S27" s="471"/>
      <c r="T27" s="471"/>
      <c r="U27" s="471"/>
      <c r="V27" s="471">
        <v>500000</v>
      </c>
      <c r="W27" s="471"/>
      <c r="X27" s="471"/>
      <c r="Y27" s="471"/>
      <c r="Z27" s="471"/>
      <c r="AA27" s="471"/>
      <c r="AB27" s="471"/>
      <c r="AC27" s="471"/>
      <c r="AD27" s="471">
        <v>250000</v>
      </c>
      <c r="AE27" s="471"/>
      <c r="AF27" s="471"/>
      <c r="AG27" s="467" t="s">
        <v>2143</v>
      </c>
      <c r="AH27" s="473">
        <v>0</v>
      </c>
      <c r="AI27" s="467" t="s">
        <v>1907</v>
      </c>
      <c r="AJ27" s="467" t="s">
        <v>2074</v>
      </c>
      <c r="AK27" s="478" t="s">
        <v>2103</v>
      </c>
      <c r="AL27" s="483">
        <v>60000</v>
      </c>
      <c r="AM27" s="472" t="s">
        <v>2144</v>
      </c>
      <c r="AN27" s="475"/>
      <c r="AO27" s="475"/>
      <c r="AP27" s="475" t="s">
        <v>536</v>
      </c>
      <c r="AQ27" s="475" t="s">
        <v>536</v>
      </c>
      <c r="AR27" s="475" t="s">
        <v>536</v>
      </c>
      <c r="AS27" s="475" t="s">
        <v>536</v>
      </c>
      <c r="AT27" s="475" t="s">
        <v>536</v>
      </c>
      <c r="AU27" s="475" t="s">
        <v>536</v>
      </c>
      <c r="AV27" s="475" t="s">
        <v>536</v>
      </c>
      <c r="AW27" s="475" t="s">
        <v>536</v>
      </c>
      <c r="AX27" s="475" t="s">
        <v>536</v>
      </c>
      <c r="AY27" s="475" t="s">
        <v>536</v>
      </c>
      <c r="AZ27" s="467" t="s">
        <v>2114</v>
      </c>
      <c r="BA27" s="478"/>
    </row>
    <row r="28" spans="1:53" ht="171" x14ac:dyDescent="0.25">
      <c r="A28" s="214" t="s">
        <v>1245</v>
      </c>
      <c r="B28" s="214" t="s">
        <v>2064</v>
      </c>
      <c r="C28" s="944" t="s">
        <v>2145</v>
      </c>
      <c r="D28" s="944" t="s">
        <v>2146</v>
      </c>
      <c r="E28" s="944" t="s">
        <v>2147</v>
      </c>
      <c r="F28" s="214" t="s">
        <v>2148</v>
      </c>
      <c r="G28" s="944" t="s">
        <v>2149</v>
      </c>
      <c r="H28" s="136" t="s">
        <v>2150</v>
      </c>
      <c r="I28" s="136" t="s">
        <v>2151</v>
      </c>
      <c r="J28" s="136">
        <v>0</v>
      </c>
      <c r="K28" s="136" t="s">
        <v>526</v>
      </c>
      <c r="L28" s="139">
        <v>2</v>
      </c>
      <c r="M28" s="136">
        <v>0.3</v>
      </c>
      <c r="N28" s="467" t="str">
        <f t="shared" si="0"/>
        <v xml:space="preserve">Número de subregiones en procesos de planificación turística asistidas técnicamente </v>
      </c>
      <c r="O28" s="468">
        <v>1.7</v>
      </c>
      <c r="P28" s="469">
        <v>25613</v>
      </c>
      <c r="Q28" s="469">
        <v>25613</v>
      </c>
      <c r="R28" s="471"/>
      <c r="S28" s="471"/>
      <c r="T28" s="471"/>
      <c r="U28" s="471"/>
      <c r="V28" s="471"/>
      <c r="W28" s="471"/>
      <c r="X28" s="471"/>
      <c r="Y28" s="471"/>
      <c r="Z28" s="471"/>
      <c r="AA28" s="471"/>
      <c r="AB28" s="471"/>
      <c r="AC28" s="471"/>
      <c r="AD28" s="471"/>
      <c r="AE28" s="471"/>
      <c r="AF28" s="471"/>
      <c r="AG28" s="472" t="s">
        <v>2152</v>
      </c>
      <c r="AH28" s="472" t="s">
        <v>2153</v>
      </c>
      <c r="AI28" s="472" t="s">
        <v>2154</v>
      </c>
      <c r="AJ28" s="472" t="s">
        <v>2155</v>
      </c>
      <c r="AK28" s="472" t="s">
        <v>2156</v>
      </c>
      <c r="AL28" s="1010">
        <v>153150500</v>
      </c>
      <c r="AM28" s="472" t="s">
        <v>2157</v>
      </c>
      <c r="AN28" s="475" t="s">
        <v>536</v>
      </c>
      <c r="AO28" s="475" t="s">
        <v>536</v>
      </c>
      <c r="AP28" s="475" t="s">
        <v>536</v>
      </c>
      <c r="AQ28" s="475" t="s">
        <v>536</v>
      </c>
      <c r="AR28" s="475" t="s">
        <v>536</v>
      </c>
      <c r="AS28" s="475" t="s">
        <v>536</v>
      </c>
      <c r="AT28" s="475" t="s">
        <v>536</v>
      </c>
      <c r="AU28" s="475" t="s">
        <v>536</v>
      </c>
      <c r="AV28" s="475" t="s">
        <v>536</v>
      </c>
      <c r="AW28" s="475" t="s">
        <v>536</v>
      </c>
      <c r="AX28" s="475" t="s">
        <v>536</v>
      </c>
      <c r="AY28" s="475" t="s">
        <v>536</v>
      </c>
      <c r="AZ28" s="472" t="s">
        <v>2158</v>
      </c>
      <c r="BA28" s="472" t="s">
        <v>2159</v>
      </c>
    </row>
    <row r="29" spans="1:53" ht="171" x14ac:dyDescent="0.25">
      <c r="A29" s="214" t="s">
        <v>1245</v>
      </c>
      <c r="B29" s="214" t="s">
        <v>2064</v>
      </c>
      <c r="C29" s="944"/>
      <c r="D29" s="944"/>
      <c r="E29" s="944"/>
      <c r="F29" s="108" t="s">
        <v>2148</v>
      </c>
      <c r="G29" s="944"/>
      <c r="H29" s="136" t="s">
        <v>2160</v>
      </c>
      <c r="I29" s="136" t="s">
        <v>2161</v>
      </c>
      <c r="J29" s="136">
        <v>5</v>
      </c>
      <c r="K29" s="136" t="s">
        <v>526</v>
      </c>
      <c r="L29" s="139">
        <v>10</v>
      </c>
      <c r="M29" s="136">
        <v>2</v>
      </c>
      <c r="N29" s="467" t="str">
        <f t="shared" si="0"/>
        <v>Número de nuevas políticas públicas turísticas en alianza con las administraciones municipales estructuradas</v>
      </c>
      <c r="O29" s="468">
        <v>8</v>
      </c>
      <c r="P29" s="469">
        <v>39000</v>
      </c>
      <c r="Q29" s="469">
        <v>39000</v>
      </c>
      <c r="R29" s="471"/>
      <c r="S29" s="471"/>
      <c r="T29" s="471"/>
      <c r="U29" s="471"/>
      <c r="V29" s="471"/>
      <c r="W29" s="471"/>
      <c r="X29" s="471"/>
      <c r="Y29" s="471"/>
      <c r="Z29" s="471"/>
      <c r="AA29" s="471"/>
      <c r="AB29" s="471"/>
      <c r="AC29" s="471"/>
      <c r="AD29" s="471"/>
      <c r="AE29" s="471"/>
      <c r="AF29" s="471"/>
      <c r="AG29" s="472" t="s">
        <v>2152</v>
      </c>
      <c r="AH29" s="472" t="s">
        <v>2153</v>
      </c>
      <c r="AI29" s="472" t="s">
        <v>2154</v>
      </c>
      <c r="AJ29" s="472" t="s">
        <v>2155</v>
      </c>
      <c r="AK29" s="472" t="s">
        <v>2156</v>
      </c>
      <c r="AL29" s="1011"/>
      <c r="AM29" s="472" t="s">
        <v>2162</v>
      </c>
      <c r="AN29" s="475" t="s">
        <v>536</v>
      </c>
      <c r="AO29" s="475" t="s">
        <v>536</v>
      </c>
      <c r="AP29" s="475" t="s">
        <v>536</v>
      </c>
      <c r="AQ29" s="475" t="s">
        <v>536</v>
      </c>
      <c r="AR29" s="475" t="s">
        <v>536</v>
      </c>
      <c r="AS29" s="475" t="s">
        <v>536</v>
      </c>
      <c r="AT29" s="475" t="s">
        <v>536</v>
      </c>
      <c r="AU29" s="475" t="s">
        <v>536</v>
      </c>
      <c r="AV29" s="475" t="s">
        <v>536</v>
      </c>
      <c r="AW29" s="475" t="s">
        <v>536</v>
      </c>
      <c r="AX29" s="475" t="s">
        <v>536</v>
      </c>
      <c r="AY29" s="475" t="s">
        <v>536</v>
      </c>
      <c r="AZ29" s="472" t="s">
        <v>2158</v>
      </c>
      <c r="BA29" s="472" t="s">
        <v>2163</v>
      </c>
    </row>
    <row r="30" spans="1:53" ht="171" x14ac:dyDescent="0.25">
      <c r="A30" s="214" t="s">
        <v>1245</v>
      </c>
      <c r="B30" s="214" t="s">
        <v>2064</v>
      </c>
      <c r="C30" s="944"/>
      <c r="D30" s="944"/>
      <c r="E30" s="944"/>
      <c r="F30" s="441" t="s">
        <v>2148</v>
      </c>
      <c r="G30" s="944"/>
      <c r="H30" s="136" t="s">
        <v>2164</v>
      </c>
      <c r="I30" s="136" t="s">
        <v>2165</v>
      </c>
      <c r="J30" s="136">
        <v>5</v>
      </c>
      <c r="K30" s="136" t="s">
        <v>526</v>
      </c>
      <c r="L30" s="139">
        <v>10</v>
      </c>
      <c r="M30" s="136">
        <v>2</v>
      </c>
      <c r="N30" s="467" t="str">
        <f t="shared" si="0"/>
        <v>Número de nuevos inventarios turísticos en alianza con las administraciones municipales estructurados</v>
      </c>
      <c r="O30" s="468">
        <v>8</v>
      </c>
      <c r="P30" s="469">
        <v>90000</v>
      </c>
      <c r="Q30" s="469">
        <v>90000</v>
      </c>
      <c r="R30" s="471"/>
      <c r="S30" s="471"/>
      <c r="T30" s="471"/>
      <c r="U30" s="471"/>
      <c r="V30" s="471"/>
      <c r="W30" s="471"/>
      <c r="X30" s="471"/>
      <c r="Y30" s="471"/>
      <c r="Z30" s="471"/>
      <c r="AA30" s="471"/>
      <c r="AB30" s="471"/>
      <c r="AC30" s="471"/>
      <c r="AD30" s="471"/>
      <c r="AE30" s="471"/>
      <c r="AF30" s="471"/>
      <c r="AG30" s="472" t="s">
        <v>2152</v>
      </c>
      <c r="AH30" s="472" t="s">
        <v>2153</v>
      </c>
      <c r="AI30" s="472" t="s">
        <v>2154</v>
      </c>
      <c r="AJ30" s="472" t="s">
        <v>2155</v>
      </c>
      <c r="AK30" s="472" t="s">
        <v>2156</v>
      </c>
      <c r="AL30" s="1012"/>
      <c r="AM30" s="472" t="s">
        <v>2166</v>
      </c>
      <c r="AN30" s="475" t="s">
        <v>536</v>
      </c>
      <c r="AO30" s="475" t="s">
        <v>536</v>
      </c>
      <c r="AP30" s="475" t="s">
        <v>536</v>
      </c>
      <c r="AQ30" s="475" t="s">
        <v>536</v>
      </c>
      <c r="AR30" s="475" t="s">
        <v>536</v>
      </c>
      <c r="AS30" s="475" t="s">
        <v>536</v>
      </c>
      <c r="AT30" s="475" t="s">
        <v>536</v>
      </c>
      <c r="AU30" s="475" t="s">
        <v>536</v>
      </c>
      <c r="AV30" s="475" t="s">
        <v>536</v>
      </c>
      <c r="AW30" s="475" t="s">
        <v>536</v>
      </c>
      <c r="AX30" s="475" t="s">
        <v>536</v>
      </c>
      <c r="AY30" s="475" t="s">
        <v>536</v>
      </c>
      <c r="AZ30" s="472" t="s">
        <v>2158</v>
      </c>
      <c r="BA30" s="472" t="s">
        <v>2163</v>
      </c>
    </row>
    <row r="31" spans="1:53" ht="156.75" x14ac:dyDescent="0.25">
      <c r="A31" s="214" t="s">
        <v>1245</v>
      </c>
      <c r="B31" s="214" t="s">
        <v>2064</v>
      </c>
      <c r="C31" s="944"/>
      <c r="D31" s="944"/>
      <c r="E31" s="944"/>
      <c r="F31" s="108" t="s">
        <v>2167</v>
      </c>
      <c r="G31" s="944" t="s">
        <v>2168</v>
      </c>
      <c r="H31" s="136" t="s">
        <v>2169</v>
      </c>
      <c r="I31" s="136" t="s">
        <v>2170</v>
      </c>
      <c r="J31" s="136">
        <v>1</v>
      </c>
      <c r="K31" s="136" t="s">
        <v>526</v>
      </c>
      <c r="L31" s="139">
        <v>3</v>
      </c>
      <c r="M31" s="136">
        <v>0.45</v>
      </c>
      <c r="N31" s="467" t="str">
        <f t="shared" si="0"/>
        <v>Número de atractivos turísticos en infraestructura intervenidos</v>
      </c>
      <c r="O31" s="468">
        <v>2.5499999999999998</v>
      </c>
      <c r="P31" s="469">
        <v>297333</v>
      </c>
      <c r="Q31" s="471"/>
      <c r="R31" s="471"/>
      <c r="S31" s="471"/>
      <c r="T31" s="471"/>
      <c r="U31" s="471"/>
      <c r="V31" s="471"/>
      <c r="W31" s="471"/>
      <c r="X31" s="484">
        <v>297333</v>
      </c>
      <c r="Y31" s="471"/>
      <c r="Z31" s="471"/>
      <c r="AA31" s="471"/>
      <c r="AB31" s="471"/>
      <c r="AC31" s="471"/>
      <c r="AD31" s="471"/>
      <c r="AE31" s="471"/>
      <c r="AF31" s="471"/>
      <c r="AG31" s="472" t="s">
        <v>2171</v>
      </c>
      <c r="AH31" s="472" t="s">
        <v>2172</v>
      </c>
      <c r="AI31" s="471" t="s">
        <v>2173</v>
      </c>
      <c r="AJ31" s="471" t="s">
        <v>1684</v>
      </c>
      <c r="AK31" s="472" t="s">
        <v>2174</v>
      </c>
      <c r="AL31" s="485">
        <v>430000000</v>
      </c>
      <c r="AM31" s="472" t="s">
        <v>2175</v>
      </c>
      <c r="AN31" s="475" t="s">
        <v>536</v>
      </c>
      <c r="AO31" s="475" t="s">
        <v>536</v>
      </c>
      <c r="AP31" s="475" t="s">
        <v>536</v>
      </c>
      <c r="AQ31" s="475" t="s">
        <v>536</v>
      </c>
      <c r="AR31" s="475" t="s">
        <v>536</v>
      </c>
      <c r="AS31" s="475" t="s">
        <v>536</v>
      </c>
      <c r="AT31" s="475"/>
      <c r="AU31" s="475"/>
      <c r="AV31" s="475"/>
      <c r="AW31" s="475"/>
      <c r="AX31" s="475"/>
      <c r="AY31" s="475"/>
      <c r="AZ31" s="472" t="s">
        <v>2158</v>
      </c>
      <c r="BA31" s="471" t="s">
        <v>2176</v>
      </c>
    </row>
    <row r="32" spans="1:53" ht="120" x14ac:dyDescent="0.25">
      <c r="A32" s="214" t="s">
        <v>1245</v>
      </c>
      <c r="B32" s="214" t="s">
        <v>2064</v>
      </c>
      <c r="C32" s="944"/>
      <c r="D32" s="944"/>
      <c r="E32" s="944"/>
      <c r="F32" s="108" t="s">
        <v>2167</v>
      </c>
      <c r="G32" s="944"/>
      <c r="H32" s="136" t="s">
        <v>2177</v>
      </c>
      <c r="I32" s="136" t="s">
        <v>2178</v>
      </c>
      <c r="J32" s="136">
        <v>1</v>
      </c>
      <c r="K32" s="136" t="s">
        <v>526</v>
      </c>
      <c r="L32" s="139">
        <v>8</v>
      </c>
      <c r="M32" s="136">
        <v>4</v>
      </c>
      <c r="N32" s="467" t="str">
        <f t="shared" si="0"/>
        <v xml:space="preserve">Número de municipios con identificación y estructuración de proyectos de infraestructura turística asistidos técnicamente </v>
      </c>
      <c r="O32" s="468">
        <v>4</v>
      </c>
      <c r="P32" s="469">
        <v>14240</v>
      </c>
      <c r="Q32" s="470">
        <v>14240</v>
      </c>
      <c r="R32" s="471"/>
      <c r="S32" s="471"/>
      <c r="T32" s="471"/>
      <c r="U32" s="471"/>
      <c r="V32" s="471"/>
      <c r="W32" s="471"/>
      <c r="X32" s="471"/>
      <c r="Y32" s="471"/>
      <c r="Z32" s="471"/>
      <c r="AA32" s="471"/>
      <c r="AB32" s="471"/>
      <c r="AC32" s="471"/>
      <c r="AD32" s="471"/>
      <c r="AE32" s="471"/>
      <c r="AF32" s="471"/>
      <c r="AG32" s="472" t="s">
        <v>2179</v>
      </c>
      <c r="AH32" s="473">
        <v>0</v>
      </c>
      <c r="AI32" s="471" t="s">
        <v>2180</v>
      </c>
      <c r="AJ32" s="471" t="s">
        <v>2181</v>
      </c>
      <c r="AK32" s="471" t="s">
        <v>2181</v>
      </c>
      <c r="AL32" s="485">
        <v>57292250</v>
      </c>
      <c r="AM32" s="472" t="s">
        <v>2179</v>
      </c>
      <c r="AN32" s="475" t="s">
        <v>536</v>
      </c>
      <c r="AO32" s="475" t="s">
        <v>536</v>
      </c>
      <c r="AP32" s="475" t="s">
        <v>536</v>
      </c>
      <c r="AQ32" s="475" t="s">
        <v>536</v>
      </c>
      <c r="AR32" s="475" t="s">
        <v>536</v>
      </c>
      <c r="AS32" s="475" t="s">
        <v>536</v>
      </c>
      <c r="AT32" s="475" t="s">
        <v>536</v>
      </c>
      <c r="AU32" s="475" t="s">
        <v>536</v>
      </c>
      <c r="AV32" s="475" t="s">
        <v>536</v>
      </c>
      <c r="AW32" s="475" t="s">
        <v>536</v>
      </c>
      <c r="AX32" s="475" t="s">
        <v>536</v>
      </c>
      <c r="AY32" s="475" t="s">
        <v>536</v>
      </c>
      <c r="AZ32" s="472" t="s">
        <v>2158</v>
      </c>
      <c r="BA32" s="472" t="s">
        <v>2182</v>
      </c>
    </row>
    <row r="33" spans="1:53" ht="171" x14ac:dyDescent="0.25">
      <c r="A33" s="214" t="s">
        <v>1245</v>
      </c>
      <c r="B33" s="214" t="s">
        <v>2064</v>
      </c>
      <c r="C33" s="944"/>
      <c r="D33" s="944"/>
      <c r="E33" s="944"/>
      <c r="F33" s="108" t="s">
        <v>2183</v>
      </c>
      <c r="G33" s="944" t="s">
        <v>2184</v>
      </c>
      <c r="H33" s="136" t="s">
        <v>2185</v>
      </c>
      <c r="I33" s="136" t="s">
        <v>2186</v>
      </c>
      <c r="J33" s="136">
        <v>1</v>
      </c>
      <c r="K33" s="136" t="s">
        <v>526</v>
      </c>
      <c r="L33" s="139">
        <v>4</v>
      </c>
      <c r="M33" s="136">
        <v>1</v>
      </c>
      <c r="N33" s="467" t="str">
        <f t="shared" si="0"/>
        <v>Número de estrategias  de seguridad turística implementadas</v>
      </c>
      <c r="O33" s="468">
        <v>3</v>
      </c>
      <c r="P33" s="469">
        <v>3340</v>
      </c>
      <c r="Q33" s="469">
        <v>3340</v>
      </c>
      <c r="R33" s="471"/>
      <c r="S33" s="471"/>
      <c r="T33" s="471"/>
      <c r="U33" s="471"/>
      <c r="V33" s="471"/>
      <c r="W33" s="471"/>
      <c r="X33" s="471"/>
      <c r="Y33" s="471"/>
      <c r="Z33" s="471"/>
      <c r="AA33" s="471"/>
      <c r="AB33" s="471"/>
      <c r="AC33" s="471"/>
      <c r="AD33" s="471"/>
      <c r="AE33" s="471"/>
      <c r="AF33" s="471"/>
      <c r="AG33" s="472" t="s">
        <v>2152</v>
      </c>
      <c r="AH33" s="472" t="s">
        <v>2153</v>
      </c>
      <c r="AI33" s="472" t="s">
        <v>2154</v>
      </c>
      <c r="AJ33" s="472" t="s">
        <v>2155</v>
      </c>
      <c r="AK33" s="472" t="s">
        <v>2156</v>
      </c>
      <c r="AL33" s="1010">
        <v>115902250</v>
      </c>
      <c r="AM33" s="471" t="s">
        <v>2187</v>
      </c>
      <c r="AN33" s="475" t="s">
        <v>536</v>
      </c>
      <c r="AO33" s="475" t="s">
        <v>536</v>
      </c>
      <c r="AP33" s="475" t="s">
        <v>536</v>
      </c>
      <c r="AQ33" s="475" t="s">
        <v>536</v>
      </c>
      <c r="AR33" s="475" t="s">
        <v>536</v>
      </c>
      <c r="AS33" s="475" t="s">
        <v>536</v>
      </c>
      <c r="AT33" s="475" t="s">
        <v>536</v>
      </c>
      <c r="AU33" s="475" t="s">
        <v>536</v>
      </c>
      <c r="AV33" s="475" t="s">
        <v>536</v>
      </c>
      <c r="AW33" s="475" t="s">
        <v>536</v>
      </c>
      <c r="AX33" s="475" t="s">
        <v>536</v>
      </c>
      <c r="AY33" s="475" t="s">
        <v>536</v>
      </c>
      <c r="AZ33" s="472" t="s">
        <v>2158</v>
      </c>
      <c r="BA33" s="472" t="s">
        <v>2188</v>
      </c>
    </row>
    <row r="34" spans="1:53" ht="171" x14ac:dyDescent="0.25">
      <c r="A34" s="214" t="s">
        <v>1245</v>
      </c>
      <c r="B34" s="214" t="s">
        <v>2064</v>
      </c>
      <c r="C34" s="944"/>
      <c r="D34" s="944"/>
      <c r="E34" s="944"/>
      <c r="F34" s="108" t="s">
        <v>2183</v>
      </c>
      <c r="G34" s="944"/>
      <c r="H34" s="136" t="s">
        <v>2189</v>
      </c>
      <c r="I34" s="136" t="s">
        <v>2190</v>
      </c>
      <c r="J34" s="136">
        <v>5</v>
      </c>
      <c r="K34" s="136" t="s">
        <v>526</v>
      </c>
      <c r="L34" s="139">
        <v>7</v>
      </c>
      <c r="M34" s="136">
        <v>1</v>
      </c>
      <c r="N34" s="467" t="str">
        <f t="shared" si="0"/>
        <v xml:space="preserve">Número de proyectos que promuevan el desarrollo turístico en los municipios con vocación turística cofinanciados </v>
      </c>
      <c r="O34" s="468">
        <v>7</v>
      </c>
      <c r="P34" s="469">
        <v>68571</v>
      </c>
      <c r="Q34" s="469">
        <v>68571</v>
      </c>
      <c r="R34" s="471"/>
      <c r="S34" s="471"/>
      <c r="T34" s="471"/>
      <c r="U34" s="471"/>
      <c r="V34" s="471"/>
      <c r="W34" s="471"/>
      <c r="X34" s="471"/>
      <c r="Y34" s="471"/>
      <c r="Z34" s="471"/>
      <c r="AA34" s="471"/>
      <c r="AB34" s="471"/>
      <c r="AC34" s="471"/>
      <c r="AD34" s="471"/>
      <c r="AE34" s="471"/>
      <c r="AF34" s="471"/>
      <c r="AG34" s="472" t="s">
        <v>2152</v>
      </c>
      <c r="AH34" s="472" t="s">
        <v>2153</v>
      </c>
      <c r="AI34" s="472" t="s">
        <v>2154</v>
      </c>
      <c r="AJ34" s="472" t="s">
        <v>2155</v>
      </c>
      <c r="AK34" s="472" t="s">
        <v>2156</v>
      </c>
      <c r="AL34" s="1012"/>
      <c r="AM34" s="472" t="s">
        <v>2191</v>
      </c>
      <c r="AN34" s="475" t="s">
        <v>536</v>
      </c>
      <c r="AO34" s="475" t="s">
        <v>536</v>
      </c>
      <c r="AP34" s="475" t="s">
        <v>536</v>
      </c>
      <c r="AQ34" s="475" t="s">
        <v>536</v>
      </c>
      <c r="AR34" s="475" t="s">
        <v>536</v>
      </c>
      <c r="AS34" s="475" t="s">
        <v>536</v>
      </c>
      <c r="AT34" s="475" t="s">
        <v>536</v>
      </c>
      <c r="AU34" s="475" t="s">
        <v>536</v>
      </c>
      <c r="AV34" s="475" t="s">
        <v>536</v>
      </c>
      <c r="AW34" s="475" t="s">
        <v>536</v>
      </c>
      <c r="AX34" s="475" t="s">
        <v>536</v>
      </c>
      <c r="AY34" s="475" t="s">
        <v>536</v>
      </c>
      <c r="AZ34" s="472" t="s">
        <v>2158</v>
      </c>
      <c r="BA34" s="472" t="s">
        <v>2188</v>
      </c>
    </row>
    <row r="35" spans="1:53" ht="285" x14ac:dyDescent="0.25">
      <c r="A35" s="214" t="s">
        <v>1245</v>
      </c>
      <c r="B35" s="214" t="s">
        <v>2064</v>
      </c>
      <c r="C35" s="944"/>
      <c r="D35" s="944"/>
      <c r="E35" s="944"/>
      <c r="F35" s="136" t="s">
        <v>2192</v>
      </c>
      <c r="G35" s="136" t="s">
        <v>2193</v>
      </c>
      <c r="H35" s="136" t="s">
        <v>2194</v>
      </c>
      <c r="I35" s="136" t="s">
        <v>2195</v>
      </c>
      <c r="J35" s="136">
        <v>3</v>
      </c>
      <c r="K35" s="136" t="s">
        <v>526</v>
      </c>
      <c r="L35" s="139">
        <v>4</v>
      </c>
      <c r="M35" s="136">
        <v>1</v>
      </c>
      <c r="N35" s="467" t="str">
        <f t="shared" si="0"/>
        <v xml:space="preserve">Número de eventos de talla internacional que promocionan al Cauca como destino turístico </v>
      </c>
      <c r="O35" s="468">
        <v>3</v>
      </c>
      <c r="P35" s="469">
        <v>240000</v>
      </c>
      <c r="Q35" s="469">
        <v>240000</v>
      </c>
      <c r="R35" s="471"/>
      <c r="S35" s="471"/>
      <c r="T35" s="471"/>
      <c r="U35" s="471"/>
      <c r="V35" s="471"/>
      <c r="W35" s="471"/>
      <c r="X35" s="471"/>
      <c r="Y35" s="471"/>
      <c r="Z35" s="471"/>
      <c r="AA35" s="471"/>
      <c r="AB35" s="471"/>
      <c r="AC35" s="471"/>
      <c r="AD35" s="471"/>
      <c r="AE35" s="471"/>
      <c r="AF35" s="471"/>
      <c r="AG35" s="472" t="s">
        <v>2196</v>
      </c>
      <c r="AH35" s="472" t="s">
        <v>2197</v>
      </c>
      <c r="AI35" s="472" t="s">
        <v>2198</v>
      </c>
      <c r="AJ35" s="472" t="s">
        <v>2199</v>
      </c>
      <c r="AK35" s="472" t="s">
        <v>2200</v>
      </c>
      <c r="AL35" s="485">
        <v>160043760</v>
      </c>
      <c r="AM35" s="472" t="s">
        <v>2201</v>
      </c>
      <c r="AN35" s="475" t="s">
        <v>536</v>
      </c>
      <c r="AO35" s="475" t="s">
        <v>536</v>
      </c>
      <c r="AP35" s="475" t="s">
        <v>536</v>
      </c>
      <c r="AQ35" s="475" t="s">
        <v>536</v>
      </c>
      <c r="AR35" s="475" t="s">
        <v>536</v>
      </c>
      <c r="AS35" s="475" t="s">
        <v>536</v>
      </c>
      <c r="AT35" s="475" t="s">
        <v>536</v>
      </c>
      <c r="AU35" s="475" t="s">
        <v>536</v>
      </c>
      <c r="AV35" s="475" t="s">
        <v>536</v>
      </c>
      <c r="AW35" s="475" t="s">
        <v>536</v>
      </c>
      <c r="AX35" s="475" t="s">
        <v>536</v>
      </c>
      <c r="AY35" s="475" t="s">
        <v>536</v>
      </c>
      <c r="AZ35" s="472" t="s">
        <v>2158</v>
      </c>
      <c r="BA35" s="478" t="s">
        <v>2202</v>
      </c>
    </row>
    <row r="36" spans="1:53" ht="270.75" x14ac:dyDescent="0.25">
      <c r="A36" s="214" t="s">
        <v>1245</v>
      </c>
      <c r="B36" s="214" t="s">
        <v>2064</v>
      </c>
      <c r="C36" s="944" t="s">
        <v>2203</v>
      </c>
      <c r="D36" s="944" t="s">
        <v>2204</v>
      </c>
      <c r="E36" s="936" t="s">
        <v>2205</v>
      </c>
      <c r="F36" s="108" t="s">
        <v>2206</v>
      </c>
      <c r="G36" s="944" t="s">
        <v>2207</v>
      </c>
      <c r="H36" s="136" t="s">
        <v>2208</v>
      </c>
      <c r="I36" s="136" t="s">
        <v>2209</v>
      </c>
      <c r="J36" s="136" t="s">
        <v>2210</v>
      </c>
      <c r="K36" s="136" t="s">
        <v>526</v>
      </c>
      <c r="L36" s="139">
        <v>100</v>
      </c>
      <c r="M36" s="136">
        <v>10</v>
      </c>
      <c r="N36" s="467" t="str">
        <f t="shared" si="0"/>
        <v xml:space="preserve">Número de nuevas unidades de producción minera (UPM)  en su proceso de formalización asistidas técnicamente </v>
      </c>
      <c r="O36" s="468"/>
      <c r="P36" s="469">
        <v>40000</v>
      </c>
      <c r="Q36" s="474">
        <v>43000</v>
      </c>
      <c r="R36" s="471"/>
      <c r="S36" s="471"/>
      <c r="T36" s="471"/>
      <c r="U36" s="471"/>
      <c r="V36" s="471"/>
      <c r="W36" s="471"/>
      <c r="X36" s="471"/>
      <c r="Y36" s="471"/>
      <c r="Z36" s="471"/>
      <c r="AA36" s="471"/>
      <c r="AB36" s="471"/>
      <c r="AC36" s="471"/>
      <c r="AD36" s="471"/>
      <c r="AE36" s="471"/>
      <c r="AF36" s="471"/>
      <c r="AG36" s="472" t="s">
        <v>2211</v>
      </c>
      <c r="AH36" s="473">
        <v>0</v>
      </c>
      <c r="AI36" s="467" t="s">
        <v>618</v>
      </c>
      <c r="AJ36" s="467" t="s">
        <v>2212</v>
      </c>
      <c r="AK36" s="480" t="s">
        <v>2213</v>
      </c>
      <c r="AL36" s="474">
        <v>43000</v>
      </c>
      <c r="AM36" s="467" t="s">
        <v>2214</v>
      </c>
      <c r="AN36" s="486" t="s">
        <v>536</v>
      </c>
      <c r="AO36" s="486" t="s">
        <v>536</v>
      </c>
      <c r="AP36" s="486" t="s">
        <v>536</v>
      </c>
      <c r="AQ36" s="486" t="s">
        <v>536</v>
      </c>
      <c r="AR36" s="486" t="s">
        <v>536</v>
      </c>
      <c r="AS36" s="486" t="s">
        <v>536</v>
      </c>
      <c r="AT36" s="486" t="s">
        <v>536</v>
      </c>
      <c r="AU36" s="486" t="s">
        <v>536</v>
      </c>
      <c r="AV36" s="486" t="s">
        <v>536</v>
      </c>
      <c r="AW36" s="486" t="s">
        <v>536</v>
      </c>
      <c r="AX36" s="486" t="s">
        <v>536</v>
      </c>
      <c r="AY36" s="486" t="s">
        <v>536</v>
      </c>
      <c r="AZ36" s="472" t="s">
        <v>2215</v>
      </c>
      <c r="BA36" s="472" t="s">
        <v>2216</v>
      </c>
    </row>
    <row r="37" spans="1:53" ht="270.75" x14ac:dyDescent="0.25">
      <c r="A37" s="214" t="s">
        <v>1245</v>
      </c>
      <c r="B37" s="214" t="s">
        <v>2064</v>
      </c>
      <c r="C37" s="944"/>
      <c r="D37" s="944"/>
      <c r="E37" s="947"/>
      <c r="F37" s="108" t="s">
        <v>2206</v>
      </c>
      <c r="G37" s="944"/>
      <c r="H37" s="136" t="s">
        <v>2217</v>
      </c>
      <c r="I37" s="136" t="s">
        <v>2218</v>
      </c>
      <c r="J37" s="136" t="s">
        <v>2219</v>
      </c>
      <c r="K37" s="136" t="s">
        <v>526</v>
      </c>
      <c r="L37" s="139">
        <v>100</v>
      </c>
      <c r="M37" s="136">
        <v>10</v>
      </c>
      <c r="N37" s="467" t="str">
        <f t="shared" si="0"/>
        <v>Número de nuevas unidades de producción minera (UPM)  en la actualización de la normatividad minera asistidas</v>
      </c>
      <c r="O37" s="468"/>
      <c r="P37" s="469">
        <v>43000</v>
      </c>
      <c r="Q37" s="474">
        <v>43000</v>
      </c>
      <c r="R37" s="471"/>
      <c r="S37" s="471"/>
      <c r="T37" s="471"/>
      <c r="U37" s="471"/>
      <c r="V37" s="471"/>
      <c r="W37" s="471"/>
      <c r="X37" s="471"/>
      <c r="Y37" s="471"/>
      <c r="Z37" s="471"/>
      <c r="AA37" s="471"/>
      <c r="AB37" s="471"/>
      <c r="AC37" s="471"/>
      <c r="AD37" s="471"/>
      <c r="AE37" s="471"/>
      <c r="AF37" s="471"/>
      <c r="AG37" s="472" t="s">
        <v>2220</v>
      </c>
      <c r="AH37" s="473">
        <v>0</v>
      </c>
      <c r="AI37" s="467" t="s">
        <v>618</v>
      </c>
      <c r="AJ37" s="467" t="s">
        <v>2212</v>
      </c>
      <c r="AK37" s="480" t="s">
        <v>2221</v>
      </c>
      <c r="AL37" s="474">
        <v>43000</v>
      </c>
      <c r="AM37" s="467" t="s">
        <v>2222</v>
      </c>
      <c r="AN37" s="486" t="s">
        <v>536</v>
      </c>
      <c r="AO37" s="486" t="s">
        <v>536</v>
      </c>
      <c r="AP37" s="486" t="s">
        <v>536</v>
      </c>
      <c r="AQ37" s="486" t="s">
        <v>536</v>
      </c>
      <c r="AR37" s="486" t="s">
        <v>536</v>
      </c>
      <c r="AS37" s="486" t="s">
        <v>536</v>
      </c>
      <c r="AT37" s="486" t="s">
        <v>536</v>
      </c>
      <c r="AU37" s="486" t="s">
        <v>536</v>
      </c>
      <c r="AV37" s="486" t="s">
        <v>536</v>
      </c>
      <c r="AW37" s="486" t="s">
        <v>536</v>
      </c>
      <c r="AX37" s="486" t="s">
        <v>536</v>
      </c>
      <c r="AY37" s="486" t="s">
        <v>536</v>
      </c>
      <c r="AZ37" s="472" t="s">
        <v>2223</v>
      </c>
      <c r="BA37" s="472" t="s">
        <v>2224</v>
      </c>
    </row>
    <row r="38" spans="1:53" ht="185.25" x14ac:dyDescent="0.25">
      <c r="A38" s="214" t="s">
        <v>1245</v>
      </c>
      <c r="B38" s="214" t="s">
        <v>2064</v>
      </c>
      <c r="C38" s="944"/>
      <c r="D38" s="944"/>
      <c r="E38" s="947"/>
      <c r="F38" s="936" t="s">
        <v>2225</v>
      </c>
      <c r="G38" s="944" t="s">
        <v>2226</v>
      </c>
      <c r="H38" s="936" t="s">
        <v>2227</v>
      </c>
      <c r="I38" s="936" t="s">
        <v>2228</v>
      </c>
      <c r="J38" s="936" t="s">
        <v>2229</v>
      </c>
      <c r="K38" s="936" t="s">
        <v>526</v>
      </c>
      <c r="L38" s="936">
        <v>1</v>
      </c>
      <c r="M38" s="936">
        <v>0.1</v>
      </c>
      <c r="N38" s="1013" t="str">
        <f t="shared" si="0"/>
        <v>Número de estrategias que permita fortalecer 4 distritos mineros en desarrollo productivo y sostenible implementadas</v>
      </c>
      <c r="O38" s="1015"/>
      <c r="P38" s="1017">
        <v>300000</v>
      </c>
      <c r="Q38" s="474"/>
      <c r="R38" s="471"/>
      <c r="S38" s="471"/>
      <c r="T38" s="471"/>
      <c r="U38" s="471"/>
      <c r="V38" s="471">
        <v>824012</v>
      </c>
      <c r="W38" s="471"/>
      <c r="X38" s="471"/>
      <c r="Y38" s="471"/>
      <c r="Z38" s="471"/>
      <c r="AA38" s="471"/>
      <c r="AB38" s="471"/>
      <c r="AC38" s="471"/>
      <c r="AD38" s="474">
        <v>37010.603999999999</v>
      </c>
      <c r="AE38" s="471"/>
      <c r="AF38" s="471"/>
      <c r="AG38" s="472" t="s">
        <v>2230</v>
      </c>
      <c r="AH38" s="473" t="s">
        <v>2231</v>
      </c>
      <c r="AI38" s="467" t="s">
        <v>2232</v>
      </c>
      <c r="AJ38" s="472" t="s">
        <v>2233</v>
      </c>
      <c r="AK38" s="480" t="s">
        <v>2234</v>
      </c>
      <c r="AL38" s="1019">
        <v>900000</v>
      </c>
      <c r="AM38" s="478" t="s">
        <v>2235</v>
      </c>
      <c r="AN38" s="486"/>
      <c r="AO38" s="486" t="s">
        <v>536</v>
      </c>
      <c r="AP38" s="486" t="s">
        <v>536</v>
      </c>
      <c r="AQ38" s="486" t="s">
        <v>536</v>
      </c>
      <c r="AR38" s="486" t="s">
        <v>536</v>
      </c>
      <c r="AS38" s="486" t="s">
        <v>536</v>
      </c>
      <c r="AT38" s="486" t="s">
        <v>536</v>
      </c>
      <c r="AU38" s="486" t="s">
        <v>536</v>
      </c>
      <c r="AV38" s="486" t="s">
        <v>536</v>
      </c>
      <c r="AW38" s="486" t="s">
        <v>536</v>
      </c>
      <c r="AX38" s="486" t="s">
        <v>536</v>
      </c>
      <c r="AY38" s="486" t="s">
        <v>536</v>
      </c>
      <c r="AZ38" s="472" t="s">
        <v>2236</v>
      </c>
      <c r="BA38" s="472" t="s">
        <v>2237</v>
      </c>
    </row>
    <row r="39" spans="1:53" ht="185.25" x14ac:dyDescent="0.25">
      <c r="A39" s="214"/>
      <c r="B39" s="214"/>
      <c r="C39" s="944"/>
      <c r="D39" s="944"/>
      <c r="E39" s="947"/>
      <c r="F39" s="937"/>
      <c r="G39" s="944"/>
      <c r="H39" s="937"/>
      <c r="I39" s="937"/>
      <c r="J39" s="937"/>
      <c r="K39" s="937"/>
      <c r="L39" s="937"/>
      <c r="M39" s="937"/>
      <c r="N39" s="1014"/>
      <c r="O39" s="1016"/>
      <c r="P39" s="1018"/>
      <c r="Q39" s="471"/>
      <c r="R39" s="471"/>
      <c r="S39" s="471"/>
      <c r="T39" s="471"/>
      <c r="U39" s="471"/>
      <c r="V39" s="474">
        <v>75988</v>
      </c>
      <c r="W39" s="471"/>
      <c r="X39" s="471"/>
      <c r="Y39" s="471"/>
      <c r="Z39" s="471"/>
      <c r="AA39" s="471"/>
      <c r="AB39" s="471"/>
      <c r="AC39" s="471"/>
      <c r="AD39" s="487"/>
      <c r="AE39" s="471"/>
      <c r="AF39" s="471"/>
      <c r="AG39" s="478" t="s">
        <v>2238</v>
      </c>
      <c r="AH39" s="473">
        <v>0</v>
      </c>
      <c r="AI39" s="467" t="s">
        <v>2239</v>
      </c>
      <c r="AJ39" s="472" t="s">
        <v>1434</v>
      </c>
      <c r="AK39" s="480" t="s">
        <v>2240</v>
      </c>
      <c r="AL39" s="1020"/>
      <c r="AM39" s="472" t="s">
        <v>2241</v>
      </c>
      <c r="AN39" s="486" t="s">
        <v>536</v>
      </c>
      <c r="AO39" s="486" t="s">
        <v>536</v>
      </c>
      <c r="AP39" s="486"/>
      <c r="AQ39" s="486"/>
      <c r="AR39" s="486"/>
      <c r="AS39" s="486"/>
      <c r="AT39" s="486"/>
      <c r="AU39" s="486"/>
      <c r="AV39" s="486"/>
      <c r="AW39" s="486"/>
      <c r="AX39" s="486"/>
      <c r="AY39" s="486"/>
      <c r="AZ39" s="472" t="s">
        <v>2242</v>
      </c>
      <c r="BA39" s="478" t="s">
        <v>2243</v>
      </c>
    </row>
    <row r="40" spans="1:53" ht="156.75" x14ac:dyDescent="0.25">
      <c r="A40" s="214" t="s">
        <v>1245</v>
      </c>
      <c r="B40" s="214" t="s">
        <v>2064</v>
      </c>
      <c r="C40" s="944"/>
      <c r="D40" s="944"/>
      <c r="E40" s="947"/>
      <c r="F40" s="108" t="s">
        <v>2225</v>
      </c>
      <c r="G40" s="944"/>
      <c r="H40" s="136" t="s">
        <v>2244</v>
      </c>
      <c r="I40" s="136" t="s">
        <v>2245</v>
      </c>
      <c r="J40" s="136" t="s">
        <v>2246</v>
      </c>
      <c r="K40" s="136" t="s">
        <v>526</v>
      </c>
      <c r="L40" s="136">
        <v>1</v>
      </c>
      <c r="M40" s="136">
        <v>0.2</v>
      </c>
      <c r="N40" s="467" t="str">
        <f t="shared" si="0"/>
        <v>Sistema de información Geográfico en el módulo minero actualizado</v>
      </c>
      <c r="O40" s="468"/>
      <c r="P40" s="469">
        <v>93000</v>
      </c>
      <c r="Q40" s="474">
        <v>43000</v>
      </c>
      <c r="R40" s="471"/>
      <c r="S40" s="471"/>
      <c r="T40" s="471"/>
      <c r="U40" s="471"/>
      <c r="V40" s="471"/>
      <c r="W40" s="471"/>
      <c r="X40" s="471"/>
      <c r="Y40" s="471"/>
      <c r="Z40" s="471"/>
      <c r="AA40" s="471"/>
      <c r="AB40" s="471"/>
      <c r="AC40" s="471"/>
      <c r="AD40" s="474">
        <v>50000</v>
      </c>
      <c r="AE40" s="471"/>
      <c r="AF40" s="471"/>
      <c r="AG40" s="472" t="s">
        <v>2247</v>
      </c>
      <c r="AH40" s="473">
        <v>0</v>
      </c>
      <c r="AI40" s="467" t="s">
        <v>706</v>
      </c>
      <c r="AJ40" s="467" t="s">
        <v>2212</v>
      </c>
      <c r="AK40" s="467" t="s">
        <v>2248</v>
      </c>
      <c r="AL40" s="474">
        <v>43000</v>
      </c>
      <c r="AM40" s="472" t="s">
        <v>2249</v>
      </c>
      <c r="AN40" s="486" t="s">
        <v>536</v>
      </c>
      <c r="AO40" s="486" t="s">
        <v>536</v>
      </c>
      <c r="AP40" s="486" t="s">
        <v>536</v>
      </c>
      <c r="AQ40" s="486" t="s">
        <v>536</v>
      </c>
      <c r="AR40" s="486" t="s">
        <v>536</v>
      </c>
      <c r="AS40" s="486" t="s">
        <v>536</v>
      </c>
      <c r="AT40" s="486" t="s">
        <v>536</v>
      </c>
      <c r="AU40" s="486" t="s">
        <v>536</v>
      </c>
      <c r="AV40" s="486" t="s">
        <v>536</v>
      </c>
      <c r="AW40" s="486" t="s">
        <v>536</v>
      </c>
      <c r="AX40" s="486" t="s">
        <v>536</v>
      </c>
      <c r="AY40" s="486" t="s">
        <v>536</v>
      </c>
      <c r="AZ40" s="472" t="s">
        <v>2215</v>
      </c>
      <c r="BA40" s="472" t="s">
        <v>2250</v>
      </c>
    </row>
    <row r="41" spans="1:53" ht="165" x14ac:dyDescent="0.25">
      <c r="A41" s="214" t="s">
        <v>1245</v>
      </c>
      <c r="B41" s="214" t="s">
        <v>2064</v>
      </c>
      <c r="C41" s="944"/>
      <c r="D41" s="944"/>
      <c r="E41" s="947"/>
      <c r="F41" s="108" t="s">
        <v>2225</v>
      </c>
      <c r="G41" s="944"/>
      <c r="H41" s="136" t="s">
        <v>2251</v>
      </c>
      <c r="I41" s="136" t="s">
        <v>2252</v>
      </c>
      <c r="J41" s="136" t="s">
        <v>2253</v>
      </c>
      <c r="K41" s="136" t="s">
        <v>526</v>
      </c>
      <c r="L41" s="136">
        <v>1</v>
      </c>
      <c r="M41" s="136">
        <v>0.2</v>
      </c>
      <c r="N41" s="467" t="str">
        <f t="shared" si="0"/>
        <v>Número de inventarios mineros en articulación con entidades oficiales elaborados</v>
      </c>
      <c r="O41" s="468"/>
      <c r="P41" s="469">
        <v>43000</v>
      </c>
      <c r="Q41" s="474">
        <v>43000</v>
      </c>
      <c r="R41" s="471"/>
      <c r="S41" s="471"/>
      <c r="T41" s="471"/>
      <c r="U41" s="471"/>
      <c r="V41" s="471"/>
      <c r="W41" s="471"/>
      <c r="X41" s="471"/>
      <c r="Y41" s="471"/>
      <c r="Z41" s="471"/>
      <c r="AA41" s="471"/>
      <c r="AB41" s="471"/>
      <c r="AC41" s="471"/>
      <c r="AD41" s="471"/>
      <c r="AE41" s="471"/>
      <c r="AF41" s="471"/>
      <c r="AG41" s="472" t="s">
        <v>2254</v>
      </c>
      <c r="AH41" s="473" t="s">
        <v>2231</v>
      </c>
      <c r="AI41" s="478" t="s">
        <v>706</v>
      </c>
      <c r="AJ41" s="467" t="s">
        <v>2212</v>
      </c>
      <c r="AK41" s="467" t="s">
        <v>2248</v>
      </c>
      <c r="AL41" s="474">
        <v>43000</v>
      </c>
      <c r="AM41" s="478" t="s">
        <v>2255</v>
      </c>
      <c r="AN41" s="486" t="s">
        <v>536</v>
      </c>
      <c r="AO41" s="486" t="s">
        <v>536</v>
      </c>
      <c r="AP41" s="486" t="s">
        <v>536</v>
      </c>
      <c r="AQ41" s="486" t="s">
        <v>536</v>
      </c>
      <c r="AR41" s="486" t="s">
        <v>536</v>
      </c>
      <c r="AS41" s="486" t="s">
        <v>536</v>
      </c>
      <c r="AT41" s="486" t="s">
        <v>536</v>
      </c>
      <c r="AU41" s="486" t="s">
        <v>536</v>
      </c>
      <c r="AV41" s="486" t="s">
        <v>536</v>
      </c>
      <c r="AW41" s="486" t="s">
        <v>536</v>
      </c>
      <c r="AX41" s="486" t="s">
        <v>536</v>
      </c>
      <c r="AY41" s="486" t="s">
        <v>536</v>
      </c>
      <c r="AZ41" s="472" t="s">
        <v>2256</v>
      </c>
      <c r="BA41" s="472" t="s">
        <v>2257</v>
      </c>
    </row>
    <row r="42" spans="1:53" ht="114" x14ac:dyDescent="0.25">
      <c r="A42" s="214" t="s">
        <v>1245</v>
      </c>
      <c r="B42" s="214" t="s">
        <v>2064</v>
      </c>
      <c r="C42" s="944"/>
      <c r="D42" s="944"/>
      <c r="E42" s="947"/>
      <c r="F42" s="944" t="s">
        <v>2258</v>
      </c>
      <c r="G42" s="944" t="s">
        <v>2259</v>
      </c>
      <c r="H42" s="136" t="s">
        <v>2260</v>
      </c>
      <c r="I42" s="136" t="s">
        <v>2261</v>
      </c>
      <c r="J42" s="136">
        <v>0</v>
      </c>
      <c r="K42" s="136" t="s">
        <v>526</v>
      </c>
      <c r="L42" s="139">
        <v>100</v>
      </c>
      <c r="M42" s="136">
        <v>0</v>
      </c>
      <c r="N42" s="467" t="str">
        <f t="shared" si="0"/>
        <v xml:space="preserve">Número de unidades de producción minera (UPM) asistidas técnicamente en seguridad minera </v>
      </c>
      <c r="O42" s="468"/>
      <c r="P42" s="469">
        <v>0</v>
      </c>
      <c r="Q42" s="471"/>
      <c r="R42" s="471"/>
      <c r="S42" s="471"/>
      <c r="T42" s="471"/>
      <c r="U42" s="471"/>
      <c r="V42" s="471"/>
      <c r="W42" s="471"/>
      <c r="X42" s="471"/>
      <c r="Y42" s="471"/>
      <c r="Z42" s="471"/>
      <c r="AA42" s="471"/>
      <c r="AB42" s="471"/>
      <c r="AC42" s="471"/>
      <c r="AD42" s="471"/>
      <c r="AE42" s="471"/>
      <c r="AF42" s="471"/>
      <c r="AG42" s="471"/>
      <c r="AH42" s="473" t="s">
        <v>2231</v>
      </c>
      <c r="AI42" s="471"/>
      <c r="AJ42" s="471"/>
      <c r="AK42" s="471"/>
      <c r="AL42" s="471"/>
      <c r="AM42" s="471"/>
      <c r="AN42" s="471"/>
      <c r="AO42" s="471"/>
      <c r="AP42" s="471"/>
      <c r="AQ42" s="471"/>
      <c r="AR42" s="471"/>
      <c r="AS42" s="471"/>
      <c r="AT42" s="471"/>
      <c r="AU42" s="471"/>
      <c r="AV42" s="471"/>
      <c r="AW42" s="471"/>
      <c r="AX42" s="471"/>
      <c r="AY42" s="471"/>
      <c r="AZ42" s="471"/>
      <c r="BA42" s="472" t="s">
        <v>2262</v>
      </c>
    </row>
    <row r="43" spans="1:53" ht="171" x14ac:dyDescent="0.25">
      <c r="A43" s="214" t="s">
        <v>1245</v>
      </c>
      <c r="B43" s="214" t="s">
        <v>2064</v>
      </c>
      <c r="C43" s="944"/>
      <c r="D43" s="944"/>
      <c r="E43" s="947"/>
      <c r="F43" s="944"/>
      <c r="G43" s="944"/>
      <c r="H43" s="136" t="s">
        <v>2263</v>
      </c>
      <c r="I43" s="136" t="s">
        <v>2264</v>
      </c>
      <c r="J43" s="136">
        <v>0</v>
      </c>
      <c r="K43" s="136" t="s">
        <v>526</v>
      </c>
      <c r="L43" s="139">
        <v>10</v>
      </c>
      <c r="M43" s="136">
        <v>0</v>
      </c>
      <c r="N43" s="467" t="str">
        <f t="shared" si="0"/>
        <v xml:space="preserve">Número de Unidades de Producción Minera -upm capacitadas y dotadas en salvamento minero </v>
      </c>
      <c r="O43" s="468"/>
      <c r="P43" s="469">
        <v>0</v>
      </c>
      <c r="Q43" s="471"/>
      <c r="R43" s="471"/>
      <c r="S43" s="471"/>
      <c r="T43" s="471"/>
      <c r="U43" s="471"/>
      <c r="V43" s="470">
        <v>300000</v>
      </c>
      <c r="W43" s="471"/>
      <c r="X43" s="471"/>
      <c r="Y43" s="471"/>
      <c r="Z43" s="471"/>
      <c r="AA43" s="471"/>
      <c r="AB43" s="471"/>
      <c r="AC43" s="471"/>
      <c r="AD43" s="471"/>
      <c r="AE43" s="471"/>
      <c r="AF43" s="471"/>
      <c r="AG43" s="472" t="s">
        <v>2265</v>
      </c>
      <c r="AH43" s="473" t="s">
        <v>2231</v>
      </c>
      <c r="AI43" s="472" t="s">
        <v>2266</v>
      </c>
      <c r="AJ43" s="472" t="s">
        <v>2267</v>
      </c>
      <c r="AK43" s="480" t="s">
        <v>2268</v>
      </c>
      <c r="AL43" s="474">
        <v>300000</v>
      </c>
      <c r="AM43" s="472" t="s">
        <v>2269</v>
      </c>
      <c r="AN43" s="486"/>
      <c r="AO43" s="486" t="s">
        <v>536</v>
      </c>
      <c r="AP43" s="486" t="s">
        <v>536</v>
      </c>
      <c r="AQ43" s="486" t="s">
        <v>536</v>
      </c>
      <c r="AR43" s="486" t="s">
        <v>536</v>
      </c>
      <c r="AS43" s="486" t="s">
        <v>536</v>
      </c>
      <c r="AT43" s="486" t="s">
        <v>536</v>
      </c>
      <c r="AU43" s="486" t="s">
        <v>536</v>
      </c>
      <c r="AV43" s="486" t="s">
        <v>536</v>
      </c>
      <c r="AW43" s="486" t="s">
        <v>536</v>
      </c>
      <c r="AX43" s="486" t="s">
        <v>536</v>
      </c>
      <c r="AY43" s="486" t="s">
        <v>536</v>
      </c>
      <c r="AZ43" s="472" t="s">
        <v>2270</v>
      </c>
      <c r="BA43" s="478" t="s">
        <v>2271</v>
      </c>
    </row>
    <row r="44" spans="1:53" ht="256.5" x14ac:dyDescent="0.25">
      <c r="A44" s="214" t="s">
        <v>1245</v>
      </c>
      <c r="B44" s="214" t="s">
        <v>2064</v>
      </c>
      <c r="C44" s="944"/>
      <c r="D44" s="944"/>
      <c r="E44" s="947"/>
      <c r="F44" s="944" t="s">
        <v>2272</v>
      </c>
      <c r="G44" s="944" t="s">
        <v>2273</v>
      </c>
      <c r="H44" s="136" t="s">
        <v>2274</v>
      </c>
      <c r="I44" s="136" t="s">
        <v>2275</v>
      </c>
      <c r="J44" s="136">
        <v>0</v>
      </c>
      <c r="K44" s="136" t="s">
        <v>526</v>
      </c>
      <c r="L44" s="139">
        <v>100</v>
      </c>
      <c r="M44" s="136">
        <v>15</v>
      </c>
      <c r="N44" s="467" t="str">
        <f t="shared" si="0"/>
        <v>Número de unidades de producción minera en procesos de protección ambiental asistidas técnicamente</v>
      </c>
      <c r="O44" s="468"/>
      <c r="P44" s="469">
        <v>43000</v>
      </c>
      <c r="Q44" s="474">
        <v>43000</v>
      </c>
      <c r="R44" s="471"/>
      <c r="S44" s="471"/>
      <c r="T44" s="471"/>
      <c r="U44" s="471"/>
      <c r="V44" s="471"/>
      <c r="W44" s="471"/>
      <c r="X44" s="471"/>
      <c r="Y44" s="471"/>
      <c r="Z44" s="471"/>
      <c r="AA44" s="471"/>
      <c r="AB44" s="471"/>
      <c r="AC44" s="471"/>
      <c r="AD44" s="471"/>
      <c r="AE44" s="471"/>
      <c r="AF44" s="471"/>
      <c r="AG44" s="472" t="s">
        <v>2220</v>
      </c>
      <c r="AH44" s="473" t="s">
        <v>2231</v>
      </c>
      <c r="AI44" s="467" t="s">
        <v>618</v>
      </c>
      <c r="AJ44" s="467" t="s">
        <v>2212</v>
      </c>
      <c r="AK44" s="467" t="s">
        <v>2248</v>
      </c>
      <c r="AL44" s="474">
        <v>43000</v>
      </c>
      <c r="AM44" s="472" t="s">
        <v>2276</v>
      </c>
      <c r="AN44" s="486" t="s">
        <v>536</v>
      </c>
      <c r="AO44" s="486" t="s">
        <v>536</v>
      </c>
      <c r="AP44" s="486" t="s">
        <v>536</v>
      </c>
      <c r="AQ44" s="486" t="s">
        <v>536</v>
      </c>
      <c r="AR44" s="486" t="s">
        <v>536</v>
      </c>
      <c r="AS44" s="486" t="s">
        <v>536</v>
      </c>
      <c r="AT44" s="486" t="s">
        <v>536</v>
      </c>
      <c r="AU44" s="486" t="s">
        <v>536</v>
      </c>
      <c r="AV44" s="486" t="s">
        <v>536</v>
      </c>
      <c r="AW44" s="486" t="s">
        <v>536</v>
      </c>
      <c r="AX44" s="486" t="s">
        <v>536</v>
      </c>
      <c r="AY44" s="486" t="s">
        <v>536</v>
      </c>
      <c r="AZ44" s="472" t="s">
        <v>2215</v>
      </c>
      <c r="BA44" s="478" t="s">
        <v>2277</v>
      </c>
    </row>
    <row r="45" spans="1:53" ht="370.5" x14ac:dyDescent="0.25">
      <c r="A45" s="214" t="s">
        <v>1245</v>
      </c>
      <c r="B45" s="214" t="s">
        <v>2064</v>
      </c>
      <c r="C45" s="944"/>
      <c r="D45" s="944"/>
      <c r="E45" s="937"/>
      <c r="F45" s="944"/>
      <c r="G45" s="944"/>
      <c r="H45" s="136" t="s">
        <v>2278</v>
      </c>
      <c r="I45" s="136" t="s">
        <v>2279</v>
      </c>
      <c r="J45" s="136">
        <v>0</v>
      </c>
      <c r="K45" s="136" t="s">
        <v>526</v>
      </c>
      <c r="L45" s="139">
        <v>1</v>
      </c>
      <c r="M45" s="136">
        <v>0.4</v>
      </c>
      <c r="N45" s="467" t="str">
        <f t="shared" si="0"/>
        <v xml:space="preserve">Número de estrategia de orientación tecnológica y ambiental implementadas </v>
      </c>
      <c r="O45" s="468"/>
      <c r="P45" s="469">
        <v>343000</v>
      </c>
      <c r="Q45" s="474">
        <v>43000</v>
      </c>
      <c r="R45" s="471"/>
      <c r="S45" s="471"/>
      <c r="T45" s="471"/>
      <c r="U45" s="471"/>
      <c r="V45" s="474">
        <v>640000</v>
      </c>
      <c r="W45" s="471"/>
      <c r="X45" s="471"/>
      <c r="Y45" s="471"/>
      <c r="Z45" s="471"/>
      <c r="AA45" s="471"/>
      <c r="AB45" s="471"/>
      <c r="AC45" s="471"/>
      <c r="AD45" s="471"/>
      <c r="AE45" s="471"/>
      <c r="AF45" s="471"/>
      <c r="AG45" s="478" t="s">
        <v>2280</v>
      </c>
      <c r="AH45" s="468" t="s">
        <v>2231</v>
      </c>
      <c r="AI45" s="478" t="s">
        <v>2281</v>
      </c>
      <c r="AJ45" s="468" t="s">
        <v>1587</v>
      </c>
      <c r="AK45" s="467" t="s">
        <v>2282</v>
      </c>
      <c r="AL45" s="474">
        <v>683000</v>
      </c>
      <c r="AM45" s="472" t="s">
        <v>2283</v>
      </c>
      <c r="AN45" s="486"/>
      <c r="AO45" s="486"/>
      <c r="AP45" s="486"/>
      <c r="AQ45" s="486" t="s">
        <v>536</v>
      </c>
      <c r="AR45" s="486" t="s">
        <v>536</v>
      </c>
      <c r="AS45" s="486" t="s">
        <v>536</v>
      </c>
      <c r="AT45" s="486" t="s">
        <v>536</v>
      </c>
      <c r="AU45" s="486" t="s">
        <v>536</v>
      </c>
      <c r="AV45" s="486" t="s">
        <v>536</v>
      </c>
      <c r="AW45" s="486" t="s">
        <v>536</v>
      </c>
      <c r="AX45" s="486" t="s">
        <v>536</v>
      </c>
      <c r="AY45" s="486" t="s">
        <v>536</v>
      </c>
      <c r="AZ45" s="472" t="s">
        <v>2215</v>
      </c>
      <c r="BA45" s="422" t="s">
        <v>2284</v>
      </c>
    </row>
    <row r="46" spans="1:53" ht="114" x14ac:dyDescent="0.25">
      <c r="A46" s="108" t="s">
        <v>1245</v>
      </c>
      <c r="B46" s="108" t="s">
        <v>1246</v>
      </c>
      <c r="C46" s="944" t="s">
        <v>2285</v>
      </c>
      <c r="D46" s="944" t="s">
        <v>2286</v>
      </c>
      <c r="E46" s="944" t="s">
        <v>2287</v>
      </c>
      <c r="F46" s="944" t="s">
        <v>2288</v>
      </c>
      <c r="G46" s="944" t="s">
        <v>2289</v>
      </c>
      <c r="H46" s="136" t="s">
        <v>2290</v>
      </c>
      <c r="I46" s="136" t="s">
        <v>2291</v>
      </c>
      <c r="J46" s="136">
        <v>0</v>
      </c>
      <c r="K46" s="136" t="s">
        <v>526</v>
      </c>
      <c r="L46" s="139">
        <v>2</v>
      </c>
      <c r="M46" s="136">
        <v>0</v>
      </c>
      <c r="N46" s="467" t="str">
        <f t="shared" si="0"/>
        <v xml:space="preserve">Número de sesiones participativas con actores del SRCT  para validar y adoptar el PAED realizadas </v>
      </c>
      <c r="O46" s="468">
        <v>2</v>
      </c>
      <c r="P46" s="469">
        <v>0</v>
      </c>
      <c r="Q46" s="474"/>
      <c r="R46" s="471"/>
      <c r="S46" s="471"/>
      <c r="T46" s="471"/>
      <c r="U46" s="471"/>
      <c r="V46" s="471"/>
      <c r="W46" s="471"/>
      <c r="X46" s="471"/>
      <c r="Y46" s="470"/>
      <c r="Z46" s="471"/>
      <c r="AA46" s="471"/>
      <c r="AB46" s="471"/>
      <c r="AC46" s="471"/>
      <c r="AD46" s="471"/>
      <c r="AE46" s="471"/>
      <c r="AF46" s="471"/>
      <c r="AG46" s="471"/>
      <c r="AH46" s="473"/>
      <c r="AI46" s="467"/>
      <c r="AJ46" s="467"/>
      <c r="AK46" s="468"/>
      <c r="AL46" s="474"/>
      <c r="AM46" s="471"/>
      <c r="AN46" s="471"/>
      <c r="AO46" s="471"/>
      <c r="AP46" s="488"/>
      <c r="AQ46" s="488"/>
      <c r="AR46" s="488"/>
      <c r="AS46" s="488"/>
      <c r="AT46" s="488"/>
      <c r="AU46" s="488"/>
      <c r="AV46" s="488"/>
      <c r="AW46" s="488"/>
      <c r="AX46" s="488"/>
      <c r="AY46" s="488"/>
      <c r="AZ46" s="467" t="s">
        <v>2077</v>
      </c>
      <c r="BA46" s="478" t="s">
        <v>2292</v>
      </c>
    </row>
    <row r="47" spans="1:53" ht="180" customHeight="1" x14ac:dyDescent="0.25">
      <c r="A47" s="108" t="s">
        <v>1245</v>
      </c>
      <c r="B47" s="108" t="s">
        <v>1246</v>
      </c>
      <c r="C47" s="944"/>
      <c r="D47" s="944"/>
      <c r="E47" s="944"/>
      <c r="F47" s="944"/>
      <c r="G47" s="944"/>
      <c r="H47" s="136" t="s">
        <v>2293</v>
      </c>
      <c r="I47" s="136" t="s">
        <v>2294</v>
      </c>
      <c r="J47" s="136">
        <v>0</v>
      </c>
      <c r="K47" s="136" t="s">
        <v>526</v>
      </c>
      <c r="L47" s="139">
        <v>4</v>
      </c>
      <c r="M47" s="136">
        <v>1</v>
      </c>
      <c r="N47" s="467" t="str">
        <f t="shared" si="0"/>
        <v>Número de convocatorias para gestionar los proyectos priorizados en las apuestas y líneas consignadas en el PAED Cauca realizadas</v>
      </c>
      <c r="O47" s="468">
        <v>3</v>
      </c>
      <c r="P47" s="469">
        <v>21132000</v>
      </c>
      <c r="Q47" s="474">
        <v>2000</v>
      </c>
      <c r="R47" s="471"/>
      <c r="S47" s="471"/>
      <c r="T47" s="471"/>
      <c r="U47" s="471"/>
      <c r="V47" s="471"/>
      <c r="W47" s="471"/>
      <c r="X47" s="470">
        <v>15635000</v>
      </c>
      <c r="Y47" s="470"/>
      <c r="Z47" s="471"/>
      <c r="AA47" s="471"/>
      <c r="AB47" s="471"/>
      <c r="AC47" s="471"/>
      <c r="AD47" s="470">
        <v>5495000</v>
      </c>
      <c r="AE47" s="471"/>
      <c r="AF47" s="471"/>
      <c r="AG47" s="467" t="s">
        <v>2295</v>
      </c>
      <c r="AH47" s="473">
        <v>0</v>
      </c>
      <c r="AI47" s="467" t="s">
        <v>2073</v>
      </c>
      <c r="AJ47" s="467" t="s">
        <v>2074</v>
      </c>
      <c r="AK47" s="468" t="s">
        <v>2296</v>
      </c>
      <c r="AL47" s="474">
        <f t="shared" ref="AL47:AL49" si="2">Q47</f>
        <v>2000</v>
      </c>
      <c r="AM47" s="478" t="s">
        <v>2297</v>
      </c>
      <c r="AN47" s="471"/>
      <c r="AO47" s="471"/>
      <c r="AP47" s="488" t="s">
        <v>554</v>
      </c>
      <c r="AQ47" s="488" t="s">
        <v>554</v>
      </c>
      <c r="AR47" s="488" t="s">
        <v>554</v>
      </c>
      <c r="AS47" s="488" t="s">
        <v>554</v>
      </c>
      <c r="AT47" s="488" t="s">
        <v>554</v>
      </c>
      <c r="AU47" s="488" t="s">
        <v>554</v>
      </c>
      <c r="AV47" s="488" t="s">
        <v>554</v>
      </c>
      <c r="AW47" s="488" t="s">
        <v>554</v>
      </c>
      <c r="AX47" s="488" t="s">
        <v>554</v>
      </c>
      <c r="AY47" s="488" t="s">
        <v>554</v>
      </c>
      <c r="AZ47" s="467" t="s">
        <v>2077</v>
      </c>
      <c r="BA47" s="478" t="s">
        <v>2298</v>
      </c>
    </row>
    <row r="48" spans="1:53" ht="142.5" x14ac:dyDescent="0.25">
      <c r="A48" s="108" t="s">
        <v>1245</v>
      </c>
      <c r="B48" s="108" t="s">
        <v>1246</v>
      </c>
      <c r="C48" s="944"/>
      <c r="D48" s="944"/>
      <c r="E48" s="944"/>
      <c r="F48" s="944" t="s">
        <v>2299</v>
      </c>
      <c r="G48" s="944" t="s">
        <v>2300</v>
      </c>
      <c r="H48" s="136" t="s">
        <v>2301</v>
      </c>
      <c r="I48" s="136" t="s">
        <v>2302</v>
      </c>
      <c r="J48" s="136">
        <v>0</v>
      </c>
      <c r="K48" s="136" t="s">
        <v>526</v>
      </c>
      <c r="L48" s="139">
        <v>1</v>
      </c>
      <c r="M48" s="481">
        <v>0.2</v>
      </c>
      <c r="N48" s="467" t="str">
        <f t="shared" si="0"/>
        <v>Número de Planes operativos del CODECTI Cauca para la implementación del PAED estructurados</v>
      </c>
      <c r="O48" s="468">
        <v>0.8</v>
      </c>
      <c r="P48" s="469">
        <v>25000</v>
      </c>
      <c r="Q48" s="474">
        <v>15000</v>
      </c>
      <c r="R48" s="471"/>
      <c r="S48" s="471"/>
      <c r="T48" s="471"/>
      <c r="U48" s="471"/>
      <c r="V48" s="471"/>
      <c r="W48" s="471"/>
      <c r="X48" s="471"/>
      <c r="Y48" s="471"/>
      <c r="Z48" s="471"/>
      <c r="AA48" s="471"/>
      <c r="AB48" s="471"/>
      <c r="AC48" s="471"/>
      <c r="AD48" s="470">
        <v>10000</v>
      </c>
      <c r="AE48" s="471"/>
      <c r="AF48" s="471"/>
      <c r="AG48" s="467" t="s">
        <v>2295</v>
      </c>
      <c r="AH48" s="473">
        <v>0</v>
      </c>
      <c r="AI48" s="467" t="s">
        <v>2073</v>
      </c>
      <c r="AJ48" s="467" t="s">
        <v>2074</v>
      </c>
      <c r="AK48" s="468" t="s">
        <v>2303</v>
      </c>
      <c r="AL48" s="474">
        <f t="shared" si="2"/>
        <v>15000</v>
      </c>
      <c r="AM48" s="478" t="s">
        <v>2304</v>
      </c>
      <c r="AN48" s="471"/>
      <c r="AO48" s="471"/>
      <c r="AP48" s="488" t="s">
        <v>554</v>
      </c>
      <c r="AQ48" s="488" t="s">
        <v>554</v>
      </c>
      <c r="AR48" s="488" t="s">
        <v>554</v>
      </c>
      <c r="AS48" s="488" t="s">
        <v>554</v>
      </c>
      <c r="AT48" s="488" t="s">
        <v>554</v>
      </c>
      <c r="AU48" s="488" t="s">
        <v>554</v>
      </c>
      <c r="AV48" s="488" t="s">
        <v>554</v>
      </c>
      <c r="AW48" s="488" t="s">
        <v>554</v>
      </c>
      <c r="AX48" s="488" t="s">
        <v>554</v>
      </c>
      <c r="AY48" s="488" t="s">
        <v>554</v>
      </c>
      <c r="AZ48" s="467" t="s">
        <v>2077</v>
      </c>
      <c r="BA48" s="478" t="s">
        <v>2298</v>
      </c>
    </row>
    <row r="49" spans="1:53" ht="165" x14ac:dyDescent="0.25">
      <c r="A49" s="108" t="s">
        <v>1245</v>
      </c>
      <c r="B49" s="108" t="s">
        <v>1246</v>
      </c>
      <c r="C49" s="944"/>
      <c r="D49" s="944"/>
      <c r="E49" s="944"/>
      <c r="F49" s="944"/>
      <c r="G49" s="944"/>
      <c r="H49" s="136" t="s">
        <v>2305</v>
      </c>
      <c r="I49" s="136" t="s">
        <v>2306</v>
      </c>
      <c r="J49" s="136">
        <v>0</v>
      </c>
      <c r="K49" s="136" t="s">
        <v>526</v>
      </c>
      <c r="L49" s="139">
        <v>7</v>
      </c>
      <c r="M49" s="136">
        <v>1</v>
      </c>
      <c r="N49" s="467" t="str">
        <f t="shared" si="0"/>
        <v>Número de sesiones del CODECTI Cauca para el acompañamiento en la implementación del PAED y la articulación de la red del SRCTeI realizadas</v>
      </c>
      <c r="O49" s="468">
        <v>6</v>
      </c>
      <c r="P49" s="469">
        <v>30000</v>
      </c>
      <c r="Q49" s="474">
        <v>10000</v>
      </c>
      <c r="R49" s="471"/>
      <c r="S49" s="471"/>
      <c r="T49" s="471"/>
      <c r="U49" s="471"/>
      <c r="V49" s="471"/>
      <c r="W49" s="471"/>
      <c r="X49" s="471"/>
      <c r="Y49" s="471"/>
      <c r="Z49" s="471"/>
      <c r="AA49" s="471"/>
      <c r="AB49" s="471"/>
      <c r="AC49" s="471"/>
      <c r="AD49" s="470">
        <v>20000</v>
      </c>
      <c r="AE49" s="471"/>
      <c r="AF49" s="471"/>
      <c r="AG49" s="467" t="s">
        <v>2295</v>
      </c>
      <c r="AH49" s="473">
        <v>0</v>
      </c>
      <c r="AI49" s="467" t="s">
        <v>2073</v>
      </c>
      <c r="AJ49" s="467" t="s">
        <v>2074</v>
      </c>
      <c r="AK49" s="468" t="s">
        <v>2307</v>
      </c>
      <c r="AL49" s="474">
        <f t="shared" si="2"/>
        <v>10000</v>
      </c>
      <c r="AM49" s="478" t="s">
        <v>2308</v>
      </c>
      <c r="AN49" s="471"/>
      <c r="AO49" s="471"/>
      <c r="AP49" s="488" t="s">
        <v>554</v>
      </c>
      <c r="AQ49" s="488" t="s">
        <v>554</v>
      </c>
      <c r="AR49" s="488" t="s">
        <v>554</v>
      </c>
      <c r="AS49" s="488" t="s">
        <v>554</v>
      </c>
      <c r="AT49" s="488" t="s">
        <v>554</v>
      </c>
      <c r="AU49" s="488" t="s">
        <v>554</v>
      </c>
      <c r="AV49" s="488" t="s">
        <v>554</v>
      </c>
      <c r="AW49" s="488" t="s">
        <v>554</v>
      </c>
      <c r="AX49" s="488" t="s">
        <v>554</v>
      </c>
      <c r="AY49" s="488" t="s">
        <v>554</v>
      </c>
      <c r="AZ49" s="467" t="s">
        <v>2077</v>
      </c>
      <c r="BA49" s="478" t="s">
        <v>2298</v>
      </c>
    </row>
  </sheetData>
  <sheetProtection password="DFEF" sheet="1" objects="1" scenarios="1"/>
  <mergeCells count="73">
    <mergeCell ref="C46:C49"/>
    <mergeCell ref="D46:D49"/>
    <mergeCell ref="E46:E49"/>
    <mergeCell ref="F46:F47"/>
    <mergeCell ref="G46:G47"/>
    <mergeCell ref="F48:F49"/>
    <mergeCell ref="G48:G49"/>
    <mergeCell ref="N38:N39"/>
    <mergeCell ref="O38:O39"/>
    <mergeCell ref="P38:P39"/>
    <mergeCell ref="AL38:AL39"/>
    <mergeCell ref="F42:F43"/>
    <mergeCell ref="G42:G43"/>
    <mergeCell ref="H38:H39"/>
    <mergeCell ref="I38:I39"/>
    <mergeCell ref="J38:J39"/>
    <mergeCell ref="K38:K39"/>
    <mergeCell ref="L38:L39"/>
    <mergeCell ref="M38:M39"/>
    <mergeCell ref="C36:C45"/>
    <mergeCell ref="D36:D45"/>
    <mergeCell ref="E36:E45"/>
    <mergeCell ref="G36:G37"/>
    <mergeCell ref="F38:F39"/>
    <mergeCell ref="G38:G41"/>
    <mergeCell ref="F44:F45"/>
    <mergeCell ref="G44:G45"/>
    <mergeCell ref="C28:C35"/>
    <mergeCell ref="D28:D35"/>
    <mergeCell ref="E28:E35"/>
    <mergeCell ref="G28:G30"/>
    <mergeCell ref="AL28:AL30"/>
    <mergeCell ref="G31:G32"/>
    <mergeCell ref="G33:G34"/>
    <mergeCell ref="AL33:AL34"/>
    <mergeCell ref="AZ14:AZ15"/>
    <mergeCell ref="BA14:BA15"/>
    <mergeCell ref="C16:C27"/>
    <mergeCell ref="D16:D27"/>
    <mergeCell ref="E16:E27"/>
    <mergeCell ref="G16:G19"/>
    <mergeCell ref="G20:G22"/>
    <mergeCell ref="G23:G25"/>
    <mergeCell ref="AI14:AI15"/>
    <mergeCell ref="AJ14:AJ15"/>
    <mergeCell ref="AK14:AK15"/>
    <mergeCell ref="AL14:AL15"/>
    <mergeCell ref="AM14:AM15"/>
    <mergeCell ref="AN14:AY14"/>
    <mergeCell ref="M14:M15"/>
    <mergeCell ref="N14:O14"/>
    <mergeCell ref="P14:P15"/>
    <mergeCell ref="Q14:AF14"/>
    <mergeCell ref="AG14:AG15"/>
    <mergeCell ref="AH14:AH15"/>
    <mergeCell ref="G14:G15"/>
    <mergeCell ref="H14:H15"/>
    <mergeCell ref="I14:I15"/>
    <mergeCell ref="J14:J15"/>
    <mergeCell ref="K14:K15"/>
    <mergeCell ref="L14:L15"/>
    <mergeCell ref="F14:F15"/>
    <mergeCell ref="A2:L2"/>
    <mergeCell ref="A3:L3"/>
    <mergeCell ref="A5:L5"/>
    <mergeCell ref="A6:L6"/>
    <mergeCell ref="A9:M9"/>
    <mergeCell ref="A11:M11"/>
    <mergeCell ref="A14:A15"/>
    <mergeCell ref="B14:B15"/>
    <mergeCell ref="C14:C15"/>
    <mergeCell ref="D14:D15"/>
    <mergeCell ref="E14:E15"/>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4"/>
  <sheetViews>
    <sheetView topLeftCell="A9" workbookViewId="0">
      <selection activeCell="D15" sqref="D15:D27"/>
    </sheetView>
  </sheetViews>
  <sheetFormatPr baseColWidth="10" defaultRowHeight="15" x14ac:dyDescent="0.25"/>
  <cols>
    <col min="1" max="1" width="14.5703125" customWidth="1"/>
    <col min="2" max="2" width="16.7109375" customWidth="1"/>
    <col min="3" max="3" width="13.7109375" customWidth="1"/>
    <col min="4" max="4" width="17.7109375" customWidth="1"/>
    <col min="5" max="5" width="11.7109375" bestFit="1" customWidth="1"/>
    <col min="6" max="6" width="16.7109375" customWidth="1"/>
    <col min="7" max="7" width="14.85546875" customWidth="1"/>
    <col min="8" max="8" width="15.85546875" customWidth="1"/>
    <col min="9" max="9" width="18.85546875" customWidth="1"/>
    <col min="10" max="10" width="15.140625" customWidth="1"/>
    <col min="11" max="11" width="16.28515625" customWidth="1"/>
    <col min="12" max="12" width="15.85546875" customWidth="1"/>
    <col min="13" max="13" width="11.7109375" bestFit="1" customWidth="1"/>
    <col min="14" max="14" width="17.42578125" customWidth="1"/>
    <col min="15" max="15" width="11.7109375" bestFit="1" customWidth="1"/>
    <col min="16" max="17" width="12.140625" bestFit="1" customWidth="1"/>
    <col min="21" max="21" width="11.5703125" bestFit="1" customWidth="1"/>
    <col min="25" max="25" width="12" bestFit="1" customWidth="1"/>
    <col min="30" max="30" width="11.5703125" bestFit="1" customWidth="1"/>
    <col min="33" max="33" width="22.85546875" customWidth="1"/>
    <col min="34" max="34" width="18.85546875" customWidth="1"/>
    <col min="35" max="35" width="18.42578125" customWidth="1"/>
    <col min="36" max="36" width="18.5703125" customWidth="1"/>
    <col min="37" max="37" width="30.42578125" customWidth="1"/>
    <col min="38" max="38" width="11.7109375" bestFit="1" customWidth="1"/>
    <col min="39" max="39" width="20.7109375" customWidth="1"/>
    <col min="40" max="51" width="6.7109375" customWidth="1"/>
    <col min="52" max="52" width="15.7109375" customWidth="1"/>
    <col min="53" max="53" width="22" customWidth="1"/>
  </cols>
  <sheetData>
    <row r="1" spans="1:53" x14ac:dyDescent="0.25">
      <c r="A1" s="96"/>
      <c r="B1" s="96"/>
      <c r="C1" s="96"/>
      <c r="D1" s="96"/>
      <c r="E1" s="96"/>
      <c r="F1" s="96"/>
      <c r="G1" s="96"/>
      <c r="H1" s="97"/>
      <c r="I1" s="96"/>
      <c r="J1" s="96"/>
      <c r="K1" s="96"/>
      <c r="L1" s="96"/>
      <c r="M1" s="98"/>
      <c r="N1" s="98"/>
      <c r="O1" s="98"/>
      <c r="P1" s="866"/>
      <c r="Q1" s="867"/>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row>
    <row r="2" spans="1:53" ht="18" x14ac:dyDescent="0.25">
      <c r="A2" s="958" t="s">
        <v>481</v>
      </c>
      <c r="B2" s="958"/>
      <c r="C2" s="958"/>
      <c r="D2" s="958"/>
      <c r="E2" s="958"/>
      <c r="F2" s="958"/>
      <c r="G2" s="958"/>
      <c r="H2" s="958"/>
      <c r="I2" s="958"/>
      <c r="J2" s="958"/>
      <c r="K2" s="958"/>
      <c r="L2" s="958"/>
      <c r="M2" s="98"/>
      <c r="N2" s="98"/>
      <c r="O2" s="98"/>
      <c r="P2" s="866"/>
      <c r="Q2" s="867"/>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row>
    <row r="3" spans="1:53" ht="18" x14ac:dyDescent="0.25">
      <c r="A3" s="959" t="s">
        <v>482</v>
      </c>
      <c r="B3" s="959"/>
      <c r="C3" s="959"/>
      <c r="D3" s="959"/>
      <c r="E3" s="959"/>
      <c r="F3" s="959"/>
      <c r="G3" s="959"/>
      <c r="H3" s="959"/>
      <c r="I3" s="959"/>
      <c r="J3" s="959"/>
      <c r="K3" s="959"/>
      <c r="L3" s="959"/>
      <c r="M3" s="98"/>
      <c r="N3" s="98"/>
      <c r="O3" s="98"/>
      <c r="P3" s="866"/>
      <c r="Q3" s="867"/>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row>
    <row r="4" spans="1:53" x14ac:dyDescent="0.25">
      <c r="A4" s="101"/>
      <c r="B4" s="96"/>
      <c r="C4" s="96"/>
      <c r="D4" s="96"/>
      <c r="E4" s="96"/>
      <c r="F4" s="96"/>
      <c r="G4" s="96"/>
      <c r="H4" s="97"/>
      <c r="I4" s="96"/>
      <c r="J4" s="96"/>
      <c r="K4" s="96"/>
      <c r="L4" s="96"/>
      <c r="M4" s="98"/>
      <c r="N4" s="98"/>
      <c r="O4" s="98"/>
      <c r="P4" s="866"/>
      <c r="Q4" s="867"/>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row>
    <row r="5" spans="1:53" ht="18" x14ac:dyDescent="0.25">
      <c r="A5" s="960" t="s">
        <v>483</v>
      </c>
      <c r="B5" s="960"/>
      <c r="C5" s="960"/>
      <c r="D5" s="960"/>
      <c r="E5" s="960"/>
      <c r="F5" s="960"/>
      <c r="G5" s="960"/>
      <c r="H5" s="960"/>
      <c r="I5" s="960"/>
      <c r="J5" s="960"/>
      <c r="K5" s="960"/>
      <c r="L5" s="960"/>
      <c r="M5" s="98"/>
      <c r="N5" s="98"/>
      <c r="O5" s="98"/>
      <c r="P5" s="866"/>
      <c r="Q5" s="867"/>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row>
    <row r="6" spans="1:53" ht="18" x14ac:dyDescent="0.25">
      <c r="A6" s="958" t="s">
        <v>528</v>
      </c>
      <c r="B6" s="958"/>
      <c r="C6" s="958"/>
      <c r="D6" s="958"/>
      <c r="E6" s="958"/>
      <c r="F6" s="958"/>
      <c r="G6" s="958"/>
      <c r="H6" s="958"/>
      <c r="I6" s="958"/>
      <c r="J6" s="958"/>
      <c r="K6" s="958"/>
      <c r="L6" s="958"/>
      <c r="M6" s="98"/>
      <c r="N6" s="98"/>
      <c r="O6" s="98"/>
      <c r="P6" s="866"/>
      <c r="Q6" s="867"/>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row>
    <row r="7" spans="1:53" ht="18" x14ac:dyDescent="0.25">
      <c r="A7" s="296"/>
      <c r="B7" s="296"/>
      <c r="C7" s="296"/>
      <c r="D7" s="296"/>
      <c r="E7" s="296"/>
      <c r="F7" s="296"/>
      <c r="G7" s="296"/>
      <c r="H7" s="296"/>
      <c r="I7" s="296"/>
      <c r="J7" s="296"/>
      <c r="K7" s="296"/>
      <c r="L7" s="296"/>
      <c r="M7" s="98"/>
      <c r="N7" s="98"/>
      <c r="O7" s="98"/>
      <c r="P7" s="866"/>
      <c r="Q7" s="867"/>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row>
    <row r="8" spans="1:53" ht="18" x14ac:dyDescent="0.25">
      <c r="A8" s="296"/>
      <c r="B8" s="296"/>
      <c r="C8" s="296"/>
      <c r="D8" s="296"/>
      <c r="E8" s="296"/>
      <c r="F8" s="296"/>
      <c r="G8" s="296"/>
      <c r="H8" s="296"/>
      <c r="I8" s="296"/>
      <c r="J8" s="296"/>
      <c r="K8" s="296"/>
      <c r="L8" s="296"/>
      <c r="M8" s="98"/>
      <c r="N8" s="98"/>
      <c r="O8" s="98"/>
      <c r="P8" s="866"/>
      <c r="Q8" s="867"/>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row>
    <row r="9" spans="1:53" x14ac:dyDescent="0.25">
      <c r="A9" s="961" t="s">
        <v>3722</v>
      </c>
      <c r="B9" s="961"/>
      <c r="C9" s="961"/>
      <c r="D9" s="961"/>
      <c r="E9" s="961"/>
      <c r="F9" s="961"/>
      <c r="G9" s="961"/>
      <c r="H9" s="961"/>
      <c r="I9" s="961"/>
      <c r="J9" s="961"/>
      <c r="K9" s="961"/>
      <c r="L9" s="961"/>
      <c r="M9" s="961"/>
      <c r="N9" s="98"/>
      <c r="O9" s="98"/>
      <c r="P9" s="866"/>
      <c r="Q9" s="867"/>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row>
    <row r="10" spans="1:53" ht="18" x14ac:dyDescent="0.25">
      <c r="A10" s="297"/>
      <c r="B10" s="297"/>
      <c r="C10" s="297"/>
      <c r="D10" s="297"/>
      <c r="E10" s="297"/>
      <c r="F10" s="296"/>
      <c r="G10" s="296"/>
      <c r="H10" s="296"/>
      <c r="I10" s="296"/>
      <c r="J10" s="296"/>
      <c r="K10" s="296"/>
      <c r="L10" s="296"/>
      <c r="M10" s="296"/>
      <c r="N10" s="98"/>
      <c r="O10" s="98"/>
      <c r="P10" s="866"/>
      <c r="Q10" s="867"/>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x14ac:dyDescent="0.25">
      <c r="A11" s="961" t="s">
        <v>951</v>
      </c>
      <c r="B11" s="961"/>
      <c r="C11" s="961"/>
      <c r="D11" s="961"/>
      <c r="E11" s="961"/>
      <c r="F11" s="961"/>
      <c r="G11" s="961"/>
      <c r="H11" s="961"/>
      <c r="I11" s="961"/>
      <c r="J11" s="961"/>
      <c r="K11" s="961"/>
      <c r="L11" s="961"/>
      <c r="M11" s="961"/>
      <c r="N11" s="98"/>
      <c r="O11" s="98"/>
      <c r="P11" s="866"/>
      <c r="Q11" s="867"/>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ht="18" x14ac:dyDescent="0.25">
      <c r="A12" s="296"/>
      <c r="B12" s="296"/>
      <c r="C12" s="296"/>
      <c r="D12" s="296"/>
      <c r="E12" s="296"/>
      <c r="F12" s="296"/>
      <c r="G12" s="296"/>
      <c r="H12" s="296"/>
      <c r="I12" s="296"/>
      <c r="J12" s="296"/>
      <c r="K12" s="296"/>
      <c r="L12" s="296"/>
      <c r="M12" s="98"/>
      <c r="N12" s="98"/>
      <c r="O12" s="98"/>
      <c r="P12" s="866"/>
      <c r="Q12" s="867"/>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ht="33.75" customHeight="1" x14ac:dyDescent="0.25">
      <c r="A13" s="1074" t="s">
        <v>62</v>
      </c>
      <c r="B13" s="1074" t="s">
        <v>63</v>
      </c>
      <c r="C13" s="1075" t="s">
        <v>0</v>
      </c>
      <c r="D13" s="1075" t="s">
        <v>1</v>
      </c>
      <c r="E13" s="1075" t="s">
        <v>2</v>
      </c>
      <c r="F13" s="1075" t="s">
        <v>3</v>
      </c>
      <c r="G13" s="1075" t="s">
        <v>64</v>
      </c>
      <c r="H13" s="1075" t="s">
        <v>65</v>
      </c>
      <c r="I13" s="1075" t="s">
        <v>66</v>
      </c>
      <c r="J13" s="1075" t="s">
        <v>67</v>
      </c>
      <c r="K13" s="1075" t="s">
        <v>480</v>
      </c>
      <c r="L13" s="1075" t="s">
        <v>521</v>
      </c>
      <c r="M13" s="1076" t="s">
        <v>529</v>
      </c>
      <c r="N13" s="1077" t="s">
        <v>66</v>
      </c>
      <c r="O13" s="1078"/>
      <c r="P13" s="1079" t="s">
        <v>532</v>
      </c>
      <c r="Q13" s="1080" t="s">
        <v>484</v>
      </c>
      <c r="R13" s="1081"/>
      <c r="S13" s="1081"/>
      <c r="T13" s="1081"/>
      <c r="U13" s="1081"/>
      <c r="V13" s="1081"/>
      <c r="W13" s="1081"/>
      <c r="X13" s="1081"/>
      <c r="Y13" s="1081"/>
      <c r="Z13" s="1081"/>
      <c r="AA13" s="1081"/>
      <c r="AB13" s="1081"/>
      <c r="AC13" s="1081"/>
      <c r="AD13" s="1081"/>
      <c r="AE13" s="1081"/>
      <c r="AF13" s="1082"/>
      <c r="AG13" s="1083" t="s">
        <v>485</v>
      </c>
      <c r="AH13" s="1083" t="s">
        <v>531</v>
      </c>
      <c r="AI13" s="1083" t="s">
        <v>952</v>
      </c>
      <c r="AJ13" s="1083" t="s">
        <v>511</v>
      </c>
      <c r="AK13" s="1083" t="s">
        <v>486</v>
      </c>
      <c r="AL13" s="1083" t="s">
        <v>535</v>
      </c>
      <c r="AM13" s="1083" t="s">
        <v>487</v>
      </c>
      <c r="AN13" s="1084" t="s">
        <v>524</v>
      </c>
      <c r="AO13" s="1085"/>
      <c r="AP13" s="1085"/>
      <c r="AQ13" s="1085"/>
      <c r="AR13" s="1085"/>
      <c r="AS13" s="1085"/>
      <c r="AT13" s="1085"/>
      <c r="AU13" s="1085"/>
      <c r="AV13" s="1085"/>
      <c r="AW13" s="1085"/>
      <c r="AX13" s="1085"/>
      <c r="AY13" s="1086"/>
      <c r="AZ13" s="1087" t="s">
        <v>512</v>
      </c>
      <c r="BA13" s="1088" t="s">
        <v>488</v>
      </c>
    </row>
    <row r="14" spans="1:53" ht="54" customHeight="1" x14ac:dyDescent="0.25">
      <c r="A14" s="1089"/>
      <c r="B14" s="1089"/>
      <c r="C14" s="1090"/>
      <c r="D14" s="1090"/>
      <c r="E14" s="1090"/>
      <c r="F14" s="1090"/>
      <c r="G14" s="1090"/>
      <c r="H14" s="1090"/>
      <c r="I14" s="1090"/>
      <c r="J14" s="1090"/>
      <c r="K14" s="1090"/>
      <c r="L14" s="1090"/>
      <c r="M14" s="1091"/>
      <c r="N14" s="852" t="s">
        <v>489</v>
      </c>
      <c r="O14" s="852" t="s">
        <v>530</v>
      </c>
      <c r="P14" s="1092"/>
      <c r="Q14" s="1093" t="s">
        <v>490</v>
      </c>
      <c r="R14" s="291" t="s">
        <v>533</v>
      </c>
      <c r="S14" s="291" t="s">
        <v>491</v>
      </c>
      <c r="T14" s="291" t="s">
        <v>492</v>
      </c>
      <c r="U14" s="291" t="s">
        <v>522</v>
      </c>
      <c r="V14" s="291" t="s">
        <v>493</v>
      </c>
      <c r="W14" s="291" t="s">
        <v>494</v>
      </c>
      <c r="X14" s="291" t="s">
        <v>495</v>
      </c>
      <c r="Y14" s="291" t="s">
        <v>496</v>
      </c>
      <c r="Z14" s="291" t="s">
        <v>497</v>
      </c>
      <c r="AA14" s="291" t="s">
        <v>523</v>
      </c>
      <c r="AB14" s="291" t="s">
        <v>534</v>
      </c>
      <c r="AC14" s="291" t="s">
        <v>498</v>
      </c>
      <c r="AD14" s="291" t="s">
        <v>499</v>
      </c>
      <c r="AE14" s="291" t="s">
        <v>500</v>
      </c>
      <c r="AF14" s="291" t="s">
        <v>501</v>
      </c>
      <c r="AG14" s="1094"/>
      <c r="AH14" s="1094"/>
      <c r="AI14" s="1094"/>
      <c r="AJ14" s="1094"/>
      <c r="AK14" s="1094"/>
      <c r="AL14" s="1094"/>
      <c r="AM14" s="1094"/>
      <c r="AN14" s="1095" t="s">
        <v>502</v>
      </c>
      <c r="AO14" s="1095" t="s">
        <v>503</v>
      </c>
      <c r="AP14" s="1095" t="s">
        <v>504</v>
      </c>
      <c r="AQ14" s="1095" t="s">
        <v>505</v>
      </c>
      <c r="AR14" s="1095" t="s">
        <v>504</v>
      </c>
      <c r="AS14" s="1095" t="s">
        <v>506</v>
      </c>
      <c r="AT14" s="1095" t="s">
        <v>506</v>
      </c>
      <c r="AU14" s="1095" t="s">
        <v>505</v>
      </c>
      <c r="AV14" s="1095" t="s">
        <v>507</v>
      </c>
      <c r="AW14" s="1095" t="s">
        <v>508</v>
      </c>
      <c r="AX14" s="1095" t="s">
        <v>509</v>
      </c>
      <c r="AY14" s="1095" t="s">
        <v>510</v>
      </c>
      <c r="AZ14" s="1096"/>
      <c r="BA14" s="1097"/>
    </row>
    <row r="15" spans="1:53" ht="135" x14ac:dyDescent="0.25">
      <c r="A15" s="847" t="s">
        <v>438</v>
      </c>
      <c r="B15" s="847" t="s">
        <v>1423</v>
      </c>
      <c r="C15" s="942" t="s">
        <v>3452</v>
      </c>
      <c r="D15" s="942" t="s">
        <v>3453</v>
      </c>
      <c r="E15" s="942">
        <v>0</v>
      </c>
      <c r="F15" s="851" t="s">
        <v>3454</v>
      </c>
      <c r="G15" s="942" t="s">
        <v>3455</v>
      </c>
      <c r="H15" s="875" t="s">
        <v>3456</v>
      </c>
      <c r="I15" s="1098" t="s">
        <v>3457</v>
      </c>
      <c r="J15" s="875">
        <v>0</v>
      </c>
      <c r="K15" s="875" t="s">
        <v>526</v>
      </c>
      <c r="L15" s="875">
        <v>1</v>
      </c>
      <c r="M15" s="875">
        <v>0</v>
      </c>
      <c r="N15" s="1098" t="s">
        <v>3457</v>
      </c>
      <c r="O15" s="876">
        <v>61500</v>
      </c>
      <c r="P15" s="877">
        <f>SUBTOTAL(9,Q15:AF15)</f>
        <v>0</v>
      </c>
      <c r="Q15" s="353">
        <v>0</v>
      </c>
      <c r="R15" s="353"/>
      <c r="S15" s="353"/>
      <c r="T15" s="353"/>
      <c r="U15" s="353"/>
      <c r="V15" s="353"/>
      <c r="W15" s="353"/>
      <c r="X15" s="353"/>
      <c r="Y15" s="353"/>
      <c r="Z15" s="353"/>
      <c r="AA15" s="353"/>
      <c r="AB15" s="353"/>
      <c r="AC15" s="353"/>
      <c r="AD15" s="353"/>
      <c r="AE15" s="353"/>
      <c r="AF15" s="353"/>
      <c r="AG15" s="733" t="s">
        <v>3458</v>
      </c>
      <c r="AH15" s="1100" t="s">
        <v>960</v>
      </c>
      <c r="AI15" s="1100" t="s">
        <v>3459</v>
      </c>
      <c r="AJ15" s="1100" t="s">
        <v>3460</v>
      </c>
      <c r="AK15" s="1100" t="s">
        <v>3461</v>
      </c>
      <c r="AL15" s="851">
        <v>0</v>
      </c>
      <c r="AM15" s="1100" t="s">
        <v>3462</v>
      </c>
      <c r="AN15" s="1100"/>
      <c r="AO15" s="1100"/>
      <c r="AP15" s="1100"/>
      <c r="AQ15" s="1100"/>
      <c r="AR15" s="1100"/>
      <c r="AS15" s="1100"/>
      <c r="AT15" s="1100"/>
      <c r="AU15" s="1100"/>
      <c r="AV15" s="1100"/>
      <c r="AW15" s="1100"/>
      <c r="AX15" s="1100"/>
      <c r="AY15" s="1100"/>
      <c r="AZ15" s="1100" t="s">
        <v>3463</v>
      </c>
      <c r="BA15" s="1100" t="s">
        <v>3464</v>
      </c>
    </row>
    <row r="16" spans="1:53" ht="135" x14ac:dyDescent="0.25">
      <c r="A16" s="847" t="s">
        <v>438</v>
      </c>
      <c r="B16" s="847" t="s">
        <v>1423</v>
      </c>
      <c r="C16" s="942"/>
      <c r="D16" s="942"/>
      <c r="E16" s="942"/>
      <c r="F16" s="851" t="s">
        <v>3454</v>
      </c>
      <c r="G16" s="942"/>
      <c r="H16" s="847" t="s">
        <v>3465</v>
      </c>
      <c r="I16" s="847" t="s">
        <v>3466</v>
      </c>
      <c r="J16" s="849">
        <v>0</v>
      </c>
      <c r="K16" s="849" t="s">
        <v>526</v>
      </c>
      <c r="L16" s="849">
        <v>1</v>
      </c>
      <c r="M16" s="849">
        <v>0.25</v>
      </c>
      <c r="N16" s="847" t="s">
        <v>3466</v>
      </c>
      <c r="O16" s="870">
        <v>0</v>
      </c>
      <c r="P16" s="877">
        <f t="shared" ref="P16:P27" si="0">SUBTOTAL(9,Q16:AF16)</f>
        <v>22500</v>
      </c>
      <c r="Q16" s="353">
        <v>19500</v>
      </c>
      <c r="R16" s="353"/>
      <c r="S16" s="353"/>
      <c r="T16" s="353"/>
      <c r="U16" s="353"/>
      <c r="V16" s="353"/>
      <c r="W16" s="353"/>
      <c r="X16" s="353"/>
      <c r="Y16" s="353"/>
      <c r="Z16" s="353"/>
      <c r="AA16" s="353"/>
      <c r="AB16" s="353"/>
      <c r="AC16" s="353"/>
      <c r="AD16" s="353">
        <v>3000</v>
      </c>
      <c r="AE16" s="353"/>
      <c r="AF16" s="353"/>
      <c r="AG16" s="1101" t="s">
        <v>3727</v>
      </c>
      <c r="AH16" s="1102" t="s">
        <v>3467</v>
      </c>
      <c r="AI16" s="1100" t="s">
        <v>3459</v>
      </c>
      <c r="AJ16" s="1100" t="s">
        <v>3460</v>
      </c>
      <c r="AK16" s="851" t="s">
        <v>3468</v>
      </c>
      <c r="AL16" s="1100">
        <v>49540000</v>
      </c>
      <c r="AM16" s="851" t="s">
        <v>3469</v>
      </c>
      <c r="AN16" s="851"/>
      <c r="AO16" s="851" t="s">
        <v>554</v>
      </c>
      <c r="AP16" s="851" t="s">
        <v>554</v>
      </c>
      <c r="AQ16" s="851" t="s">
        <v>554</v>
      </c>
      <c r="AR16" s="851" t="s">
        <v>554</v>
      </c>
      <c r="AS16" s="851" t="s">
        <v>554</v>
      </c>
      <c r="AT16" s="851" t="s">
        <v>554</v>
      </c>
      <c r="AU16" s="851" t="s">
        <v>554</v>
      </c>
      <c r="AV16" s="851" t="s">
        <v>554</v>
      </c>
      <c r="AW16" s="851" t="s">
        <v>554</v>
      </c>
      <c r="AX16" s="851" t="s">
        <v>554</v>
      </c>
      <c r="AY16" s="851" t="s">
        <v>554</v>
      </c>
      <c r="AZ16" s="849" t="s">
        <v>3470</v>
      </c>
      <c r="BA16" s="851" t="s">
        <v>3471</v>
      </c>
    </row>
    <row r="17" spans="1:53" ht="102" x14ac:dyDescent="0.25">
      <c r="A17" s="847" t="s">
        <v>438</v>
      </c>
      <c r="B17" s="847" t="s">
        <v>1423</v>
      </c>
      <c r="C17" s="942"/>
      <c r="D17" s="942"/>
      <c r="E17" s="942"/>
      <c r="F17" s="851" t="s">
        <v>3454</v>
      </c>
      <c r="G17" s="942"/>
      <c r="H17" s="847" t="s">
        <v>3472</v>
      </c>
      <c r="I17" s="847" t="s">
        <v>3473</v>
      </c>
      <c r="J17" s="849">
        <v>0</v>
      </c>
      <c r="K17" s="849" t="s">
        <v>526</v>
      </c>
      <c r="L17" s="849">
        <v>1</v>
      </c>
      <c r="M17" s="849">
        <v>0</v>
      </c>
      <c r="N17" s="847" t="s">
        <v>3473</v>
      </c>
      <c r="O17" s="870">
        <v>0.8</v>
      </c>
      <c r="P17" s="877">
        <f t="shared" si="0"/>
        <v>0</v>
      </c>
      <c r="Q17" s="353">
        <v>0</v>
      </c>
      <c r="R17" s="353"/>
      <c r="S17" s="353"/>
      <c r="T17" s="353"/>
      <c r="U17" s="353"/>
      <c r="V17" s="353"/>
      <c r="W17" s="353"/>
      <c r="X17" s="353"/>
      <c r="Y17" s="353"/>
      <c r="Z17" s="353"/>
      <c r="AA17" s="353"/>
      <c r="AB17" s="353"/>
      <c r="AC17" s="353"/>
      <c r="AD17" s="353"/>
      <c r="AE17" s="353"/>
      <c r="AF17" s="353"/>
      <c r="AG17" s="1101" t="s">
        <v>3727</v>
      </c>
      <c r="AH17" s="1102" t="s">
        <v>3467</v>
      </c>
      <c r="AI17" s="1100" t="s">
        <v>3459</v>
      </c>
      <c r="AJ17" s="1100" t="s">
        <v>3460</v>
      </c>
      <c r="AK17" s="851" t="s">
        <v>3474</v>
      </c>
      <c r="AL17" s="851">
        <v>0</v>
      </c>
      <c r="AM17" s="851" t="s">
        <v>3475</v>
      </c>
      <c r="AN17" s="851"/>
      <c r="AO17" s="851"/>
      <c r="AP17" s="851"/>
      <c r="AQ17" s="851"/>
      <c r="AR17" s="851"/>
      <c r="AS17" s="851"/>
      <c r="AT17" s="851"/>
      <c r="AU17" s="851"/>
      <c r="AV17" s="851"/>
      <c r="AW17" s="851"/>
      <c r="AX17" s="851"/>
      <c r="AY17" s="851"/>
      <c r="AZ17" s="849" t="s">
        <v>3476</v>
      </c>
      <c r="BA17" s="851"/>
    </row>
    <row r="18" spans="1:53" ht="120" x14ac:dyDescent="0.25">
      <c r="A18" s="847" t="s">
        <v>438</v>
      </c>
      <c r="B18" s="847" t="s">
        <v>1423</v>
      </c>
      <c r="C18" s="942"/>
      <c r="D18" s="942"/>
      <c r="E18" s="942"/>
      <c r="F18" s="851" t="s">
        <v>3454</v>
      </c>
      <c r="G18" s="942"/>
      <c r="H18" s="847" t="s">
        <v>3477</v>
      </c>
      <c r="I18" s="847" t="s">
        <v>3478</v>
      </c>
      <c r="J18" s="849">
        <v>0</v>
      </c>
      <c r="K18" s="849" t="s">
        <v>526</v>
      </c>
      <c r="L18" s="443">
        <v>0.5</v>
      </c>
      <c r="M18" s="443">
        <v>0.1</v>
      </c>
      <c r="N18" s="847" t="s">
        <v>3478</v>
      </c>
      <c r="O18" s="870">
        <v>0</v>
      </c>
      <c r="P18" s="877">
        <f t="shared" si="0"/>
        <v>20000</v>
      </c>
      <c r="Q18" s="353">
        <v>10000</v>
      </c>
      <c r="R18" s="353"/>
      <c r="S18" s="353"/>
      <c r="T18" s="353"/>
      <c r="U18" s="353"/>
      <c r="V18" s="353"/>
      <c r="W18" s="353"/>
      <c r="X18" s="353"/>
      <c r="Y18" s="353"/>
      <c r="Z18" s="353"/>
      <c r="AA18" s="353"/>
      <c r="AB18" s="353"/>
      <c r="AC18" s="353"/>
      <c r="AD18" s="353">
        <v>10000</v>
      </c>
      <c r="AE18" s="353"/>
      <c r="AF18" s="353"/>
      <c r="AG18" s="1101" t="s">
        <v>3727</v>
      </c>
      <c r="AH18" s="1102" t="s">
        <v>3467</v>
      </c>
      <c r="AI18" s="1100" t="s">
        <v>3459</v>
      </c>
      <c r="AJ18" s="1100" t="s">
        <v>3460</v>
      </c>
      <c r="AK18" s="851" t="s">
        <v>3474</v>
      </c>
      <c r="AL18" s="851">
        <v>47605000</v>
      </c>
      <c r="AM18" s="851" t="s">
        <v>3479</v>
      </c>
      <c r="AN18" s="851"/>
      <c r="AO18" s="851" t="s">
        <v>536</v>
      </c>
      <c r="AP18" s="851" t="s">
        <v>536</v>
      </c>
      <c r="AQ18" s="851" t="s">
        <v>536</v>
      </c>
      <c r="AR18" s="851" t="s">
        <v>536</v>
      </c>
      <c r="AS18" s="851" t="s">
        <v>536</v>
      </c>
      <c r="AT18" s="851" t="s">
        <v>536</v>
      </c>
      <c r="AU18" s="851" t="s">
        <v>536</v>
      </c>
      <c r="AV18" s="851" t="s">
        <v>536</v>
      </c>
      <c r="AW18" s="851" t="s">
        <v>536</v>
      </c>
      <c r="AX18" s="851" t="s">
        <v>536</v>
      </c>
      <c r="AY18" s="851" t="s">
        <v>536</v>
      </c>
      <c r="AZ18" s="849" t="s">
        <v>3480</v>
      </c>
      <c r="BA18" s="851" t="s">
        <v>3471</v>
      </c>
    </row>
    <row r="19" spans="1:53" ht="120" x14ac:dyDescent="0.25">
      <c r="A19" s="847" t="s">
        <v>438</v>
      </c>
      <c r="B19" s="847" t="s">
        <v>1423</v>
      </c>
      <c r="C19" s="942"/>
      <c r="D19" s="942"/>
      <c r="E19" s="942"/>
      <c r="F19" s="851" t="s">
        <v>3454</v>
      </c>
      <c r="G19" s="942"/>
      <c r="H19" s="847" t="s">
        <v>3481</v>
      </c>
      <c r="I19" s="847" t="s">
        <v>3482</v>
      </c>
      <c r="J19" s="849">
        <v>0</v>
      </c>
      <c r="K19" s="849" t="s">
        <v>526</v>
      </c>
      <c r="L19" s="849">
        <v>1</v>
      </c>
      <c r="M19" s="849">
        <v>0.4</v>
      </c>
      <c r="N19" s="847" t="s">
        <v>3482</v>
      </c>
      <c r="O19" s="870">
        <v>1</v>
      </c>
      <c r="P19" s="877">
        <f t="shared" si="0"/>
        <v>3125</v>
      </c>
      <c r="Q19" s="353">
        <f>25000*0.125</f>
        <v>3125</v>
      </c>
      <c r="R19" s="353"/>
      <c r="S19" s="353"/>
      <c r="T19" s="353"/>
      <c r="U19" s="353"/>
      <c r="V19" s="353"/>
      <c r="W19" s="353"/>
      <c r="X19" s="353"/>
      <c r="Y19" s="353"/>
      <c r="Z19" s="353"/>
      <c r="AA19" s="353"/>
      <c r="AB19" s="353"/>
      <c r="AC19" s="353"/>
      <c r="AD19" s="353"/>
      <c r="AE19" s="353"/>
      <c r="AF19" s="353"/>
      <c r="AG19" s="1101" t="s">
        <v>3727</v>
      </c>
      <c r="AH19" s="1102" t="s">
        <v>3467</v>
      </c>
      <c r="AI19" s="1100" t="s">
        <v>3459</v>
      </c>
      <c r="AJ19" s="1100" t="s">
        <v>3460</v>
      </c>
      <c r="AK19" s="851" t="s">
        <v>3474</v>
      </c>
      <c r="AL19" s="851">
        <v>5280000</v>
      </c>
      <c r="AM19" s="851" t="s">
        <v>3483</v>
      </c>
      <c r="AN19" s="851"/>
      <c r="AO19" s="851" t="s">
        <v>554</v>
      </c>
      <c r="AP19" s="851" t="s">
        <v>554</v>
      </c>
      <c r="AQ19" s="851" t="s">
        <v>554</v>
      </c>
      <c r="AR19" s="851" t="s">
        <v>554</v>
      </c>
      <c r="AS19" s="851" t="s">
        <v>554</v>
      </c>
      <c r="AT19" s="851" t="s">
        <v>554</v>
      </c>
      <c r="AU19" s="851" t="s">
        <v>554</v>
      </c>
      <c r="AV19" s="851" t="s">
        <v>554</v>
      </c>
      <c r="AW19" s="851" t="s">
        <v>554</v>
      </c>
      <c r="AX19" s="851" t="s">
        <v>554</v>
      </c>
      <c r="AY19" s="851" t="s">
        <v>554</v>
      </c>
      <c r="AZ19" s="849" t="s">
        <v>3480</v>
      </c>
      <c r="BA19" s="851"/>
    </row>
    <row r="20" spans="1:53" ht="405" x14ac:dyDescent="0.25">
      <c r="A20" s="847" t="s">
        <v>438</v>
      </c>
      <c r="B20" s="847" t="s">
        <v>1423</v>
      </c>
      <c r="C20" s="942"/>
      <c r="D20" s="942"/>
      <c r="E20" s="942"/>
      <c r="F20" s="851" t="s">
        <v>3454</v>
      </c>
      <c r="G20" s="942"/>
      <c r="H20" s="847" t="s">
        <v>3484</v>
      </c>
      <c r="I20" s="847" t="s">
        <v>3485</v>
      </c>
      <c r="J20" s="849">
        <v>1</v>
      </c>
      <c r="K20" s="849" t="s">
        <v>526</v>
      </c>
      <c r="L20" s="849">
        <v>1</v>
      </c>
      <c r="M20" s="849">
        <v>0.25</v>
      </c>
      <c r="N20" s="847" t="s">
        <v>3485</v>
      </c>
      <c r="O20" s="870">
        <v>1</v>
      </c>
      <c r="P20" s="877">
        <f t="shared" si="0"/>
        <v>6500</v>
      </c>
      <c r="Q20" s="353">
        <f>16250*0.4</f>
        <v>6500</v>
      </c>
      <c r="R20" s="353"/>
      <c r="S20" s="353"/>
      <c r="T20" s="353"/>
      <c r="U20" s="353"/>
      <c r="V20" s="353"/>
      <c r="W20" s="353"/>
      <c r="X20" s="353"/>
      <c r="Y20" s="353"/>
      <c r="Z20" s="353"/>
      <c r="AA20" s="353"/>
      <c r="AB20" s="353"/>
      <c r="AC20" s="353"/>
      <c r="AD20" s="353"/>
      <c r="AE20" s="353"/>
      <c r="AF20" s="353"/>
      <c r="AG20" s="1101" t="s">
        <v>3728</v>
      </c>
      <c r="AH20" s="1102" t="s">
        <v>3467</v>
      </c>
      <c r="AI20" s="1100" t="s">
        <v>3459</v>
      </c>
      <c r="AJ20" s="1100" t="s">
        <v>3460</v>
      </c>
      <c r="AK20" s="851" t="s">
        <v>3468</v>
      </c>
      <c r="AL20" s="851">
        <v>68180000</v>
      </c>
      <c r="AM20" s="851" t="s">
        <v>3486</v>
      </c>
      <c r="AN20" s="851"/>
      <c r="AO20" s="851" t="s">
        <v>554</v>
      </c>
      <c r="AP20" s="851" t="s">
        <v>554</v>
      </c>
      <c r="AQ20" s="851" t="s">
        <v>554</v>
      </c>
      <c r="AR20" s="851" t="s">
        <v>554</v>
      </c>
      <c r="AS20" s="851" t="s">
        <v>554</v>
      </c>
      <c r="AT20" s="851" t="s">
        <v>554</v>
      </c>
      <c r="AU20" s="851" t="s">
        <v>554</v>
      </c>
      <c r="AV20" s="851" t="s">
        <v>554</v>
      </c>
      <c r="AW20" s="851" t="s">
        <v>554</v>
      </c>
      <c r="AX20" s="851" t="s">
        <v>554</v>
      </c>
      <c r="AY20" s="851" t="s">
        <v>554</v>
      </c>
      <c r="AZ20" s="849" t="s">
        <v>3487</v>
      </c>
      <c r="BA20" s="851" t="s">
        <v>3488</v>
      </c>
    </row>
    <row r="21" spans="1:53" ht="150" x14ac:dyDescent="0.25">
      <c r="A21" s="847" t="s">
        <v>438</v>
      </c>
      <c r="B21" s="847" t="s">
        <v>1423</v>
      </c>
      <c r="C21" s="942"/>
      <c r="D21" s="942"/>
      <c r="E21" s="942"/>
      <c r="F21" s="851" t="s">
        <v>3454</v>
      </c>
      <c r="G21" s="942"/>
      <c r="H21" s="847" t="s">
        <v>3489</v>
      </c>
      <c r="I21" s="847" t="s">
        <v>3490</v>
      </c>
      <c r="J21" s="849">
        <v>0</v>
      </c>
      <c r="K21" s="849" t="s">
        <v>526</v>
      </c>
      <c r="L21" s="849">
        <v>1</v>
      </c>
      <c r="M21" s="849">
        <v>0</v>
      </c>
      <c r="N21" s="847" t="s">
        <v>3490</v>
      </c>
      <c r="O21" s="870">
        <v>1</v>
      </c>
      <c r="P21" s="877">
        <f t="shared" si="0"/>
        <v>0</v>
      </c>
      <c r="Q21" s="353">
        <v>0</v>
      </c>
      <c r="R21" s="353"/>
      <c r="S21" s="353"/>
      <c r="T21" s="353"/>
      <c r="U21" s="353"/>
      <c r="V21" s="353"/>
      <c r="W21" s="353"/>
      <c r="X21" s="353"/>
      <c r="Y21" s="353"/>
      <c r="Z21" s="353"/>
      <c r="AA21" s="353"/>
      <c r="AB21" s="353"/>
      <c r="AC21" s="353"/>
      <c r="AD21" s="353"/>
      <c r="AE21" s="353"/>
      <c r="AF21" s="353"/>
      <c r="AG21" s="1101" t="s">
        <v>3727</v>
      </c>
      <c r="AH21" s="1102" t="s">
        <v>3467</v>
      </c>
      <c r="AI21" s="1100" t="s">
        <v>3459</v>
      </c>
      <c r="AJ21" s="1100" t="s">
        <v>3460</v>
      </c>
      <c r="AK21" s="851" t="s">
        <v>3468</v>
      </c>
      <c r="AL21" s="851">
        <v>0</v>
      </c>
      <c r="AM21" s="851"/>
      <c r="AN21" s="851"/>
      <c r="AO21" s="851"/>
      <c r="AP21" s="851"/>
      <c r="AQ21" s="851"/>
      <c r="AR21" s="851"/>
      <c r="AS21" s="851"/>
      <c r="AT21" s="851"/>
      <c r="AU21" s="851"/>
      <c r="AV21" s="851"/>
      <c r="AW21" s="851"/>
      <c r="AX21" s="851"/>
      <c r="AY21" s="851"/>
      <c r="AZ21" s="849" t="s">
        <v>3476</v>
      </c>
      <c r="BA21" s="851" t="s">
        <v>3491</v>
      </c>
    </row>
    <row r="22" spans="1:53" ht="150" x14ac:dyDescent="0.25">
      <c r="A22" s="847" t="s">
        <v>438</v>
      </c>
      <c r="B22" s="847" t="s">
        <v>1423</v>
      </c>
      <c r="C22" s="942"/>
      <c r="D22" s="942"/>
      <c r="E22" s="942"/>
      <c r="F22" s="851" t="s">
        <v>3454</v>
      </c>
      <c r="G22" s="942"/>
      <c r="H22" s="847" t="s">
        <v>3492</v>
      </c>
      <c r="I22" s="847" t="s">
        <v>3493</v>
      </c>
      <c r="J22" s="849" t="s">
        <v>3494</v>
      </c>
      <c r="K22" s="849" t="s">
        <v>526</v>
      </c>
      <c r="L22" s="849">
        <v>1</v>
      </c>
      <c r="M22" s="849">
        <v>0.3</v>
      </c>
      <c r="N22" s="847" t="s">
        <v>3493</v>
      </c>
      <c r="O22" s="870">
        <v>0.17</v>
      </c>
      <c r="P22" s="877">
        <f t="shared" si="0"/>
        <v>12500</v>
      </c>
      <c r="Q22" s="353">
        <v>12500</v>
      </c>
      <c r="R22" s="353"/>
      <c r="S22" s="353"/>
      <c r="T22" s="353"/>
      <c r="U22" s="353"/>
      <c r="V22" s="353"/>
      <c r="W22" s="353"/>
      <c r="X22" s="353"/>
      <c r="Y22" s="353"/>
      <c r="Z22" s="353"/>
      <c r="AA22" s="353"/>
      <c r="AB22" s="353"/>
      <c r="AC22" s="353"/>
      <c r="AD22" s="353"/>
      <c r="AE22" s="353"/>
      <c r="AF22" s="353"/>
      <c r="AG22" s="1101" t="s">
        <v>3727</v>
      </c>
      <c r="AH22" s="1102" t="s">
        <v>3467</v>
      </c>
      <c r="AI22" s="1100" t="s">
        <v>3459</v>
      </c>
      <c r="AJ22" s="1100" t="s">
        <v>3460</v>
      </c>
      <c r="AK22" s="851" t="s">
        <v>3468</v>
      </c>
      <c r="AL22" s="851">
        <v>24718500</v>
      </c>
      <c r="AM22" s="851" t="s">
        <v>3495</v>
      </c>
      <c r="AN22" s="851"/>
      <c r="AO22" s="851" t="s">
        <v>554</v>
      </c>
      <c r="AP22" s="851" t="s">
        <v>554</v>
      </c>
      <c r="AQ22" s="851" t="s">
        <v>554</v>
      </c>
      <c r="AR22" s="851" t="s">
        <v>554</v>
      </c>
      <c r="AS22" s="851" t="s">
        <v>554</v>
      </c>
      <c r="AT22" s="851" t="s">
        <v>554</v>
      </c>
      <c r="AU22" s="851" t="s">
        <v>554</v>
      </c>
      <c r="AV22" s="851" t="s">
        <v>554</v>
      </c>
      <c r="AW22" s="851" t="s">
        <v>554</v>
      </c>
      <c r="AX22" s="851" t="s">
        <v>554</v>
      </c>
      <c r="AY22" s="851" t="s">
        <v>554</v>
      </c>
      <c r="AZ22" s="849" t="s">
        <v>3496</v>
      </c>
      <c r="BA22" s="851"/>
    </row>
    <row r="23" spans="1:53" ht="225" x14ac:dyDescent="0.25">
      <c r="A23" s="847" t="s">
        <v>438</v>
      </c>
      <c r="B23" s="847" t="s">
        <v>1423</v>
      </c>
      <c r="C23" s="942"/>
      <c r="D23" s="942"/>
      <c r="E23" s="942"/>
      <c r="F23" s="851" t="s">
        <v>3454</v>
      </c>
      <c r="G23" s="942"/>
      <c r="H23" s="847" t="s">
        <v>3497</v>
      </c>
      <c r="I23" s="847" t="s">
        <v>3498</v>
      </c>
      <c r="J23" s="849" t="s">
        <v>3499</v>
      </c>
      <c r="K23" s="849" t="s">
        <v>526</v>
      </c>
      <c r="L23" s="849">
        <v>41</v>
      </c>
      <c r="M23" s="849">
        <v>4</v>
      </c>
      <c r="N23" s="847" t="s">
        <v>3498</v>
      </c>
      <c r="O23" s="870">
        <v>10</v>
      </c>
      <c r="P23" s="877">
        <f t="shared" si="0"/>
        <v>2500</v>
      </c>
      <c r="Q23" s="353">
        <v>2500</v>
      </c>
      <c r="R23" s="353"/>
      <c r="S23" s="353"/>
      <c r="T23" s="353"/>
      <c r="U23" s="353"/>
      <c r="V23" s="353"/>
      <c r="W23" s="353"/>
      <c r="X23" s="353"/>
      <c r="Y23" s="353"/>
      <c r="Z23" s="353"/>
      <c r="AA23" s="353"/>
      <c r="AB23" s="353"/>
      <c r="AC23" s="353"/>
      <c r="AD23" s="353"/>
      <c r="AE23" s="353"/>
      <c r="AF23" s="353"/>
      <c r="AG23" s="1101" t="s">
        <v>3727</v>
      </c>
      <c r="AH23" s="1102" t="s">
        <v>3467</v>
      </c>
      <c r="AI23" s="1100" t="s">
        <v>3500</v>
      </c>
      <c r="AJ23" s="1100" t="s">
        <v>3460</v>
      </c>
      <c r="AK23" s="851" t="s">
        <v>3501</v>
      </c>
      <c r="AL23" s="851">
        <v>24718500</v>
      </c>
      <c r="AM23" s="851" t="s">
        <v>3495</v>
      </c>
      <c r="AN23" s="851"/>
      <c r="AO23" s="851" t="s">
        <v>554</v>
      </c>
      <c r="AP23" s="851" t="s">
        <v>554</v>
      </c>
      <c r="AQ23" s="851" t="s">
        <v>554</v>
      </c>
      <c r="AR23" s="851" t="s">
        <v>554</v>
      </c>
      <c r="AS23" s="851" t="s">
        <v>554</v>
      </c>
      <c r="AT23" s="851" t="s">
        <v>554</v>
      </c>
      <c r="AU23" s="851" t="s">
        <v>554</v>
      </c>
      <c r="AV23" s="851" t="s">
        <v>554</v>
      </c>
      <c r="AW23" s="851" t="s">
        <v>554</v>
      </c>
      <c r="AX23" s="851" t="s">
        <v>554</v>
      </c>
      <c r="AY23" s="851" t="s">
        <v>554</v>
      </c>
      <c r="AZ23" s="849" t="s">
        <v>3496</v>
      </c>
      <c r="BA23" s="851"/>
    </row>
    <row r="24" spans="1:53" ht="180" x14ac:dyDescent="0.25">
      <c r="A24" s="847" t="s">
        <v>438</v>
      </c>
      <c r="B24" s="847" t="s">
        <v>1423</v>
      </c>
      <c r="C24" s="942"/>
      <c r="D24" s="942"/>
      <c r="E24" s="942"/>
      <c r="F24" s="851" t="s">
        <v>3454</v>
      </c>
      <c r="G24" s="942"/>
      <c r="H24" s="847" t="s">
        <v>3502</v>
      </c>
      <c r="I24" s="847" t="s">
        <v>3503</v>
      </c>
      <c r="J24" s="849">
        <v>0</v>
      </c>
      <c r="K24" s="849" t="s">
        <v>526</v>
      </c>
      <c r="L24" s="849">
        <v>1</v>
      </c>
      <c r="M24" s="849">
        <v>0.2</v>
      </c>
      <c r="N24" s="847" t="s">
        <v>3503</v>
      </c>
      <c r="O24" s="870">
        <v>0.17</v>
      </c>
      <c r="P24" s="877">
        <f t="shared" si="0"/>
        <v>10000</v>
      </c>
      <c r="Q24" s="353">
        <v>10000</v>
      </c>
      <c r="R24" s="353"/>
      <c r="S24" s="353"/>
      <c r="T24" s="353"/>
      <c r="U24" s="353"/>
      <c r="V24" s="353"/>
      <c r="W24" s="353"/>
      <c r="X24" s="353"/>
      <c r="Y24" s="353"/>
      <c r="Z24" s="353"/>
      <c r="AA24" s="353"/>
      <c r="AB24" s="353"/>
      <c r="AC24" s="353"/>
      <c r="AD24" s="353"/>
      <c r="AE24" s="353"/>
      <c r="AF24" s="353"/>
      <c r="AG24" s="1101" t="s">
        <v>3727</v>
      </c>
      <c r="AH24" s="1102" t="s">
        <v>3467</v>
      </c>
      <c r="AI24" s="851" t="s">
        <v>3504</v>
      </c>
      <c r="AJ24" s="1100" t="s">
        <v>3460</v>
      </c>
      <c r="AK24" s="851" t="s">
        <v>3505</v>
      </c>
      <c r="AL24" s="851">
        <v>54542000</v>
      </c>
      <c r="AM24" s="851" t="s">
        <v>3506</v>
      </c>
      <c r="AN24" s="851"/>
      <c r="AO24" s="851" t="s">
        <v>536</v>
      </c>
      <c r="AP24" s="851" t="s">
        <v>536</v>
      </c>
      <c r="AQ24" s="851" t="s">
        <v>536</v>
      </c>
      <c r="AR24" s="851" t="s">
        <v>536</v>
      </c>
      <c r="AS24" s="851" t="s">
        <v>536</v>
      </c>
      <c r="AT24" s="851" t="s">
        <v>536</v>
      </c>
      <c r="AU24" s="851" t="s">
        <v>536</v>
      </c>
      <c r="AV24" s="851" t="s">
        <v>536</v>
      </c>
      <c r="AW24" s="851" t="s">
        <v>536</v>
      </c>
      <c r="AX24" s="851" t="s">
        <v>536</v>
      </c>
      <c r="AY24" s="851" t="s">
        <v>536</v>
      </c>
      <c r="AZ24" s="849" t="s">
        <v>3507</v>
      </c>
      <c r="BA24" s="851"/>
    </row>
    <row r="25" spans="1:53" ht="195" x14ac:dyDescent="0.25">
      <c r="A25" s="847" t="s">
        <v>438</v>
      </c>
      <c r="B25" s="847" t="s">
        <v>1423</v>
      </c>
      <c r="C25" s="942"/>
      <c r="D25" s="942"/>
      <c r="E25" s="942"/>
      <c r="F25" s="851" t="s">
        <v>3454</v>
      </c>
      <c r="G25" s="942"/>
      <c r="H25" s="849" t="s">
        <v>3508</v>
      </c>
      <c r="I25" s="847" t="s">
        <v>3509</v>
      </c>
      <c r="J25" s="849">
        <v>0</v>
      </c>
      <c r="K25" s="849" t="s">
        <v>526</v>
      </c>
      <c r="L25" s="849">
        <v>42</v>
      </c>
      <c r="M25" s="849">
        <v>7</v>
      </c>
      <c r="N25" s="849" t="s">
        <v>3509</v>
      </c>
      <c r="O25" s="876">
        <v>19</v>
      </c>
      <c r="P25" s="877">
        <f t="shared" si="0"/>
        <v>92500</v>
      </c>
      <c r="Q25" s="353">
        <v>92500</v>
      </c>
      <c r="R25" s="353"/>
      <c r="S25" s="353"/>
      <c r="T25" s="353"/>
      <c r="U25" s="353"/>
      <c r="V25" s="353"/>
      <c r="W25" s="353"/>
      <c r="X25" s="353"/>
      <c r="Y25" s="353"/>
      <c r="Z25" s="353"/>
      <c r="AA25" s="353"/>
      <c r="AB25" s="353"/>
      <c r="AC25" s="353"/>
      <c r="AD25" s="353"/>
      <c r="AE25" s="353"/>
      <c r="AF25" s="353"/>
      <c r="AG25" s="733" t="s">
        <v>3458</v>
      </c>
      <c r="AH25" s="1100" t="s">
        <v>960</v>
      </c>
      <c r="AI25" s="851" t="s">
        <v>3510</v>
      </c>
      <c r="AJ25" s="1100" t="s">
        <v>3460</v>
      </c>
      <c r="AK25" s="851" t="s">
        <v>3511</v>
      </c>
      <c r="AL25" s="851"/>
      <c r="AM25" s="851"/>
      <c r="AN25" s="851" t="s">
        <v>536</v>
      </c>
      <c r="AO25" s="851" t="s">
        <v>536</v>
      </c>
      <c r="AP25" s="851" t="s">
        <v>536</v>
      </c>
      <c r="AQ25" s="851" t="s">
        <v>536</v>
      </c>
      <c r="AR25" s="851" t="s">
        <v>536</v>
      </c>
      <c r="AS25" s="851" t="s">
        <v>536</v>
      </c>
      <c r="AT25" s="851" t="s">
        <v>536</v>
      </c>
      <c r="AU25" s="851" t="s">
        <v>536</v>
      </c>
      <c r="AV25" s="851" t="s">
        <v>536</v>
      </c>
      <c r="AW25" s="851" t="s">
        <v>536</v>
      </c>
      <c r="AX25" s="851" t="s">
        <v>536</v>
      </c>
      <c r="AY25" s="851" t="s">
        <v>536</v>
      </c>
      <c r="AZ25" s="1100" t="s">
        <v>3512</v>
      </c>
      <c r="BA25" s="851" t="s">
        <v>3513</v>
      </c>
    </row>
    <row r="26" spans="1:53" ht="150" x14ac:dyDescent="0.25">
      <c r="A26" s="847" t="s">
        <v>438</v>
      </c>
      <c r="B26" s="847" t="s">
        <v>1423</v>
      </c>
      <c r="C26" s="942"/>
      <c r="D26" s="942"/>
      <c r="E26" s="942"/>
      <c r="F26" s="851" t="s">
        <v>3454</v>
      </c>
      <c r="G26" s="942"/>
      <c r="H26" s="847" t="s">
        <v>3514</v>
      </c>
      <c r="I26" s="847" t="s">
        <v>3515</v>
      </c>
      <c r="J26" s="849">
        <v>0</v>
      </c>
      <c r="K26" s="849" t="s">
        <v>526</v>
      </c>
      <c r="L26" s="443">
        <v>1</v>
      </c>
      <c r="M26" s="443">
        <v>0.3</v>
      </c>
      <c r="N26" s="847" t="s">
        <v>3515</v>
      </c>
      <c r="O26" s="870">
        <v>0.15</v>
      </c>
      <c r="P26" s="877">
        <f t="shared" si="0"/>
        <v>21875</v>
      </c>
      <c r="Q26" s="353">
        <f>25000*0.875</f>
        <v>21875</v>
      </c>
      <c r="R26" s="353"/>
      <c r="S26" s="353"/>
      <c r="T26" s="353"/>
      <c r="U26" s="353"/>
      <c r="V26" s="353"/>
      <c r="W26" s="353"/>
      <c r="X26" s="353"/>
      <c r="Y26" s="353"/>
      <c r="Z26" s="353"/>
      <c r="AA26" s="353"/>
      <c r="AB26" s="353"/>
      <c r="AC26" s="353"/>
      <c r="AD26" s="353"/>
      <c r="AE26" s="353"/>
      <c r="AF26" s="353"/>
      <c r="AG26" s="1101" t="s">
        <v>3727</v>
      </c>
      <c r="AH26" s="1102" t="s">
        <v>3467</v>
      </c>
      <c r="AI26" s="1100" t="s">
        <v>3459</v>
      </c>
      <c r="AJ26" s="1100" t="s">
        <v>3460</v>
      </c>
      <c r="AK26" s="851" t="s">
        <v>3516</v>
      </c>
      <c r="AL26" s="851">
        <v>23890000</v>
      </c>
      <c r="AM26" s="851" t="s">
        <v>3517</v>
      </c>
      <c r="AN26" s="851"/>
      <c r="AO26" s="851" t="s">
        <v>536</v>
      </c>
      <c r="AP26" s="851" t="s">
        <v>536</v>
      </c>
      <c r="AQ26" s="851" t="s">
        <v>536</v>
      </c>
      <c r="AR26" s="851" t="s">
        <v>536</v>
      </c>
      <c r="AS26" s="851" t="s">
        <v>536</v>
      </c>
      <c r="AT26" s="851" t="s">
        <v>536</v>
      </c>
      <c r="AU26" s="851" t="s">
        <v>536</v>
      </c>
      <c r="AV26" s="851" t="s">
        <v>3518</v>
      </c>
      <c r="AW26" s="851" t="s">
        <v>536</v>
      </c>
      <c r="AX26" s="851" t="s">
        <v>536</v>
      </c>
      <c r="AY26" s="851" t="s">
        <v>536</v>
      </c>
      <c r="AZ26" s="849" t="s">
        <v>3507</v>
      </c>
      <c r="BA26" s="851" t="s">
        <v>3519</v>
      </c>
    </row>
    <row r="27" spans="1:53" ht="180" x14ac:dyDescent="0.25">
      <c r="A27" s="847" t="s">
        <v>438</v>
      </c>
      <c r="B27" s="847" t="s">
        <v>1423</v>
      </c>
      <c r="C27" s="942"/>
      <c r="D27" s="942"/>
      <c r="E27" s="942"/>
      <c r="F27" s="851" t="s">
        <v>3454</v>
      </c>
      <c r="G27" s="942"/>
      <c r="H27" s="847" t="s">
        <v>3520</v>
      </c>
      <c r="I27" s="847" t="s">
        <v>3521</v>
      </c>
      <c r="J27" s="849">
        <v>0</v>
      </c>
      <c r="K27" s="849" t="s">
        <v>526</v>
      </c>
      <c r="L27" s="849">
        <v>1</v>
      </c>
      <c r="M27" s="849">
        <v>0.1</v>
      </c>
      <c r="N27" s="847" t="s">
        <v>3521</v>
      </c>
      <c r="O27" s="870">
        <v>0.1</v>
      </c>
      <c r="P27" s="877">
        <f t="shared" si="0"/>
        <v>25000</v>
      </c>
      <c r="Q27" s="353">
        <v>25000</v>
      </c>
      <c r="R27" s="353"/>
      <c r="S27" s="353"/>
      <c r="T27" s="353"/>
      <c r="U27" s="353"/>
      <c r="V27" s="353"/>
      <c r="W27" s="353"/>
      <c r="X27" s="353"/>
      <c r="Y27" s="353"/>
      <c r="Z27" s="353"/>
      <c r="AA27" s="353"/>
      <c r="AB27" s="353"/>
      <c r="AC27" s="353"/>
      <c r="AD27" s="353"/>
      <c r="AE27" s="353"/>
      <c r="AF27" s="353"/>
      <c r="AG27" s="1101" t="s">
        <v>3727</v>
      </c>
      <c r="AH27" s="1102" t="s">
        <v>3467</v>
      </c>
      <c r="AI27" s="1100" t="s">
        <v>3459</v>
      </c>
      <c r="AJ27" s="1100" t="s">
        <v>3460</v>
      </c>
      <c r="AK27" s="851" t="s">
        <v>3468</v>
      </c>
      <c r="AL27" s="851">
        <v>40980000</v>
      </c>
      <c r="AM27" s="851"/>
      <c r="AN27" s="851"/>
      <c r="AO27" s="851" t="s">
        <v>536</v>
      </c>
      <c r="AP27" s="851" t="s">
        <v>536</v>
      </c>
      <c r="AQ27" s="851" t="s">
        <v>536</v>
      </c>
      <c r="AR27" s="851" t="s">
        <v>536</v>
      </c>
      <c r="AS27" s="851" t="s">
        <v>536</v>
      </c>
      <c r="AT27" s="851" t="s">
        <v>536</v>
      </c>
      <c r="AU27" s="851" t="s">
        <v>536</v>
      </c>
      <c r="AV27" s="851" t="s">
        <v>536</v>
      </c>
      <c r="AW27" s="851" t="s">
        <v>536</v>
      </c>
      <c r="AX27" s="851" t="s">
        <v>536</v>
      </c>
      <c r="AY27" s="851" t="s">
        <v>3518</v>
      </c>
      <c r="AZ27" s="849" t="s">
        <v>3522</v>
      </c>
      <c r="BA27" s="851" t="s">
        <v>3523</v>
      </c>
    </row>
    <row r="28" spans="1:53" ht="150" x14ac:dyDescent="0.25">
      <c r="A28" s="851" t="s">
        <v>438</v>
      </c>
      <c r="B28" s="851" t="s">
        <v>1423</v>
      </c>
      <c r="C28" s="944" t="s">
        <v>3524</v>
      </c>
      <c r="D28" s="944" t="s">
        <v>3525</v>
      </c>
      <c r="E28" s="944" t="s">
        <v>3526</v>
      </c>
      <c r="F28" s="851" t="s">
        <v>3527</v>
      </c>
      <c r="G28" s="944" t="s">
        <v>3528</v>
      </c>
      <c r="H28" s="849" t="s">
        <v>3529</v>
      </c>
      <c r="I28" s="847" t="s">
        <v>3530</v>
      </c>
      <c r="J28" s="849">
        <v>0</v>
      </c>
      <c r="K28" s="849" t="s">
        <v>526</v>
      </c>
      <c r="L28" s="849">
        <v>10</v>
      </c>
      <c r="M28" s="343">
        <v>0</v>
      </c>
      <c r="N28" s="849" t="s">
        <v>3530</v>
      </c>
      <c r="O28" s="500">
        <v>1</v>
      </c>
      <c r="P28" s="873">
        <v>206180</v>
      </c>
      <c r="Q28" s="353">
        <v>0</v>
      </c>
      <c r="R28" s="353"/>
      <c r="S28" s="353"/>
      <c r="T28" s="353"/>
      <c r="U28" s="353"/>
      <c r="V28" s="353"/>
      <c r="W28" s="353"/>
      <c r="X28" s="353"/>
      <c r="Y28" s="353"/>
      <c r="Z28" s="353"/>
      <c r="AA28" s="353"/>
      <c r="AB28" s="353"/>
      <c r="AC28" s="353"/>
      <c r="AD28" s="353"/>
      <c r="AE28" s="353"/>
      <c r="AF28" s="353"/>
      <c r="AG28" s="656" t="s">
        <v>3531</v>
      </c>
      <c r="AH28" s="849" t="s">
        <v>3532</v>
      </c>
      <c r="AI28" s="851" t="s">
        <v>3723</v>
      </c>
      <c r="AJ28" s="848"/>
      <c r="AK28" s="848"/>
      <c r="AL28" s="848"/>
      <c r="AM28" s="848"/>
      <c r="AN28" s="848"/>
      <c r="AO28" s="848"/>
      <c r="AP28" s="848"/>
      <c r="AQ28" s="848"/>
      <c r="AR28" s="848"/>
      <c r="AS28" s="848"/>
      <c r="AT28" s="848"/>
      <c r="AU28" s="848"/>
      <c r="AV28" s="848"/>
      <c r="AW28" s="848"/>
      <c r="AX28" s="848"/>
      <c r="AY28" s="848"/>
      <c r="AZ28" s="848"/>
      <c r="BA28" s="360" t="s">
        <v>3724</v>
      </c>
    </row>
    <row r="29" spans="1:53" ht="180" x14ac:dyDescent="0.25">
      <c r="A29" s="851" t="s">
        <v>438</v>
      </c>
      <c r="B29" s="851" t="s">
        <v>1423</v>
      </c>
      <c r="C29" s="944"/>
      <c r="D29" s="944"/>
      <c r="E29" s="944"/>
      <c r="F29" s="851" t="s">
        <v>3527</v>
      </c>
      <c r="G29" s="944"/>
      <c r="H29" s="849" t="s">
        <v>3534</v>
      </c>
      <c r="I29" s="847" t="s">
        <v>3535</v>
      </c>
      <c r="J29" s="849">
        <v>0</v>
      </c>
      <c r="K29" s="849" t="s">
        <v>526</v>
      </c>
      <c r="L29" s="443">
        <v>1</v>
      </c>
      <c r="M29" s="878">
        <v>0</v>
      </c>
      <c r="N29" s="849" t="s">
        <v>3535</v>
      </c>
      <c r="O29" s="500">
        <v>1</v>
      </c>
      <c r="P29" s="873">
        <v>21650</v>
      </c>
      <c r="Q29" s="353">
        <v>0</v>
      </c>
      <c r="R29" s="353"/>
      <c r="S29" s="353"/>
      <c r="T29" s="353"/>
      <c r="U29" s="353"/>
      <c r="V29" s="353"/>
      <c r="W29" s="353"/>
      <c r="X29" s="353"/>
      <c r="Y29" s="353"/>
      <c r="Z29" s="353"/>
      <c r="AA29" s="353"/>
      <c r="AB29" s="353"/>
      <c r="AC29" s="353"/>
      <c r="AD29" s="353"/>
      <c r="AE29" s="353"/>
      <c r="AF29" s="353"/>
      <c r="AG29" s="656" t="s">
        <v>3531</v>
      </c>
      <c r="AH29" s="849" t="s">
        <v>3532</v>
      </c>
      <c r="AI29" s="851" t="s">
        <v>3723</v>
      </c>
      <c r="AJ29" s="848"/>
      <c r="AK29" s="848"/>
      <c r="AL29" s="848"/>
      <c r="AM29" s="848"/>
      <c r="AN29" s="848"/>
      <c r="AO29" s="848"/>
      <c r="AP29" s="848"/>
      <c r="AQ29" s="848"/>
      <c r="AR29" s="848"/>
      <c r="AS29" s="848"/>
      <c r="AT29" s="848"/>
      <c r="AU29" s="848"/>
      <c r="AV29" s="848"/>
      <c r="AW29" s="848"/>
      <c r="AX29" s="848"/>
      <c r="AY29" s="848"/>
      <c r="AZ29" s="848"/>
      <c r="BA29" s="360" t="s">
        <v>3533</v>
      </c>
    </row>
    <row r="30" spans="1:53" ht="285" x14ac:dyDescent="0.25">
      <c r="A30" s="851" t="s">
        <v>438</v>
      </c>
      <c r="B30" s="851" t="s">
        <v>1423</v>
      </c>
      <c r="C30" s="944"/>
      <c r="D30" s="944"/>
      <c r="E30" s="944"/>
      <c r="F30" s="851" t="s">
        <v>3527</v>
      </c>
      <c r="G30" s="944"/>
      <c r="H30" s="849" t="s">
        <v>3536</v>
      </c>
      <c r="I30" s="847" t="s">
        <v>3537</v>
      </c>
      <c r="J30" s="849">
        <v>0</v>
      </c>
      <c r="K30" s="849" t="s">
        <v>526</v>
      </c>
      <c r="L30" s="849">
        <v>1</v>
      </c>
      <c r="M30" s="879">
        <v>0.3</v>
      </c>
      <c r="N30" s="849" t="s">
        <v>3537</v>
      </c>
      <c r="O30" s="500">
        <v>0</v>
      </c>
      <c r="P30" s="873">
        <v>292220</v>
      </c>
      <c r="Q30" s="353">
        <v>75000</v>
      </c>
      <c r="R30" s="353"/>
      <c r="S30" s="353"/>
      <c r="T30" s="353"/>
      <c r="U30" s="353"/>
      <c r="V30" s="353"/>
      <c r="W30" s="353"/>
      <c r="X30" s="353"/>
      <c r="Y30" s="353"/>
      <c r="Z30" s="353"/>
      <c r="AA30" s="353"/>
      <c r="AB30" s="353"/>
      <c r="AC30" s="353"/>
      <c r="AD30" s="353"/>
      <c r="AE30" s="353"/>
      <c r="AF30" s="353"/>
      <c r="AG30" s="656" t="s">
        <v>3531</v>
      </c>
      <c r="AH30" s="849" t="s">
        <v>3532</v>
      </c>
      <c r="AI30" s="851" t="s">
        <v>3723</v>
      </c>
      <c r="AJ30" s="848"/>
      <c r="AK30" s="848"/>
      <c r="AL30" s="848"/>
      <c r="AM30" s="848"/>
      <c r="AN30" s="848"/>
      <c r="AO30" s="848"/>
      <c r="AP30" s="848"/>
      <c r="AQ30" s="848"/>
      <c r="AR30" s="848"/>
      <c r="AS30" s="848"/>
      <c r="AT30" s="848"/>
      <c r="AU30" s="848"/>
      <c r="AV30" s="848"/>
      <c r="AW30" s="848"/>
      <c r="AX30" s="848"/>
      <c r="AY30" s="848"/>
      <c r="AZ30" s="848"/>
      <c r="BA30" s="360"/>
    </row>
    <row r="31" spans="1:53" ht="210" x14ac:dyDescent="0.25">
      <c r="A31" s="851" t="s">
        <v>438</v>
      </c>
      <c r="B31" s="851" t="s">
        <v>1423</v>
      </c>
      <c r="C31" s="944"/>
      <c r="D31" s="944"/>
      <c r="E31" s="944"/>
      <c r="F31" s="851" t="s">
        <v>3527</v>
      </c>
      <c r="G31" s="944"/>
      <c r="H31" s="849" t="s">
        <v>3538</v>
      </c>
      <c r="I31" s="847" t="s">
        <v>3539</v>
      </c>
      <c r="J31" s="849">
        <v>20</v>
      </c>
      <c r="K31" s="849" t="s">
        <v>526</v>
      </c>
      <c r="L31" s="443">
        <v>0.6</v>
      </c>
      <c r="M31" s="878">
        <v>0.2</v>
      </c>
      <c r="N31" s="849" t="s">
        <v>3539</v>
      </c>
      <c r="O31" s="500">
        <v>0.02</v>
      </c>
      <c r="P31" s="873">
        <v>30000</v>
      </c>
      <c r="Q31" s="353">
        <v>40000</v>
      </c>
      <c r="R31" s="353"/>
      <c r="S31" s="353"/>
      <c r="T31" s="353"/>
      <c r="U31" s="353"/>
      <c r="V31" s="353"/>
      <c r="W31" s="353"/>
      <c r="X31" s="353"/>
      <c r="Y31" s="353"/>
      <c r="Z31" s="353"/>
      <c r="AA31" s="353"/>
      <c r="AB31" s="353"/>
      <c r="AC31" s="353"/>
      <c r="AD31" s="353"/>
      <c r="AE31" s="353"/>
      <c r="AF31" s="353"/>
      <c r="AG31" s="656" t="s">
        <v>3531</v>
      </c>
      <c r="AH31" s="849" t="s">
        <v>3532</v>
      </c>
      <c r="AI31" s="851" t="s">
        <v>3723</v>
      </c>
      <c r="AJ31" s="848"/>
      <c r="AK31" s="848"/>
      <c r="AL31" s="848"/>
      <c r="AM31" s="848"/>
      <c r="AN31" s="848"/>
      <c r="AO31" s="848"/>
      <c r="AP31" s="848"/>
      <c r="AQ31" s="848"/>
      <c r="AR31" s="848"/>
      <c r="AS31" s="848"/>
      <c r="AT31" s="848"/>
      <c r="AU31" s="848"/>
      <c r="AV31" s="848"/>
      <c r="AW31" s="848"/>
      <c r="AX31" s="848"/>
      <c r="AY31" s="848"/>
      <c r="AZ31" s="848"/>
      <c r="BA31" s="360"/>
    </row>
    <row r="32" spans="1:53" ht="195" x14ac:dyDescent="0.25">
      <c r="A32" s="851" t="s">
        <v>438</v>
      </c>
      <c r="B32" s="851" t="s">
        <v>1423</v>
      </c>
      <c r="C32" s="944"/>
      <c r="D32" s="944"/>
      <c r="E32" s="944"/>
      <c r="F32" s="851" t="s">
        <v>3527</v>
      </c>
      <c r="G32" s="944"/>
      <c r="H32" s="849" t="s">
        <v>3540</v>
      </c>
      <c r="I32" s="847" t="s">
        <v>3541</v>
      </c>
      <c r="J32" s="849">
        <v>2</v>
      </c>
      <c r="K32" s="849" t="s">
        <v>526</v>
      </c>
      <c r="L32" s="443">
        <v>1</v>
      </c>
      <c r="M32" s="878">
        <v>0.25</v>
      </c>
      <c r="N32" s="849" t="s">
        <v>3541</v>
      </c>
      <c r="O32" s="500">
        <v>0.15</v>
      </c>
      <c r="P32" s="873">
        <v>51800</v>
      </c>
      <c r="Q32" s="353">
        <v>50000</v>
      </c>
      <c r="R32" s="353"/>
      <c r="S32" s="353"/>
      <c r="T32" s="353"/>
      <c r="U32" s="353"/>
      <c r="V32" s="353"/>
      <c r="W32" s="353"/>
      <c r="X32" s="353"/>
      <c r="Y32" s="353"/>
      <c r="Z32" s="353"/>
      <c r="AA32" s="353"/>
      <c r="AB32" s="353"/>
      <c r="AC32" s="353"/>
      <c r="AD32" s="353"/>
      <c r="AE32" s="353"/>
      <c r="AF32" s="353"/>
      <c r="AG32" s="656" t="s">
        <v>3531</v>
      </c>
      <c r="AH32" s="849" t="s">
        <v>3532</v>
      </c>
      <c r="AI32" s="851" t="s">
        <v>3723</v>
      </c>
      <c r="AJ32" s="848"/>
      <c r="AK32" s="848"/>
      <c r="AL32" s="848"/>
      <c r="AM32" s="848"/>
      <c r="AN32" s="848"/>
      <c r="AO32" s="848"/>
      <c r="AP32" s="848"/>
      <c r="AQ32" s="848"/>
      <c r="AR32" s="848"/>
      <c r="AS32" s="848"/>
      <c r="AT32" s="848"/>
      <c r="AU32" s="848"/>
      <c r="AV32" s="848"/>
      <c r="AW32" s="848"/>
      <c r="AX32" s="848"/>
      <c r="AY32" s="848"/>
      <c r="AZ32" s="848"/>
      <c r="BA32" s="360"/>
    </row>
    <row r="33" spans="1:53" ht="135" x14ac:dyDescent="0.25">
      <c r="A33" s="851" t="s">
        <v>438</v>
      </c>
      <c r="B33" s="851" t="s">
        <v>1423</v>
      </c>
      <c r="C33" s="944"/>
      <c r="D33" s="944"/>
      <c r="E33" s="944"/>
      <c r="F33" s="851" t="s">
        <v>3527</v>
      </c>
      <c r="G33" s="944"/>
      <c r="H33" s="849" t="s">
        <v>3542</v>
      </c>
      <c r="I33" s="847" t="s">
        <v>3543</v>
      </c>
      <c r="J33" s="849" t="s">
        <v>3544</v>
      </c>
      <c r="K33" s="849" t="s">
        <v>526</v>
      </c>
      <c r="L33" s="443">
        <v>1</v>
      </c>
      <c r="M33" s="878">
        <v>0.3</v>
      </c>
      <c r="N33" s="849" t="s">
        <v>3543</v>
      </c>
      <c r="O33" s="500">
        <v>0.1</v>
      </c>
      <c r="P33" s="873">
        <v>34060</v>
      </c>
      <c r="Q33" s="353">
        <v>50000</v>
      </c>
      <c r="R33" s="353"/>
      <c r="S33" s="353"/>
      <c r="T33" s="353"/>
      <c r="U33" s="353"/>
      <c r="V33" s="353"/>
      <c r="W33" s="353"/>
      <c r="X33" s="353"/>
      <c r="Y33" s="353"/>
      <c r="Z33" s="353"/>
      <c r="AA33" s="353"/>
      <c r="AB33" s="353"/>
      <c r="AC33" s="353"/>
      <c r="AD33" s="353"/>
      <c r="AE33" s="353"/>
      <c r="AF33" s="353"/>
      <c r="AG33" s="656" t="s">
        <v>3531</v>
      </c>
      <c r="AH33" s="849" t="s">
        <v>3532</v>
      </c>
      <c r="AI33" s="848" t="s">
        <v>3725</v>
      </c>
      <c r="AJ33" s="848"/>
      <c r="AK33" s="848"/>
      <c r="AL33" s="848"/>
      <c r="AM33" s="848"/>
      <c r="AN33" s="848"/>
      <c r="AO33" s="848"/>
      <c r="AP33" s="848"/>
      <c r="AQ33" s="848"/>
      <c r="AR33" s="848"/>
      <c r="AS33" s="848"/>
      <c r="AT33" s="848"/>
      <c r="AU33" s="848"/>
      <c r="AV33" s="848"/>
      <c r="AW33" s="848"/>
      <c r="AX33" s="848"/>
      <c r="AY33" s="848"/>
      <c r="AZ33" s="848"/>
      <c r="BA33" s="360"/>
    </row>
    <row r="34" spans="1:53" ht="120" x14ac:dyDescent="0.25">
      <c r="A34" s="851" t="s">
        <v>438</v>
      </c>
      <c r="B34" s="851" t="s">
        <v>1423</v>
      </c>
      <c r="C34" s="944"/>
      <c r="D34" s="944"/>
      <c r="E34" s="944"/>
      <c r="F34" s="851" t="s">
        <v>3527</v>
      </c>
      <c r="G34" s="944"/>
      <c r="H34" s="849" t="s">
        <v>3545</v>
      </c>
      <c r="I34" s="847" t="s">
        <v>3546</v>
      </c>
      <c r="J34" s="849" t="s">
        <v>3547</v>
      </c>
      <c r="K34" s="849" t="s">
        <v>526</v>
      </c>
      <c r="L34" s="849">
        <v>20</v>
      </c>
      <c r="M34" s="880">
        <v>6</v>
      </c>
      <c r="N34" s="849" t="s">
        <v>3546</v>
      </c>
      <c r="O34" s="850">
        <v>2</v>
      </c>
      <c r="P34" s="873">
        <v>49600</v>
      </c>
      <c r="Q34" s="353">
        <v>25000</v>
      </c>
      <c r="R34" s="353"/>
      <c r="S34" s="353"/>
      <c r="T34" s="353"/>
      <c r="U34" s="353"/>
      <c r="V34" s="353"/>
      <c r="W34" s="353"/>
      <c r="X34" s="353"/>
      <c r="Y34" s="353"/>
      <c r="Z34" s="353"/>
      <c r="AA34" s="353"/>
      <c r="AB34" s="353"/>
      <c r="AC34" s="353"/>
      <c r="AD34" s="353"/>
      <c r="AE34" s="353"/>
      <c r="AF34" s="353"/>
      <c r="AG34" s="656" t="s">
        <v>3531</v>
      </c>
      <c r="AH34" s="849" t="s">
        <v>3532</v>
      </c>
      <c r="AI34" s="851" t="s">
        <v>3723</v>
      </c>
      <c r="AJ34" s="848"/>
      <c r="AK34" s="848"/>
      <c r="AL34" s="848"/>
      <c r="AM34" s="848"/>
      <c r="AN34" s="848"/>
      <c r="AO34" s="848"/>
      <c r="AP34" s="848"/>
      <c r="AQ34" s="848"/>
      <c r="AR34" s="848"/>
      <c r="AS34" s="848"/>
      <c r="AT34" s="848"/>
      <c r="AU34" s="848"/>
      <c r="AV34" s="848"/>
      <c r="AW34" s="848"/>
      <c r="AX34" s="848"/>
      <c r="AY34" s="848"/>
      <c r="AZ34" s="848"/>
      <c r="BA34" s="360"/>
    </row>
    <row r="35" spans="1:53" ht="210" x14ac:dyDescent="0.25">
      <c r="A35" s="851" t="s">
        <v>438</v>
      </c>
      <c r="B35" s="851" t="s">
        <v>1423</v>
      </c>
      <c r="C35" s="944"/>
      <c r="D35" s="944"/>
      <c r="E35" s="944"/>
      <c r="F35" s="851" t="s">
        <v>3527</v>
      </c>
      <c r="G35" s="944"/>
      <c r="H35" s="849" t="s">
        <v>3548</v>
      </c>
      <c r="I35" s="847" t="s">
        <v>3549</v>
      </c>
      <c r="J35" s="849">
        <v>0</v>
      </c>
      <c r="K35" s="849" t="s">
        <v>526</v>
      </c>
      <c r="L35" s="443">
        <v>1</v>
      </c>
      <c r="M35" s="881">
        <v>0.3</v>
      </c>
      <c r="N35" s="849" t="s">
        <v>3549</v>
      </c>
      <c r="O35" s="500">
        <v>0.1</v>
      </c>
      <c r="P35" s="873">
        <v>12720</v>
      </c>
      <c r="Q35" s="353">
        <v>50000</v>
      </c>
      <c r="R35" s="353"/>
      <c r="S35" s="353"/>
      <c r="T35" s="353"/>
      <c r="U35" s="353"/>
      <c r="V35" s="353"/>
      <c r="W35" s="353"/>
      <c r="X35" s="353"/>
      <c r="Y35" s="353"/>
      <c r="Z35" s="353"/>
      <c r="AA35" s="353"/>
      <c r="AB35" s="353"/>
      <c r="AC35" s="353"/>
      <c r="AD35" s="353"/>
      <c r="AE35" s="353"/>
      <c r="AF35" s="353"/>
      <c r="AG35" s="656" t="s">
        <v>3531</v>
      </c>
      <c r="AH35" s="849" t="s">
        <v>3532</v>
      </c>
      <c r="AI35" s="848" t="s">
        <v>3726</v>
      </c>
      <c r="AJ35" s="848"/>
      <c r="AK35" s="848"/>
      <c r="AL35" s="848"/>
      <c r="AM35" s="848"/>
      <c r="AN35" s="848"/>
      <c r="AO35" s="848"/>
      <c r="AP35" s="848"/>
      <c r="AQ35" s="848"/>
      <c r="AR35" s="848"/>
      <c r="AS35" s="848"/>
      <c r="AT35" s="848"/>
      <c r="AU35" s="848"/>
      <c r="AV35" s="848"/>
      <c r="AW35" s="848"/>
      <c r="AX35" s="848"/>
      <c r="AY35" s="848"/>
      <c r="AZ35" s="848"/>
      <c r="BA35" s="360"/>
    </row>
    <row r="36" spans="1:53" ht="195" x14ac:dyDescent="0.25">
      <c r="A36" s="851" t="s">
        <v>438</v>
      </c>
      <c r="B36" s="851" t="s">
        <v>1423</v>
      </c>
      <c r="C36" s="944"/>
      <c r="D36" s="944"/>
      <c r="E36" s="944"/>
      <c r="F36" s="851" t="s">
        <v>3527</v>
      </c>
      <c r="G36" s="944"/>
      <c r="H36" s="849" t="s">
        <v>3550</v>
      </c>
      <c r="I36" s="847" t="s">
        <v>3551</v>
      </c>
      <c r="J36" s="849" t="s">
        <v>1399</v>
      </c>
      <c r="K36" s="849" t="s">
        <v>526</v>
      </c>
      <c r="L36" s="853">
        <v>1000</v>
      </c>
      <c r="M36" s="882">
        <v>0</v>
      </c>
      <c r="N36" s="849" t="s">
        <v>3551</v>
      </c>
      <c r="O36" s="500">
        <v>0</v>
      </c>
      <c r="P36" s="873">
        <v>21650</v>
      </c>
      <c r="Q36" s="353">
        <v>0</v>
      </c>
      <c r="R36" s="353"/>
      <c r="S36" s="353"/>
      <c r="T36" s="353"/>
      <c r="U36" s="353"/>
      <c r="V36" s="353"/>
      <c r="W36" s="353"/>
      <c r="X36" s="353"/>
      <c r="Y36" s="353"/>
      <c r="Z36" s="353"/>
      <c r="AA36" s="353"/>
      <c r="AB36" s="353"/>
      <c r="AC36" s="353"/>
      <c r="AD36" s="353"/>
      <c r="AE36" s="353"/>
      <c r="AF36" s="353"/>
      <c r="AG36" s="656" t="s">
        <v>3531</v>
      </c>
      <c r="AH36" s="849" t="s">
        <v>3532</v>
      </c>
      <c r="AI36" s="851" t="s">
        <v>3723</v>
      </c>
      <c r="AJ36" s="848"/>
      <c r="AK36" s="848"/>
      <c r="AL36" s="848"/>
      <c r="AM36" s="848"/>
      <c r="AN36" s="848"/>
      <c r="AO36" s="848"/>
      <c r="AP36" s="848"/>
      <c r="AQ36" s="848"/>
      <c r="AR36" s="848"/>
      <c r="AS36" s="848"/>
      <c r="AT36" s="848"/>
      <c r="AU36" s="848"/>
      <c r="AV36" s="848"/>
      <c r="AW36" s="848"/>
      <c r="AX36" s="848"/>
      <c r="AY36" s="848"/>
      <c r="AZ36" s="848"/>
      <c r="BA36" s="360" t="s">
        <v>3552</v>
      </c>
    </row>
    <row r="37" spans="1:53" ht="105" x14ac:dyDescent="0.25">
      <c r="A37" s="851" t="s">
        <v>438</v>
      </c>
      <c r="B37" s="851" t="s">
        <v>1423</v>
      </c>
      <c r="C37" s="944"/>
      <c r="D37" s="944"/>
      <c r="E37" s="944"/>
      <c r="F37" s="851" t="s">
        <v>3527</v>
      </c>
      <c r="G37" s="944"/>
      <c r="H37" s="849" t="s">
        <v>3553</v>
      </c>
      <c r="I37" s="847" t="s">
        <v>3554</v>
      </c>
      <c r="J37" s="849">
        <v>0</v>
      </c>
      <c r="K37" s="849" t="s">
        <v>526</v>
      </c>
      <c r="L37" s="849">
        <v>1</v>
      </c>
      <c r="M37" s="882">
        <v>0</v>
      </c>
      <c r="N37" s="849" t="s">
        <v>3554</v>
      </c>
      <c r="O37" s="1103">
        <v>0.126</v>
      </c>
      <c r="P37" s="873">
        <v>1399800</v>
      </c>
      <c r="Q37" s="353">
        <v>0</v>
      </c>
      <c r="R37" s="353"/>
      <c r="S37" s="353"/>
      <c r="T37" s="353"/>
      <c r="U37" s="353"/>
      <c r="V37" s="353"/>
      <c r="W37" s="353"/>
      <c r="X37" s="353"/>
      <c r="Y37" s="873">
        <v>1399800</v>
      </c>
      <c r="Z37" s="353"/>
      <c r="AA37" s="353"/>
      <c r="AB37" s="353"/>
      <c r="AC37" s="353"/>
      <c r="AD37" s="353"/>
      <c r="AE37" s="353"/>
      <c r="AF37" s="353"/>
      <c r="AG37" s="656" t="s">
        <v>3531</v>
      </c>
      <c r="AH37" s="849" t="s">
        <v>3532</v>
      </c>
      <c r="AI37" s="851" t="s">
        <v>3723</v>
      </c>
      <c r="AJ37" s="848"/>
      <c r="AK37" s="848"/>
      <c r="AL37" s="848"/>
      <c r="AM37" s="848"/>
      <c r="AN37" s="848"/>
      <c r="AO37" s="848"/>
      <c r="AP37" s="848"/>
      <c r="AQ37" s="848"/>
      <c r="AR37" s="848"/>
      <c r="AS37" s="848"/>
      <c r="AT37" s="848"/>
      <c r="AU37" s="848"/>
      <c r="AV37" s="848"/>
      <c r="AW37" s="848"/>
      <c r="AX37" s="848"/>
      <c r="AY37" s="848"/>
      <c r="AZ37" s="848"/>
      <c r="BA37" s="360"/>
    </row>
    <row r="38" spans="1:53" ht="210" x14ac:dyDescent="0.25">
      <c r="A38" s="851" t="s">
        <v>438</v>
      </c>
      <c r="B38" s="851" t="s">
        <v>1423</v>
      </c>
      <c r="C38" s="944"/>
      <c r="D38" s="944"/>
      <c r="E38" s="944"/>
      <c r="F38" s="851" t="s">
        <v>3527</v>
      </c>
      <c r="G38" s="944"/>
      <c r="H38" s="849" t="s">
        <v>3555</v>
      </c>
      <c r="I38" s="847" t="s">
        <v>3556</v>
      </c>
      <c r="J38" s="849">
        <v>0</v>
      </c>
      <c r="K38" s="849" t="s">
        <v>526</v>
      </c>
      <c r="L38" s="443">
        <v>0.8</v>
      </c>
      <c r="M38" s="878">
        <v>0.1</v>
      </c>
      <c r="N38" s="849" t="s">
        <v>3556</v>
      </c>
      <c r="O38" s="500">
        <v>0.1</v>
      </c>
      <c r="P38" s="873">
        <v>0</v>
      </c>
      <c r="Q38" s="353">
        <v>7500</v>
      </c>
      <c r="R38" s="353"/>
      <c r="S38" s="353"/>
      <c r="T38" s="353"/>
      <c r="U38" s="353"/>
      <c r="V38" s="353"/>
      <c r="W38" s="353"/>
      <c r="X38" s="353"/>
      <c r="Y38" s="353"/>
      <c r="Z38" s="353"/>
      <c r="AA38" s="353"/>
      <c r="AB38" s="353"/>
      <c r="AC38" s="353"/>
      <c r="AD38" s="353"/>
      <c r="AE38" s="353"/>
      <c r="AF38" s="353"/>
      <c r="AG38" s="656" t="s">
        <v>3531</v>
      </c>
      <c r="AH38" s="849" t="s">
        <v>3532</v>
      </c>
      <c r="AI38" s="851" t="s">
        <v>3723</v>
      </c>
      <c r="AJ38" s="848"/>
      <c r="AK38" s="848"/>
      <c r="AL38" s="848"/>
      <c r="AM38" s="848"/>
      <c r="AN38" s="848"/>
      <c r="AO38" s="848"/>
      <c r="AP38" s="848"/>
      <c r="AQ38" s="848"/>
      <c r="AR38" s="848"/>
      <c r="AS38" s="848"/>
      <c r="AT38" s="848"/>
      <c r="AU38" s="848"/>
      <c r="AV38" s="848"/>
      <c r="AW38" s="848"/>
      <c r="AX38" s="848"/>
      <c r="AY38" s="848"/>
      <c r="AZ38" s="848"/>
      <c r="BA38" s="360"/>
    </row>
    <row r="39" spans="1:53" ht="165" x14ac:dyDescent="0.25">
      <c r="A39" s="851" t="s">
        <v>438</v>
      </c>
      <c r="B39" s="851" t="s">
        <v>1423</v>
      </c>
      <c r="C39" s="944"/>
      <c r="D39" s="944"/>
      <c r="E39" s="944"/>
      <c r="F39" s="851" t="s">
        <v>3527</v>
      </c>
      <c r="G39" s="944"/>
      <c r="H39" s="849" t="s">
        <v>3557</v>
      </c>
      <c r="I39" s="847" t="s">
        <v>3558</v>
      </c>
      <c r="J39" s="849">
        <v>4</v>
      </c>
      <c r="K39" s="849" t="s">
        <v>526</v>
      </c>
      <c r="L39" s="443">
        <v>1</v>
      </c>
      <c r="M39" s="878">
        <v>0.25</v>
      </c>
      <c r="N39" s="849" t="s">
        <v>3558</v>
      </c>
      <c r="O39" s="1103">
        <v>0.125</v>
      </c>
      <c r="P39" s="873">
        <v>11528</v>
      </c>
      <c r="Q39" s="353">
        <v>20000</v>
      </c>
      <c r="R39" s="353"/>
      <c r="S39" s="353"/>
      <c r="T39" s="353"/>
      <c r="U39" s="353"/>
      <c r="V39" s="353"/>
      <c r="W39" s="353"/>
      <c r="X39" s="353"/>
      <c r="Y39" s="353"/>
      <c r="Z39" s="353"/>
      <c r="AA39" s="353"/>
      <c r="AB39" s="353"/>
      <c r="AC39" s="353"/>
      <c r="AD39" s="353"/>
      <c r="AE39" s="353"/>
      <c r="AF39" s="353"/>
      <c r="AG39" s="656" t="s">
        <v>3531</v>
      </c>
      <c r="AH39" s="849" t="s">
        <v>3532</v>
      </c>
      <c r="AI39" s="851" t="s">
        <v>3723</v>
      </c>
      <c r="AJ39" s="848"/>
      <c r="AK39" s="848"/>
      <c r="AL39" s="848"/>
      <c r="AM39" s="848"/>
      <c r="AN39" s="848"/>
      <c r="AO39" s="848"/>
      <c r="AP39" s="848"/>
      <c r="AQ39" s="848"/>
      <c r="AR39" s="848"/>
      <c r="AS39" s="848"/>
      <c r="AT39" s="848"/>
      <c r="AU39" s="848"/>
      <c r="AV39" s="848"/>
      <c r="AW39" s="848"/>
      <c r="AX39" s="848"/>
      <c r="AY39" s="848"/>
      <c r="AZ39" s="848"/>
      <c r="BA39" s="360"/>
    </row>
    <row r="40" spans="1:53" ht="135" x14ac:dyDescent="0.25">
      <c r="A40" s="851" t="s">
        <v>438</v>
      </c>
      <c r="B40" s="851" t="s">
        <v>1423</v>
      </c>
      <c r="C40" s="944"/>
      <c r="D40" s="944"/>
      <c r="E40" s="944"/>
      <c r="F40" s="851" t="s">
        <v>3527</v>
      </c>
      <c r="G40" s="944"/>
      <c r="H40" s="849" t="s">
        <v>3559</v>
      </c>
      <c r="I40" s="847" t="s">
        <v>3560</v>
      </c>
      <c r="J40" s="849">
        <v>2</v>
      </c>
      <c r="K40" s="849" t="s">
        <v>526</v>
      </c>
      <c r="L40" s="443">
        <v>1</v>
      </c>
      <c r="M40" s="878">
        <v>0.25</v>
      </c>
      <c r="N40" s="849" t="s">
        <v>3560</v>
      </c>
      <c r="O40" s="1104">
        <v>6.25E-2</v>
      </c>
      <c r="P40" s="873">
        <v>67720</v>
      </c>
      <c r="Q40" s="353">
        <v>72000</v>
      </c>
      <c r="R40" s="353"/>
      <c r="S40" s="353"/>
      <c r="T40" s="353"/>
      <c r="U40" s="353"/>
      <c r="V40" s="353"/>
      <c r="W40" s="353"/>
      <c r="X40" s="353"/>
      <c r="Y40" s="353"/>
      <c r="Z40" s="353"/>
      <c r="AA40" s="353"/>
      <c r="AB40" s="353"/>
      <c r="AC40" s="353"/>
      <c r="AD40" s="353"/>
      <c r="AE40" s="353"/>
      <c r="AF40" s="353"/>
      <c r="AG40" s="656" t="s">
        <v>3531</v>
      </c>
      <c r="AH40" s="849" t="s">
        <v>3532</v>
      </c>
      <c r="AI40" s="851" t="s">
        <v>3723</v>
      </c>
      <c r="AJ40" s="848"/>
      <c r="AK40" s="848"/>
      <c r="AL40" s="848"/>
      <c r="AM40" s="848"/>
      <c r="AN40" s="848"/>
      <c r="AO40" s="848"/>
      <c r="AP40" s="848"/>
      <c r="AQ40" s="848"/>
      <c r="AR40" s="848"/>
      <c r="AS40" s="848"/>
      <c r="AT40" s="848"/>
      <c r="AU40" s="848"/>
      <c r="AV40" s="848"/>
      <c r="AW40" s="848"/>
      <c r="AX40" s="848"/>
      <c r="AY40" s="848"/>
      <c r="AZ40" s="848"/>
      <c r="BA40" s="360"/>
    </row>
    <row r="41" spans="1:53" ht="135" x14ac:dyDescent="0.25">
      <c r="A41" s="851" t="s">
        <v>438</v>
      </c>
      <c r="B41" s="851" t="s">
        <v>1423</v>
      </c>
      <c r="C41" s="944"/>
      <c r="D41" s="944"/>
      <c r="E41" s="944"/>
      <c r="F41" s="851" t="s">
        <v>3527</v>
      </c>
      <c r="G41" s="944"/>
      <c r="H41" s="849" t="s">
        <v>3561</v>
      </c>
      <c r="I41" s="847" t="s">
        <v>3562</v>
      </c>
      <c r="J41" s="849">
        <v>8</v>
      </c>
      <c r="K41" s="849" t="s">
        <v>526</v>
      </c>
      <c r="L41" s="443">
        <v>1</v>
      </c>
      <c r="M41" s="878">
        <v>0.25</v>
      </c>
      <c r="N41" s="849" t="s">
        <v>3562</v>
      </c>
      <c r="O41" s="500">
        <v>0.1</v>
      </c>
      <c r="P41" s="873">
        <v>50432</v>
      </c>
      <c r="Q41" s="353">
        <v>16000</v>
      </c>
      <c r="R41" s="353"/>
      <c r="S41" s="353"/>
      <c r="T41" s="353"/>
      <c r="U41" s="353"/>
      <c r="V41" s="353"/>
      <c r="W41" s="353"/>
      <c r="X41" s="353"/>
      <c r="Y41" s="353"/>
      <c r="Z41" s="353"/>
      <c r="AA41" s="353"/>
      <c r="AB41" s="353"/>
      <c r="AC41" s="353"/>
      <c r="AD41" s="353"/>
      <c r="AE41" s="353"/>
      <c r="AF41" s="353"/>
      <c r="AG41" s="656" t="s">
        <v>3531</v>
      </c>
      <c r="AH41" s="849" t="s">
        <v>3532</v>
      </c>
      <c r="AI41" s="851" t="s">
        <v>3723</v>
      </c>
      <c r="AJ41" s="848"/>
      <c r="AK41" s="848"/>
      <c r="AL41" s="848"/>
      <c r="AM41" s="848"/>
      <c r="AN41" s="848"/>
      <c r="AO41" s="848"/>
      <c r="AP41" s="848"/>
      <c r="AQ41" s="848"/>
      <c r="AR41" s="848"/>
      <c r="AS41" s="848"/>
      <c r="AT41" s="848"/>
      <c r="AU41" s="848"/>
      <c r="AV41" s="848"/>
      <c r="AW41" s="848"/>
      <c r="AX41" s="848"/>
      <c r="AY41" s="848"/>
      <c r="AZ41" s="848"/>
      <c r="BA41" s="360"/>
    </row>
    <row r="42" spans="1:53" ht="105" x14ac:dyDescent="0.25">
      <c r="A42" s="851" t="s">
        <v>438</v>
      </c>
      <c r="B42" s="851" t="s">
        <v>1423</v>
      </c>
      <c r="C42" s="944"/>
      <c r="D42" s="944"/>
      <c r="E42" s="944"/>
      <c r="F42" s="851" t="s">
        <v>3527</v>
      </c>
      <c r="G42" s="944"/>
      <c r="H42" s="849" t="s">
        <v>3563</v>
      </c>
      <c r="I42" s="847" t="s">
        <v>3564</v>
      </c>
      <c r="J42" s="849">
        <v>1</v>
      </c>
      <c r="K42" s="849" t="s">
        <v>526</v>
      </c>
      <c r="L42" s="443">
        <v>1</v>
      </c>
      <c r="M42" s="871">
        <v>0</v>
      </c>
      <c r="N42" s="849" t="s">
        <v>3564</v>
      </c>
      <c r="O42" s="500">
        <v>0</v>
      </c>
      <c r="P42" s="873">
        <v>0</v>
      </c>
      <c r="Q42" s="353">
        <v>0</v>
      </c>
      <c r="R42" s="353"/>
      <c r="S42" s="353"/>
      <c r="T42" s="353"/>
      <c r="U42" s="353"/>
      <c r="V42" s="353"/>
      <c r="W42" s="353"/>
      <c r="X42" s="353"/>
      <c r="Y42" s="353"/>
      <c r="Z42" s="353"/>
      <c r="AA42" s="353"/>
      <c r="AB42" s="353"/>
      <c r="AC42" s="353"/>
      <c r="AD42" s="353"/>
      <c r="AE42" s="353"/>
      <c r="AF42" s="353"/>
      <c r="AG42" s="656" t="s">
        <v>3531</v>
      </c>
      <c r="AH42" s="849" t="s">
        <v>3532</v>
      </c>
      <c r="AI42" s="851" t="s">
        <v>3723</v>
      </c>
      <c r="AJ42" s="848"/>
      <c r="AK42" s="848"/>
      <c r="AL42" s="848"/>
      <c r="AM42" s="848"/>
      <c r="AN42" s="848"/>
      <c r="AO42" s="848"/>
      <c r="AP42" s="848"/>
      <c r="AQ42" s="848"/>
      <c r="AR42" s="848"/>
      <c r="AS42" s="848"/>
      <c r="AT42" s="848"/>
      <c r="AU42" s="848"/>
      <c r="AV42" s="848"/>
      <c r="AW42" s="848"/>
      <c r="AX42" s="848"/>
      <c r="AY42" s="848"/>
      <c r="AZ42" s="848"/>
      <c r="BA42" s="360" t="s">
        <v>3565</v>
      </c>
    </row>
    <row r="43" spans="1:53" ht="150" x14ac:dyDescent="0.25">
      <c r="A43" s="851" t="s">
        <v>438</v>
      </c>
      <c r="B43" s="851" t="s">
        <v>1423</v>
      </c>
      <c r="C43" s="944"/>
      <c r="D43" s="944"/>
      <c r="E43" s="944"/>
      <c r="F43" s="851" t="s">
        <v>3527</v>
      </c>
      <c r="G43" s="944"/>
      <c r="H43" s="849" t="s">
        <v>3566</v>
      </c>
      <c r="I43" s="847" t="s">
        <v>3567</v>
      </c>
      <c r="J43" s="849">
        <v>0</v>
      </c>
      <c r="K43" s="849" t="s">
        <v>526</v>
      </c>
      <c r="L43" s="443">
        <v>1</v>
      </c>
      <c r="M43" s="849">
        <v>0</v>
      </c>
      <c r="N43" s="849" t="s">
        <v>3567</v>
      </c>
      <c r="O43" s="500">
        <v>0</v>
      </c>
      <c r="P43" s="873">
        <v>8650</v>
      </c>
      <c r="Q43" s="353">
        <v>0</v>
      </c>
      <c r="R43" s="353"/>
      <c r="S43" s="353"/>
      <c r="T43" s="353"/>
      <c r="U43" s="353"/>
      <c r="V43" s="353"/>
      <c r="W43" s="353"/>
      <c r="X43" s="353"/>
      <c r="Y43" s="353"/>
      <c r="Z43" s="353"/>
      <c r="AA43" s="353"/>
      <c r="AB43" s="353"/>
      <c r="AC43" s="353"/>
      <c r="AD43" s="353"/>
      <c r="AE43" s="353"/>
      <c r="AF43" s="353"/>
      <c r="AG43" s="656" t="s">
        <v>3531</v>
      </c>
      <c r="AH43" s="849" t="s">
        <v>3532</v>
      </c>
      <c r="AI43" s="851" t="s">
        <v>3723</v>
      </c>
      <c r="AJ43" s="848"/>
      <c r="AK43" s="848"/>
      <c r="AL43" s="848"/>
      <c r="AM43" s="848"/>
      <c r="AN43" s="848"/>
      <c r="AO43" s="848"/>
      <c r="AP43" s="848"/>
      <c r="AQ43" s="848"/>
      <c r="AR43" s="848"/>
      <c r="AS43" s="848"/>
      <c r="AT43" s="848"/>
      <c r="AU43" s="848"/>
      <c r="AV43" s="848"/>
      <c r="AW43" s="848"/>
      <c r="AX43" s="848"/>
      <c r="AY43" s="848"/>
      <c r="AZ43" s="848"/>
      <c r="BA43" s="360" t="s">
        <v>3568</v>
      </c>
    </row>
    <row r="44" spans="1:53" ht="90" x14ac:dyDescent="0.25">
      <c r="A44" s="851" t="s">
        <v>438</v>
      </c>
      <c r="B44" s="851" t="s">
        <v>1423</v>
      </c>
      <c r="C44" s="944"/>
      <c r="D44" s="944"/>
      <c r="E44" s="944"/>
      <c r="F44" s="851" t="s">
        <v>3527</v>
      </c>
      <c r="G44" s="944"/>
      <c r="H44" s="849" t="s">
        <v>3569</v>
      </c>
      <c r="I44" s="847" t="s">
        <v>3570</v>
      </c>
      <c r="J44" s="849">
        <v>1</v>
      </c>
      <c r="K44" s="849" t="s">
        <v>526</v>
      </c>
      <c r="L44" s="443">
        <v>0.8</v>
      </c>
      <c r="M44" s="878">
        <v>0.1</v>
      </c>
      <c r="N44" s="849" t="s">
        <v>3570</v>
      </c>
      <c r="O44" s="1104">
        <v>1.1999999999999999E-3</v>
      </c>
      <c r="P44" s="873">
        <v>125400</v>
      </c>
      <c r="Q44" s="353">
        <v>25000</v>
      </c>
      <c r="R44" s="353"/>
      <c r="S44" s="353"/>
      <c r="T44" s="353"/>
      <c r="U44" s="353"/>
      <c r="V44" s="353"/>
      <c r="W44" s="353"/>
      <c r="X44" s="353"/>
      <c r="Y44" s="353"/>
      <c r="Z44" s="353"/>
      <c r="AA44" s="353"/>
      <c r="AB44" s="353"/>
      <c r="AC44" s="353"/>
      <c r="AD44" s="353"/>
      <c r="AE44" s="353"/>
      <c r="AF44" s="353"/>
      <c r="AG44" s="656" t="s">
        <v>3531</v>
      </c>
      <c r="AH44" s="849" t="s">
        <v>3532</v>
      </c>
      <c r="AI44" s="851" t="s">
        <v>3723</v>
      </c>
      <c r="AJ44" s="848"/>
      <c r="AK44" s="848"/>
      <c r="AL44" s="848"/>
      <c r="AM44" s="848"/>
      <c r="AN44" s="848"/>
      <c r="AO44" s="848"/>
      <c r="AP44" s="848"/>
      <c r="AQ44" s="848"/>
      <c r="AR44" s="848"/>
      <c r="AS44" s="848"/>
      <c r="AT44" s="848"/>
      <c r="AU44" s="848"/>
      <c r="AV44" s="848"/>
      <c r="AW44" s="848"/>
      <c r="AX44" s="848"/>
      <c r="AY44" s="848"/>
      <c r="AZ44" s="848"/>
      <c r="BA44" s="360"/>
    </row>
    <row r="45" spans="1:53" ht="120.75" thickBot="1" x14ac:dyDescent="0.3">
      <c r="A45" s="851" t="s">
        <v>438</v>
      </c>
      <c r="B45" s="851" t="s">
        <v>1423</v>
      </c>
      <c r="C45" s="944"/>
      <c r="D45" s="944"/>
      <c r="E45" s="944"/>
      <c r="F45" s="851" t="s">
        <v>3527</v>
      </c>
      <c r="G45" s="944"/>
      <c r="H45" s="849" t="s">
        <v>3571</v>
      </c>
      <c r="I45" s="847" t="s">
        <v>3572</v>
      </c>
      <c r="J45" s="849">
        <v>1</v>
      </c>
      <c r="K45" s="849" t="s">
        <v>526</v>
      </c>
      <c r="L45" s="849">
        <v>1</v>
      </c>
      <c r="M45" s="883">
        <v>0.25</v>
      </c>
      <c r="N45" s="849" t="s">
        <v>3572</v>
      </c>
      <c r="O45" s="1105">
        <v>1.25E-3</v>
      </c>
      <c r="P45" s="873">
        <v>125400</v>
      </c>
      <c r="Q45" s="353">
        <v>183800</v>
      </c>
      <c r="R45" s="353"/>
      <c r="S45" s="353"/>
      <c r="T45" s="353"/>
      <c r="U45" s="353"/>
      <c r="V45" s="353"/>
      <c r="W45" s="353"/>
      <c r="X45" s="353"/>
      <c r="Y45" s="353"/>
      <c r="Z45" s="353"/>
      <c r="AA45" s="353"/>
      <c r="AB45" s="353"/>
      <c r="AC45" s="353"/>
      <c r="AD45" s="353"/>
      <c r="AE45" s="353"/>
      <c r="AF45" s="353"/>
      <c r="AG45" s="656" t="s">
        <v>3531</v>
      </c>
      <c r="AH45" s="849" t="s">
        <v>3532</v>
      </c>
      <c r="AI45" s="851" t="s">
        <v>3723</v>
      </c>
      <c r="AJ45" s="848"/>
      <c r="AK45" s="848"/>
      <c r="AL45" s="848"/>
      <c r="AM45" s="848"/>
      <c r="AN45" s="848"/>
      <c r="AO45" s="848"/>
      <c r="AP45" s="848"/>
      <c r="AQ45" s="848"/>
      <c r="AR45" s="848"/>
      <c r="AS45" s="848"/>
      <c r="AT45" s="848"/>
      <c r="AU45" s="848"/>
      <c r="AV45" s="848"/>
      <c r="AW45" s="848"/>
      <c r="AX45" s="848"/>
      <c r="AY45" s="848"/>
      <c r="AZ45" s="848"/>
      <c r="BA45" s="360"/>
    </row>
    <row r="46" spans="1:53" ht="180.75" thickBot="1" x14ac:dyDescent="0.3">
      <c r="A46" s="851" t="s">
        <v>438</v>
      </c>
      <c r="B46" s="851" t="s">
        <v>1423</v>
      </c>
      <c r="C46" s="944" t="s">
        <v>3573</v>
      </c>
      <c r="D46" s="944" t="s">
        <v>3574</v>
      </c>
      <c r="E46" s="944">
        <v>0</v>
      </c>
      <c r="F46" s="851" t="s">
        <v>3575</v>
      </c>
      <c r="G46" s="944" t="s">
        <v>3576</v>
      </c>
      <c r="H46" s="849" t="s">
        <v>3577</v>
      </c>
      <c r="I46" s="847" t="s">
        <v>3578</v>
      </c>
      <c r="J46" s="521" t="s">
        <v>3579</v>
      </c>
      <c r="K46" s="849" t="s">
        <v>526</v>
      </c>
      <c r="L46" s="849">
        <v>7</v>
      </c>
      <c r="M46" s="849">
        <v>1</v>
      </c>
      <c r="N46" s="849" t="s">
        <v>3578</v>
      </c>
      <c r="O46" s="874">
        <v>47000</v>
      </c>
      <c r="P46" s="873">
        <f>SUBTOTAL(9,Q46:AF46)</f>
        <v>40000</v>
      </c>
      <c r="Q46" s="353">
        <v>40000</v>
      </c>
      <c r="R46" s="353"/>
      <c r="S46" s="353"/>
      <c r="T46" s="353"/>
      <c r="U46" s="353"/>
      <c r="V46" s="353"/>
      <c r="W46" s="353"/>
      <c r="X46" s="353"/>
      <c r="Y46" s="353"/>
      <c r="Z46" s="353"/>
      <c r="AA46" s="353"/>
      <c r="AB46" s="353"/>
      <c r="AC46" s="353"/>
      <c r="AD46" s="353"/>
      <c r="AE46" s="353"/>
      <c r="AF46" s="353"/>
      <c r="AG46" s="1106" t="s">
        <v>3580</v>
      </c>
      <c r="AH46" s="849" t="s">
        <v>3581</v>
      </c>
      <c r="AI46" s="849" t="s">
        <v>3582</v>
      </c>
      <c r="AJ46" s="849" t="s">
        <v>3583</v>
      </c>
      <c r="AK46" s="849" t="s">
        <v>3584</v>
      </c>
      <c r="AL46" s="874">
        <v>60000</v>
      </c>
      <c r="AM46" s="849" t="s">
        <v>3585</v>
      </c>
      <c r="AN46" s="850" t="s">
        <v>554</v>
      </c>
      <c r="AO46" s="850" t="s">
        <v>554</v>
      </c>
      <c r="AP46" s="850" t="s">
        <v>554</v>
      </c>
      <c r="AQ46" s="850" t="s">
        <v>554</v>
      </c>
      <c r="AR46" s="850" t="s">
        <v>554</v>
      </c>
      <c r="AS46" s="850" t="s">
        <v>554</v>
      </c>
      <c r="AT46" s="850" t="s">
        <v>554</v>
      </c>
      <c r="AU46" s="850" t="s">
        <v>554</v>
      </c>
      <c r="AV46" s="850" t="s">
        <v>554</v>
      </c>
      <c r="AW46" s="850" t="s">
        <v>554</v>
      </c>
      <c r="AX46" s="850" t="s">
        <v>554</v>
      </c>
      <c r="AY46" s="850" t="s">
        <v>554</v>
      </c>
      <c r="AZ46" s="849" t="s">
        <v>3586</v>
      </c>
      <c r="BA46" s="1107" t="s">
        <v>3729</v>
      </c>
    </row>
    <row r="47" spans="1:53" ht="255" x14ac:dyDescent="0.25">
      <c r="A47" s="851" t="s">
        <v>438</v>
      </c>
      <c r="B47" s="851" t="s">
        <v>1423</v>
      </c>
      <c r="C47" s="944"/>
      <c r="D47" s="944"/>
      <c r="E47" s="944"/>
      <c r="F47" s="851" t="s">
        <v>3575</v>
      </c>
      <c r="G47" s="944"/>
      <c r="H47" s="849" t="s">
        <v>3587</v>
      </c>
      <c r="I47" s="847" t="s">
        <v>3588</v>
      </c>
      <c r="J47" s="849" t="s">
        <v>3589</v>
      </c>
      <c r="K47" s="849" t="s">
        <v>526</v>
      </c>
      <c r="L47" s="849">
        <v>2</v>
      </c>
      <c r="M47" s="885">
        <v>0.5</v>
      </c>
      <c r="N47" s="849" t="s">
        <v>3588</v>
      </c>
      <c r="O47" s="874">
        <v>35000</v>
      </c>
      <c r="P47" s="873">
        <f t="shared" ref="P47:P52" si="1">SUBTOTAL(9,Q47:AF47)</f>
        <v>25000</v>
      </c>
      <c r="Q47" s="353">
        <v>25000</v>
      </c>
      <c r="R47" s="353"/>
      <c r="S47" s="353"/>
      <c r="T47" s="353"/>
      <c r="U47" s="353"/>
      <c r="V47" s="353"/>
      <c r="W47" s="353"/>
      <c r="X47" s="353"/>
      <c r="Y47" s="353"/>
      <c r="Z47" s="353"/>
      <c r="AA47" s="353"/>
      <c r="AB47" s="353"/>
      <c r="AC47" s="353"/>
      <c r="AD47" s="353"/>
      <c r="AE47" s="353"/>
      <c r="AF47" s="353"/>
      <c r="AG47" s="1106" t="s">
        <v>3590</v>
      </c>
      <c r="AH47" s="849" t="s">
        <v>3591</v>
      </c>
      <c r="AI47" s="849" t="s">
        <v>3592</v>
      </c>
      <c r="AJ47" s="849" t="s">
        <v>874</v>
      </c>
      <c r="AK47" s="849" t="s">
        <v>3593</v>
      </c>
      <c r="AL47" s="874">
        <v>40000</v>
      </c>
      <c r="AM47" s="849" t="s">
        <v>3594</v>
      </c>
      <c r="AN47" s="850" t="s">
        <v>554</v>
      </c>
      <c r="AO47" s="850" t="s">
        <v>554</v>
      </c>
      <c r="AP47" s="850" t="s">
        <v>554</v>
      </c>
      <c r="AQ47" s="850" t="s">
        <v>554</v>
      </c>
      <c r="AR47" s="850" t="s">
        <v>554</v>
      </c>
      <c r="AS47" s="850" t="s">
        <v>554</v>
      </c>
      <c r="AT47" s="850" t="s">
        <v>554</v>
      </c>
      <c r="AU47" s="850" t="s">
        <v>554</v>
      </c>
      <c r="AV47" s="850" t="s">
        <v>554</v>
      </c>
      <c r="AW47" s="850" t="s">
        <v>554</v>
      </c>
      <c r="AX47" s="850" t="s">
        <v>554</v>
      </c>
      <c r="AY47" s="850" t="s">
        <v>554</v>
      </c>
      <c r="AZ47" s="849" t="s">
        <v>3586</v>
      </c>
      <c r="BA47" s="848"/>
    </row>
    <row r="48" spans="1:53" ht="150" x14ac:dyDescent="0.25">
      <c r="A48" s="851" t="s">
        <v>438</v>
      </c>
      <c r="B48" s="851" t="s">
        <v>1423</v>
      </c>
      <c r="C48" s="944"/>
      <c r="D48" s="944"/>
      <c r="E48" s="944"/>
      <c r="F48" s="851" t="s">
        <v>3575</v>
      </c>
      <c r="G48" s="944"/>
      <c r="H48" s="849" t="s">
        <v>3595</v>
      </c>
      <c r="I48" s="847" t="s">
        <v>3596</v>
      </c>
      <c r="J48" s="849" t="s">
        <v>3597</v>
      </c>
      <c r="K48" s="849" t="s">
        <v>526</v>
      </c>
      <c r="L48" s="443">
        <v>1</v>
      </c>
      <c r="M48" s="886">
        <v>2</v>
      </c>
      <c r="N48" s="849" t="s">
        <v>3596</v>
      </c>
      <c r="O48" s="874">
        <v>160000</v>
      </c>
      <c r="P48" s="873">
        <f t="shared" si="1"/>
        <v>50000</v>
      </c>
      <c r="Q48" s="353">
        <v>50000</v>
      </c>
      <c r="R48" s="353"/>
      <c r="S48" s="353"/>
      <c r="T48" s="353"/>
      <c r="U48" s="353"/>
      <c r="V48" s="353"/>
      <c r="W48" s="353"/>
      <c r="X48" s="353"/>
      <c r="Y48" s="353"/>
      <c r="Z48" s="353"/>
      <c r="AA48" s="353"/>
      <c r="AB48" s="353"/>
      <c r="AC48" s="353"/>
      <c r="AD48" s="353"/>
      <c r="AE48" s="353"/>
      <c r="AF48" s="353"/>
      <c r="AG48" s="1106" t="s">
        <v>3590</v>
      </c>
      <c r="AH48" s="849" t="s">
        <v>3591</v>
      </c>
      <c r="AI48" s="849">
        <v>10</v>
      </c>
      <c r="AJ48" s="849" t="s">
        <v>3598</v>
      </c>
      <c r="AK48" s="849" t="s">
        <v>3599</v>
      </c>
      <c r="AL48" s="874">
        <v>60000</v>
      </c>
      <c r="AM48" s="849" t="s">
        <v>3600</v>
      </c>
      <c r="AN48" s="850" t="s">
        <v>554</v>
      </c>
      <c r="AO48" s="850" t="s">
        <v>554</v>
      </c>
      <c r="AP48" s="850" t="s">
        <v>554</v>
      </c>
      <c r="AQ48" s="850" t="s">
        <v>554</v>
      </c>
      <c r="AR48" s="850" t="s">
        <v>554</v>
      </c>
      <c r="AS48" s="850" t="s">
        <v>554</v>
      </c>
      <c r="AT48" s="850" t="s">
        <v>554</v>
      </c>
      <c r="AU48" s="850" t="s">
        <v>554</v>
      </c>
      <c r="AV48" s="850" t="s">
        <v>554</v>
      </c>
      <c r="AW48" s="850" t="s">
        <v>554</v>
      </c>
      <c r="AX48" s="850" t="s">
        <v>554</v>
      </c>
      <c r="AY48" s="850" t="s">
        <v>554</v>
      </c>
      <c r="AZ48" s="851" t="s">
        <v>3586</v>
      </c>
      <c r="BA48" s="848"/>
    </row>
    <row r="49" spans="1:53" ht="300" x14ac:dyDescent="0.25">
      <c r="A49" s="851" t="s">
        <v>438</v>
      </c>
      <c r="B49" s="851" t="s">
        <v>1423</v>
      </c>
      <c r="C49" s="944"/>
      <c r="D49" s="944"/>
      <c r="E49" s="944"/>
      <c r="F49" s="851" t="s">
        <v>3575</v>
      </c>
      <c r="G49" s="944"/>
      <c r="H49" s="849" t="s">
        <v>3601</v>
      </c>
      <c r="I49" s="1099" t="s">
        <v>3602</v>
      </c>
      <c r="J49" s="849">
        <v>0</v>
      </c>
      <c r="K49" s="849" t="s">
        <v>527</v>
      </c>
      <c r="L49" s="849">
        <v>1</v>
      </c>
      <c r="M49" s="886">
        <v>1</v>
      </c>
      <c r="N49" s="887" t="s">
        <v>3602</v>
      </c>
      <c r="O49" s="874">
        <v>22500</v>
      </c>
      <c r="P49" s="873">
        <f t="shared" si="1"/>
        <v>7500</v>
      </c>
      <c r="Q49" s="353">
        <v>7500</v>
      </c>
      <c r="R49" s="353"/>
      <c r="S49" s="353"/>
      <c r="T49" s="353"/>
      <c r="U49" s="353"/>
      <c r="V49" s="353"/>
      <c r="W49" s="353"/>
      <c r="X49" s="353"/>
      <c r="Y49" s="353"/>
      <c r="Z49" s="353"/>
      <c r="AA49" s="353"/>
      <c r="AB49" s="353"/>
      <c r="AC49" s="353"/>
      <c r="AD49" s="353"/>
      <c r="AE49" s="353"/>
      <c r="AF49" s="353"/>
      <c r="AG49" s="1106" t="s">
        <v>3590</v>
      </c>
      <c r="AH49" s="849" t="s">
        <v>3591</v>
      </c>
      <c r="AI49" s="849" t="s">
        <v>3603</v>
      </c>
      <c r="AJ49" s="849" t="s">
        <v>1976</v>
      </c>
      <c r="AK49" s="849" t="s">
        <v>3604</v>
      </c>
      <c r="AL49" s="874">
        <v>80000</v>
      </c>
      <c r="AM49" s="849" t="s">
        <v>3605</v>
      </c>
      <c r="AN49" s="850" t="s">
        <v>554</v>
      </c>
      <c r="AO49" s="850" t="s">
        <v>554</v>
      </c>
      <c r="AP49" s="850" t="s">
        <v>554</v>
      </c>
      <c r="AQ49" s="850" t="s">
        <v>554</v>
      </c>
      <c r="AR49" s="850" t="s">
        <v>554</v>
      </c>
      <c r="AS49" s="850" t="s">
        <v>554</v>
      </c>
      <c r="AT49" s="850" t="s">
        <v>554</v>
      </c>
      <c r="AU49" s="850" t="s">
        <v>554</v>
      </c>
      <c r="AV49" s="850" t="s">
        <v>554</v>
      </c>
      <c r="AW49" s="850" t="s">
        <v>554</v>
      </c>
      <c r="AX49" s="850" t="s">
        <v>554</v>
      </c>
      <c r="AY49" s="850" t="s">
        <v>554</v>
      </c>
      <c r="AZ49" s="851" t="s">
        <v>3606</v>
      </c>
      <c r="BA49" s="848"/>
    </row>
    <row r="50" spans="1:53" ht="210" x14ac:dyDescent="0.25">
      <c r="A50" s="851" t="s">
        <v>438</v>
      </c>
      <c r="B50" s="851" t="s">
        <v>1423</v>
      </c>
      <c r="C50" s="944"/>
      <c r="D50" s="944"/>
      <c r="E50" s="944"/>
      <c r="F50" s="851" t="s">
        <v>3575</v>
      </c>
      <c r="G50" s="944"/>
      <c r="H50" s="849" t="s">
        <v>3607</v>
      </c>
      <c r="I50" s="847" t="s">
        <v>3608</v>
      </c>
      <c r="J50" s="849">
        <v>0</v>
      </c>
      <c r="K50" s="849" t="s">
        <v>526</v>
      </c>
      <c r="L50" s="849">
        <v>22</v>
      </c>
      <c r="M50" s="886">
        <v>8</v>
      </c>
      <c r="N50" s="849" t="s">
        <v>3608</v>
      </c>
      <c r="O50" s="874">
        <v>80000</v>
      </c>
      <c r="P50" s="873">
        <f t="shared" si="1"/>
        <v>200000</v>
      </c>
      <c r="Q50" s="353">
        <v>200000</v>
      </c>
      <c r="R50" s="353"/>
      <c r="S50" s="353"/>
      <c r="T50" s="353"/>
      <c r="U50" s="353"/>
      <c r="V50" s="353"/>
      <c r="W50" s="353"/>
      <c r="X50" s="353"/>
      <c r="Y50" s="353"/>
      <c r="Z50" s="353"/>
      <c r="AA50" s="353"/>
      <c r="AB50" s="353"/>
      <c r="AC50" s="353"/>
      <c r="AD50" s="353"/>
      <c r="AE50" s="353"/>
      <c r="AF50" s="353"/>
      <c r="AG50" s="1106" t="s">
        <v>3590</v>
      </c>
      <c r="AH50" s="849" t="s">
        <v>3609</v>
      </c>
      <c r="AI50" s="849" t="s">
        <v>3610</v>
      </c>
      <c r="AJ50" s="849" t="s">
        <v>3598</v>
      </c>
      <c r="AK50" s="849" t="s">
        <v>3611</v>
      </c>
      <c r="AL50" s="874">
        <v>70000</v>
      </c>
      <c r="AM50" s="849" t="s">
        <v>3612</v>
      </c>
      <c r="AN50" s="850" t="s">
        <v>554</v>
      </c>
      <c r="AO50" s="850" t="s">
        <v>554</v>
      </c>
      <c r="AP50" s="850" t="s">
        <v>554</v>
      </c>
      <c r="AQ50" s="850" t="s">
        <v>554</v>
      </c>
      <c r="AR50" s="850" t="s">
        <v>554</v>
      </c>
      <c r="AS50" s="850" t="s">
        <v>554</v>
      </c>
      <c r="AT50" s="850" t="s">
        <v>554</v>
      </c>
      <c r="AU50" s="850" t="s">
        <v>554</v>
      </c>
      <c r="AV50" s="850" t="s">
        <v>554</v>
      </c>
      <c r="AW50" s="850" t="s">
        <v>554</v>
      </c>
      <c r="AX50" s="850" t="s">
        <v>554</v>
      </c>
      <c r="AY50" s="850" t="s">
        <v>554</v>
      </c>
      <c r="AZ50" s="360" t="s">
        <v>3613</v>
      </c>
      <c r="BA50" s="848"/>
    </row>
    <row r="51" spans="1:53" ht="150" x14ac:dyDescent="0.25">
      <c r="A51" s="851" t="s">
        <v>438</v>
      </c>
      <c r="B51" s="851" t="s">
        <v>1423</v>
      </c>
      <c r="C51" s="944"/>
      <c r="D51" s="944"/>
      <c r="E51" s="944"/>
      <c r="F51" s="851" t="s">
        <v>3575</v>
      </c>
      <c r="G51" s="944"/>
      <c r="H51" s="849" t="s">
        <v>3614</v>
      </c>
      <c r="I51" s="847" t="s">
        <v>3615</v>
      </c>
      <c r="J51" s="849">
        <v>0</v>
      </c>
      <c r="K51" s="849" t="s">
        <v>526</v>
      </c>
      <c r="L51" s="849">
        <v>1</v>
      </c>
      <c r="M51" s="481">
        <v>0.25</v>
      </c>
      <c r="N51" s="849" t="s">
        <v>3615</v>
      </c>
      <c r="O51" s="874">
        <v>61150</v>
      </c>
      <c r="P51" s="873">
        <f t="shared" si="1"/>
        <v>20500</v>
      </c>
      <c r="Q51" s="353">
        <v>20500</v>
      </c>
      <c r="R51" s="353"/>
      <c r="S51" s="353"/>
      <c r="T51" s="353"/>
      <c r="U51" s="353"/>
      <c r="V51" s="353"/>
      <c r="W51" s="353"/>
      <c r="X51" s="353"/>
      <c r="Y51" s="353"/>
      <c r="Z51" s="353"/>
      <c r="AA51" s="353"/>
      <c r="AB51" s="353"/>
      <c r="AC51" s="353"/>
      <c r="AD51" s="353"/>
      <c r="AE51" s="353"/>
      <c r="AF51" s="353"/>
      <c r="AG51" s="1106" t="s">
        <v>3590</v>
      </c>
      <c r="AH51" s="849" t="s">
        <v>3591</v>
      </c>
      <c r="AI51" s="849" t="s">
        <v>3610</v>
      </c>
      <c r="AJ51" s="849" t="s">
        <v>3616</v>
      </c>
      <c r="AK51" s="849" t="s">
        <v>3617</v>
      </c>
      <c r="AL51" s="874">
        <v>90000</v>
      </c>
      <c r="AM51" s="849" t="s">
        <v>3618</v>
      </c>
      <c r="AN51" s="850" t="s">
        <v>554</v>
      </c>
      <c r="AO51" s="850" t="s">
        <v>554</v>
      </c>
      <c r="AP51" s="850" t="s">
        <v>554</v>
      </c>
      <c r="AQ51" s="850" t="s">
        <v>554</v>
      </c>
      <c r="AR51" s="850" t="s">
        <v>554</v>
      </c>
      <c r="AS51" s="850" t="s">
        <v>554</v>
      </c>
      <c r="AT51" s="850" t="s">
        <v>554</v>
      </c>
      <c r="AU51" s="850" t="s">
        <v>554</v>
      </c>
      <c r="AV51" s="850" t="s">
        <v>554</v>
      </c>
      <c r="AW51" s="850" t="s">
        <v>554</v>
      </c>
      <c r="AX51" s="850" t="s">
        <v>554</v>
      </c>
      <c r="AY51" s="850" t="s">
        <v>554</v>
      </c>
      <c r="AZ51" s="849" t="s">
        <v>3586</v>
      </c>
      <c r="BA51" s="848"/>
    </row>
    <row r="52" spans="1:53" ht="315.75" thickBot="1" x14ac:dyDescent="0.3">
      <c r="A52" s="851" t="s">
        <v>438</v>
      </c>
      <c r="B52" s="851" t="s">
        <v>1423</v>
      </c>
      <c r="C52" s="944"/>
      <c r="D52" s="944"/>
      <c r="E52" s="944"/>
      <c r="F52" s="851" t="s">
        <v>3575</v>
      </c>
      <c r="G52" s="944"/>
      <c r="H52" s="851" t="s">
        <v>3619</v>
      </c>
      <c r="I52" s="847" t="s">
        <v>3620</v>
      </c>
      <c r="J52" s="850">
        <v>0</v>
      </c>
      <c r="K52" s="850" t="s">
        <v>526</v>
      </c>
      <c r="L52" s="500">
        <v>0.1</v>
      </c>
      <c r="M52" s="500">
        <v>0.03</v>
      </c>
      <c r="N52" s="849" t="s">
        <v>3620</v>
      </c>
      <c r="O52" s="874">
        <v>46750</v>
      </c>
      <c r="P52" s="873">
        <f t="shared" si="1"/>
        <v>22500</v>
      </c>
      <c r="Q52" s="353">
        <f>75000-52500</f>
        <v>22500</v>
      </c>
      <c r="R52" s="353"/>
      <c r="S52" s="353"/>
      <c r="T52" s="353"/>
      <c r="U52" s="353"/>
      <c r="V52" s="353"/>
      <c r="W52" s="353"/>
      <c r="X52" s="353"/>
      <c r="Y52" s="353"/>
      <c r="Z52" s="353"/>
      <c r="AA52" s="353"/>
      <c r="AB52" s="353"/>
      <c r="AC52" s="353"/>
      <c r="AD52" s="353"/>
      <c r="AE52" s="353"/>
      <c r="AF52" s="353"/>
      <c r="AG52" s="1106" t="s">
        <v>3590</v>
      </c>
      <c r="AH52" s="849" t="s">
        <v>3591</v>
      </c>
      <c r="AI52" s="443" t="s">
        <v>618</v>
      </c>
      <c r="AJ52" s="849" t="s">
        <v>3616</v>
      </c>
      <c r="AK52" s="849" t="s">
        <v>3621</v>
      </c>
      <c r="AL52" s="874">
        <v>150000</v>
      </c>
      <c r="AM52" s="849" t="s">
        <v>3622</v>
      </c>
      <c r="AN52" s="850" t="s">
        <v>536</v>
      </c>
      <c r="AO52" s="850" t="s">
        <v>554</v>
      </c>
      <c r="AP52" s="850" t="s">
        <v>554</v>
      </c>
      <c r="AQ52" s="850" t="s">
        <v>554</v>
      </c>
      <c r="AR52" s="850" t="s">
        <v>554</v>
      </c>
      <c r="AS52" s="850" t="s">
        <v>554</v>
      </c>
      <c r="AT52" s="850" t="s">
        <v>554</v>
      </c>
      <c r="AU52" s="850" t="s">
        <v>554</v>
      </c>
      <c r="AV52" s="850" t="s">
        <v>536</v>
      </c>
      <c r="AW52" s="850" t="s">
        <v>554</v>
      </c>
      <c r="AX52" s="850" t="s">
        <v>536</v>
      </c>
      <c r="AY52" s="850" t="s">
        <v>536</v>
      </c>
      <c r="AZ52" s="849" t="s">
        <v>3623</v>
      </c>
      <c r="BA52" s="847" t="s">
        <v>3624</v>
      </c>
    </row>
    <row r="53" spans="1:53" ht="105.75" thickBot="1" x14ac:dyDescent="0.3">
      <c r="A53" s="847" t="s">
        <v>1276</v>
      </c>
      <c r="B53" s="849" t="s">
        <v>3625</v>
      </c>
      <c r="C53" s="942" t="s">
        <v>3626</v>
      </c>
      <c r="D53" s="942" t="s">
        <v>3627</v>
      </c>
      <c r="E53" s="942">
        <v>1509</v>
      </c>
      <c r="F53" s="851" t="s">
        <v>3628</v>
      </c>
      <c r="G53" s="944" t="s">
        <v>3629</v>
      </c>
      <c r="H53" s="847" t="s">
        <v>3630</v>
      </c>
      <c r="I53" s="847" t="s">
        <v>3631</v>
      </c>
      <c r="J53" s="848">
        <v>0</v>
      </c>
      <c r="K53" s="848" t="s">
        <v>526</v>
      </c>
      <c r="L53" s="848">
        <v>20</v>
      </c>
      <c r="M53" s="390">
        <v>7</v>
      </c>
      <c r="N53" s="851" t="str">
        <f t="shared" ref="N53:N61" si="2">+I53</f>
        <v xml:space="preserve">Número de asociaciones de juntas de acción comunal las comisiones empresariales implementadas  </v>
      </c>
      <c r="O53" s="848">
        <v>13</v>
      </c>
      <c r="P53" s="868">
        <f>SUBTOTAL(9,Q53:AF53)</f>
        <v>50000</v>
      </c>
      <c r="Q53" s="353">
        <v>50000</v>
      </c>
      <c r="R53" s="353"/>
      <c r="S53" s="353"/>
      <c r="T53" s="353"/>
      <c r="U53" s="353"/>
      <c r="V53" s="353"/>
      <c r="W53" s="353"/>
      <c r="X53" s="353"/>
      <c r="Y53" s="353"/>
      <c r="Z53" s="353"/>
      <c r="AA53" s="353"/>
      <c r="AB53" s="353"/>
      <c r="AC53" s="353"/>
      <c r="AD53" s="353"/>
      <c r="AE53" s="353"/>
      <c r="AF53" s="353"/>
      <c r="AG53" s="1108" t="s">
        <v>3632</v>
      </c>
      <c r="AH53" s="1109" t="s">
        <v>3633</v>
      </c>
      <c r="AI53" s="443" t="s">
        <v>618</v>
      </c>
      <c r="AJ53" s="851" t="s">
        <v>2074</v>
      </c>
      <c r="AK53" s="848">
        <v>300</v>
      </c>
      <c r="AL53" s="519">
        <v>50000</v>
      </c>
      <c r="AM53" s="851" t="s">
        <v>3634</v>
      </c>
      <c r="AN53" s="848"/>
      <c r="AO53" s="848"/>
      <c r="AP53" s="848" t="s">
        <v>554</v>
      </c>
      <c r="AQ53" s="848" t="s">
        <v>554</v>
      </c>
      <c r="AR53" s="848" t="s">
        <v>554</v>
      </c>
      <c r="AS53" s="848" t="s">
        <v>554</v>
      </c>
      <c r="AT53" s="848"/>
      <c r="AU53" s="848" t="s">
        <v>554</v>
      </c>
      <c r="AV53" s="848" t="s">
        <v>554</v>
      </c>
      <c r="AW53" s="848" t="s">
        <v>554</v>
      </c>
      <c r="AX53" s="848"/>
      <c r="AY53" s="848"/>
      <c r="AZ53" s="851" t="s">
        <v>3635</v>
      </c>
      <c r="BA53" s="848"/>
    </row>
    <row r="54" spans="1:53" ht="315.75" thickBot="1" x14ac:dyDescent="0.3">
      <c r="A54" s="847" t="s">
        <v>1276</v>
      </c>
      <c r="B54" s="849" t="s">
        <v>3625</v>
      </c>
      <c r="C54" s="942"/>
      <c r="D54" s="942"/>
      <c r="E54" s="942"/>
      <c r="F54" s="851" t="s">
        <v>3628</v>
      </c>
      <c r="G54" s="944"/>
      <c r="H54" s="847" t="s">
        <v>3636</v>
      </c>
      <c r="I54" s="847" t="s">
        <v>3637</v>
      </c>
      <c r="J54" s="848">
        <v>0</v>
      </c>
      <c r="K54" s="848" t="s">
        <v>526</v>
      </c>
      <c r="L54" s="353">
        <v>1400</v>
      </c>
      <c r="M54" s="390">
        <v>240</v>
      </c>
      <c r="N54" s="851" t="str">
        <f t="shared" si="2"/>
        <v>Número de organizaciones sin ánimo de lucro, a través de jornadas de acompañamiento y control fortalecidas (distribuidas en las Subregiones del Departamento)</v>
      </c>
      <c r="O54" s="848">
        <v>1160</v>
      </c>
      <c r="P54" s="868">
        <v>75000</v>
      </c>
      <c r="Q54" s="353">
        <v>75000</v>
      </c>
      <c r="R54" s="353"/>
      <c r="S54" s="353"/>
      <c r="T54" s="353"/>
      <c r="U54" s="353"/>
      <c r="V54" s="353"/>
      <c r="W54" s="353"/>
      <c r="X54" s="353"/>
      <c r="Y54" s="353"/>
      <c r="Z54" s="353"/>
      <c r="AA54" s="353"/>
      <c r="AB54" s="353"/>
      <c r="AC54" s="353"/>
      <c r="AD54" s="353"/>
      <c r="AE54" s="353"/>
      <c r="AF54" s="353"/>
      <c r="AG54" s="1108" t="s">
        <v>3632</v>
      </c>
      <c r="AH54" s="1109" t="s">
        <v>3633</v>
      </c>
      <c r="AI54" s="443" t="s">
        <v>618</v>
      </c>
      <c r="AJ54" s="851" t="s">
        <v>2074</v>
      </c>
      <c r="AK54" s="848">
        <v>1200</v>
      </c>
      <c r="AL54" s="519">
        <v>75000</v>
      </c>
      <c r="AM54" s="851" t="s">
        <v>3638</v>
      </c>
      <c r="AN54" s="848"/>
      <c r="AO54" s="848"/>
      <c r="AP54" s="848" t="s">
        <v>554</v>
      </c>
      <c r="AQ54" s="848" t="s">
        <v>554</v>
      </c>
      <c r="AR54" s="848" t="s">
        <v>554</v>
      </c>
      <c r="AS54" s="848" t="s">
        <v>554</v>
      </c>
      <c r="AT54" s="848" t="s">
        <v>554</v>
      </c>
      <c r="AU54" s="848" t="s">
        <v>554</v>
      </c>
      <c r="AV54" s="848" t="s">
        <v>554</v>
      </c>
      <c r="AW54" s="848" t="s">
        <v>554</v>
      </c>
      <c r="AX54" s="848" t="s">
        <v>554</v>
      </c>
      <c r="AY54" s="848"/>
      <c r="AZ54" s="851" t="s">
        <v>3635</v>
      </c>
      <c r="BA54" s="848"/>
    </row>
    <row r="55" spans="1:53" ht="120.75" thickBot="1" x14ac:dyDescent="0.3">
      <c r="A55" s="847" t="s">
        <v>1276</v>
      </c>
      <c r="B55" s="849" t="s">
        <v>3625</v>
      </c>
      <c r="C55" s="942"/>
      <c r="D55" s="942"/>
      <c r="E55" s="942"/>
      <c r="F55" s="851" t="s">
        <v>3628</v>
      </c>
      <c r="G55" s="944"/>
      <c r="H55" s="847" t="s">
        <v>3639</v>
      </c>
      <c r="I55" s="847" t="s">
        <v>3640</v>
      </c>
      <c r="J55" s="848">
        <v>0</v>
      </c>
      <c r="K55" s="848" t="s">
        <v>526</v>
      </c>
      <c r="L55" s="848">
        <v>45</v>
      </c>
      <c r="M55" s="390">
        <v>10</v>
      </c>
      <c r="N55" s="851" t="str">
        <f t="shared" si="2"/>
        <v xml:space="preserve">Número de asociaciones de juntas de acción comunal y sus comisiones de convivencia y conciliación capacitadas </v>
      </c>
      <c r="O55" s="848">
        <v>91</v>
      </c>
      <c r="P55" s="868">
        <v>40000</v>
      </c>
      <c r="Q55" s="353">
        <v>40000</v>
      </c>
      <c r="R55" s="353"/>
      <c r="S55" s="353"/>
      <c r="T55" s="353"/>
      <c r="U55" s="353"/>
      <c r="V55" s="353"/>
      <c r="W55" s="353"/>
      <c r="X55" s="353"/>
      <c r="Y55" s="353"/>
      <c r="Z55" s="353"/>
      <c r="AA55" s="353"/>
      <c r="AB55" s="353"/>
      <c r="AC55" s="353"/>
      <c r="AD55" s="353"/>
      <c r="AE55" s="353"/>
      <c r="AF55" s="353"/>
      <c r="AG55" s="1108" t="s">
        <v>3632</v>
      </c>
      <c r="AH55" s="1109" t="s">
        <v>3633</v>
      </c>
      <c r="AI55" s="443" t="s">
        <v>618</v>
      </c>
      <c r="AJ55" s="851" t="s">
        <v>2074</v>
      </c>
      <c r="AK55" s="848">
        <v>500</v>
      </c>
      <c r="AL55" s="519">
        <v>40000</v>
      </c>
      <c r="AM55" s="851" t="s">
        <v>3641</v>
      </c>
      <c r="AN55" s="848"/>
      <c r="AO55" s="848"/>
      <c r="AP55" s="848" t="s">
        <v>554</v>
      </c>
      <c r="AQ55" s="848" t="s">
        <v>554</v>
      </c>
      <c r="AR55" s="848" t="s">
        <v>554</v>
      </c>
      <c r="AS55" s="848" t="s">
        <v>554</v>
      </c>
      <c r="AT55" s="848" t="s">
        <v>554</v>
      </c>
      <c r="AU55" s="848" t="s">
        <v>554</v>
      </c>
      <c r="AV55" s="848" t="s">
        <v>554</v>
      </c>
      <c r="AW55" s="848"/>
      <c r="AX55" s="848"/>
      <c r="AY55" s="848"/>
      <c r="AZ55" s="851" t="s">
        <v>3635</v>
      </c>
      <c r="BA55" s="848"/>
    </row>
    <row r="56" spans="1:53" ht="150.75" thickBot="1" x14ac:dyDescent="0.3">
      <c r="A56" s="847" t="s">
        <v>1276</v>
      </c>
      <c r="B56" s="849" t="s">
        <v>3625</v>
      </c>
      <c r="C56" s="942"/>
      <c r="D56" s="942"/>
      <c r="E56" s="942"/>
      <c r="F56" s="851" t="s">
        <v>3628</v>
      </c>
      <c r="G56" s="944"/>
      <c r="H56" s="847" t="s">
        <v>3642</v>
      </c>
      <c r="I56" s="847" t="s">
        <v>3643</v>
      </c>
      <c r="J56" s="848">
        <v>0</v>
      </c>
      <c r="K56" s="848" t="s">
        <v>526</v>
      </c>
      <c r="L56" s="848">
        <v>300</v>
      </c>
      <c r="M56" s="390">
        <v>200</v>
      </c>
      <c r="N56" s="849" t="str">
        <f t="shared" si="2"/>
        <v>Número de formadores municipales de los organismos comunales, en la estrategia formador de formadores clave de Paz Territorial capacitados</v>
      </c>
      <c r="O56" s="848">
        <v>458</v>
      </c>
      <c r="P56" s="868">
        <v>50000</v>
      </c>
      <c r="Q56" s="353">
        <v>50000</v>
      </c>
      <c r="R56" s="353"/>
      <c r="S56" s="353"/>
      <c r="T56" s="353"/>
      <c r="U56" s="353"/>
      <c r="V56" s="353"/>
      <c r="W56" s="353"/>
      <c r="X56" s="353"/>
      <c r="Y56" s="353"/>
      <c r="Z56" s="353"/>
      <c r="AA56" s="353"/>
      <c r="AB56" s="353"/>
      <c r="AC56" s="353"/>
      <c r="AD56" s="353"/>
      <c r="AE56" s="353"/>
      <c r="AF56" s="353"/>
      <c r="AG56" s="1108" t="s">
        <v>3632</v>
      </c>
      <c r="AH56" s="1109" t="s">
        <v>3633</v>
      </c>
      <c r="AI56" s="443" t="s">
        <v>618</v>
      </c>
      <c r="AJ56" s="851" t="s">
        <v>2074</v>
      </c>
      <c r="AK56" s="848"/>
      <c r="AL56" s="519">
        <v>50000</v>
      </c>
      <c r="AM56" s="851" t="s">
        <v>3644</v>
      </c>
      <c r="AN56" s="848"/>
      <c r="AO56" s="848"/>
      <c r="AP56" s="848" t="s">
        <v>554</v>
      </c>
      <c r="AQ56" s="848" t="s">
        <v>554</v>
      </c>
      <c r="AR56" s="848" t="s">
        <v>554</v>
      </c>
      <c r="AS56" s="848" t="s">
        <v>554</v>
      </c>
      <c r="AT56" s="848"/>
      <c r="AU56" s="848"/>
      <c r="AV56" s="848"/>
      <c r="AW56" s="848"/>
      <c r="AX56" s="848"/>
      <c r="AY56" s="848"/>
      <c r="AZ56" s="851" t="s">
        <v>3635</v>
      </c>
      <c r="BA56" s="848"/>
    </row>
    <row r="57" spans="1:53" ht="135.75" thickBot="1" x14ac:dyDescent="0.3">
      <c r="A57" s="847" t="s">
        <v>1276</v>
      </c>
      <c r="B57" s="849" t="s">
        <v>3625</v>
      </c>
      <c r="C57" s="942"/>
      <c r="D57" s="942"/>
      <c r="E57" s="942"/>
      <c r="F57" s="851" t="s">
        <v>3628</v>
      </c>
      <c r="G57" s="944"/>
      <c r="H57" s="847" t="s">
        <v>3645</v>
      </c>
      <c r="I57" s="847" t="s">
        <v>3646</v>
      </c>
      <c r="J57" s="848">
        <v>0</v>
      </c>
      <c r="K57" s="848" t="s">
        <v>526</v>
      </c>
      <c r="L57" s="848">
        <v>7</v>
      </c>
      <c r="M57" s="390">
        <v>1</v>
      </c>
      <c r="N57" s="851" t="str">
        <f t="shared" si="2"/>
        <v>Número de jornadas de acompañamiento y control a las organizaciones sin ánimo de lucro realizas (distribuidas en las Subregiones)</v>
      </c>
      <c r="O57" s="848">
        <v>7</v>
      </c>
      <c r="P57" s="868">
        <v>25000</v>
      </c>
      <c r="Q57" s="353">
        <v>25000</v>
      </c>
      <c r="R57" s="353"/>
      <c r="S57" s="353"/>
      <c r="T57" s="353"/>
      <c r="U57" s="353"/>
      <c r="V57" s="353"/>
      <c r="W57" s="353"/>
      <c r="X57" s="353"/>
      <c r="Y57" s="353"/>
      <c r="Z57" s="353"/>
      <c r="AA57" s="353"/>
      <c r="AB57" s="353"/>
      <c r="AC57" s="353"/>
      <c r="AD57" s="353"/>
      <c r="AE57" s="353"/>
      <c r="AF57" s="353"/>
      <c r="AG57" s="1108" t="s">
        <v>3632</v>
      </c>
      <c r="AH57" s="1109" t="s">
        <v>3633</v>
      </c>
      <c r="AI57" s="443" t="s">
        <v>618</v>
      </c>
      <c r="AJ57" s="851" t="s">
        <v>2074</v>
      </c>
      <c r="AK57" s="848"/>
      <c r="AL57" s="519">
        <v>25000</v>
      </c>
      <c r="AM57" s="851" t="s">
        <v>3647</v>
      </c>
      <c r="AN57" s="848"/>
      <c r="AO57" s="848"/>
      <c r="AP57" s="848" t="s">
        <v>554</v>
      </c>
      <c r="AQ57" s="848"/>
      <c r="AR57" s="848" t="s">
        <v>554</v>
      </c>
      <c r="AS57" s="848"/>
      <c r="AT57" s="848" t="s">
        <v>554</v>
      </c>
      <c r="AU57" s="848"/>
      <c r="AV57" s="848" t="s">
        <v>554</v>
      </c>
      <c r="AW57" s="848"/>
      <c r="AX57" s="848" t="s">
        <v>554</v>
      </c>
      <c r="AY57" s="848"/>
      <c r="AZ57" s="851" t="s">
        <v>3635</v>
      </c>
      <c r="BA57" s="848"/>
    </row>
    <row r="58" spans="1:53" ht="90.75" thickBot="1" x14ac:dyDescent="0.3">
      <c r="A58" s="847" t="s">
        <v>1276</v>
      </c>
      <c r="B58" s="849" t="s">
        <v>3625</v>
      </c>
      <c r="C58" s="942" t="s">
        <v>3648</v>
      </c>
      <c r="D58" s="942" t="s">
        <v>3649</v>
      </c>
      <c r="E58" s="998">
        <v>0</v>
      </c>
      <c r="F58" s="851" t="s">
        <v>3628</v>
      </c>
      <c r="G58" s="944"/>
      <c r="H58" s="847" t="s">
        <v>3650</v>
      </c>
      <c r="I58" s="847" t="s">
        <v>3651</v>
      </c>
      <c r="J58" s="848">
        <v>0</v>
      </c>
      <c r="K58" s="848" t="s">
        <v>1441</v>
      </c>
      <c r="L58" s="848">
        <v>5</v>
      </c>
      <c r="M58" s="390">
        <v>1</v>
      </c>
      <c r="N58" s="851" t="str">
        <f t="shared" si="2"/>
        <v xml:space="preserve">Número de procesos de elección popular apoyados </v>
      </c>
      <c r="O58" s="848">
        <v>6</v>
      </c>
      <c r="P58" s="868">
        <v>40000</v>
      </c>
      <c r="Q58" s="353">
        <v>40000</v>
      </c>
      <c r="R58" s="353"/>
      <c r="S58" s="353"/>
      <c r="T58" s="353"/>
      <c r="U58" s="353"/>
      <c r="V58" s="353"/>
      <c r="W58" s="353"/>
      <c r="X58" s="353"/>
      <c r="Y58" s="353"/>
      <c r="Z58" s="353"/>
      <c r="AA58" s="353"/>
      <c r="AB58" s="353"/>
      <c r="AC58" s="353"/>
      <c r="AD58" s="353"/>
      <c r="AE58" s="353"/>
      <c r="AF58" s="353"/>
      <c r="AG58" s="1108" t="s">
        <v>3632</v>
      </c>
      <c r="AH58" s="1109" t="s">
        <v>3633</v>
      </c>
      <c r="AI58" s="443" t="s">
        <v>618</v>
      </c>
      <c r="AJ58" s="851" t="s">
        <v>2074</v>
      </c>
      <c r="AK58" s="848"/>
      <c r="AL58" s="519">
        <v>40000</v>
      </c>
      <c r="AM58" s="851" t="s">
        <v>3652</v>
      </c>
      <c r="AN58" s="848"/>
      <c r="AO58" s="848"/>
      <c r="AP58" s="848" t="s">
        <v>554</v>
      </c>
      <c r="AQ58" s="848"/>
      <c r="AR58" s="848"/>
      <c r="AS58" s="848"/>
      <c r="AT58" s="848" t="s">
        <v>554</v>
      </c>
      <c r="AU58" s="848" t="s">
        <v>554</v>
      </c>
      <c r="AV58" s="848" t="s">
        <v>554</v>
      </c>
      <c r="AW58" s="848" t="s">
        <v>554</v>
      </c>
      <c r="AX58" s="848"/>
      <c r="AY58" s="848"/>
      <c r="AZ58" s="851" t="s">
        <v>3635</v>
      </c>
      <c r="BA58" s="848"/>
    </row>
    <row r="59" spans="1:53" ht="180.75" thickBot="1" x14ac:dyDescent="0.3">
      <c r="A59" s="847" t="s">
        <v>1276</v>
      </c>
      <c r="B59" s="849" t="s">
        <v>3625</v>
      </c>
      <c r="C59" s="942"/>
      <c r="D59" s="942"/>
      <c r="E59" s="1024"/>
      <c r="F59" s="851" t="s">
        <v>3628</v>
      </c>
      <c r="G59" s="944"/>
      <c r="H59" s="849" t="s">
        <v>3653</v>
      </c>
      <c r="I59" s="847" t="s">
        <v>3654</v>
      </c>
      <c r="J59" s="848">
        <v>0</v>
      </c>
      <c r="K59" s="848" t="s">
        <v>526</v>
      </c>
      <c r="L59" s="848">
        <v>1</v>
      </c>
      <c r="M59" s="888">
        <v>0.42499999999999999</v>
      </c>
      <c r="N59" s="851" t="str">
        <f t="shared" si="2"/>
        <v xml:space="preserve">Número de estrategias integrales para el incremento de la participación ciudadana en el marco de los mecanismos contemplados en la ley y normas de participación implementadas </v>
      </c>
      <c r="O59" s="848">
        <v>0.8</v>
      </c>
      <c r="P59" s="868">
        <v>40000</v>
      </c>
      <c r="Q59" s="353">
        <v>25000</v>
      </c>
      <c r="R59" s="353"/>
      <c r="S59" s="353"/>
      <c r="T59" s="353"/>
      <c r="U59" s="353"/>
      <c r="V59" s="353"/>
      <c r="W59" s="353"/>
      <c r="X59" s="353"/>
      <c r="Y59" s="353"/>
      <c r="Z59" s="353"/>
      <c r="AA59" s="353"/>
      <c r="AB59" s="353"/>
      <c r="AC59" s="353"/>
      <c r="AD59" s="353">
        <v>15000</v>
      </c>
      <c r="AE59" s="353"/>
      <c r="AF59" s="353"/>
      <c r="AG59" s="1108" t="s">
        <v>3632</v>
      </c>
      <c r="AH59" s="1109" t="s">
        <v>3633</v>
      </c>
      <c r="AI59" s="443" t="s">
        <v>618</v>
      </c>
      <c r="AJ59" s="851" t="s">
        <v>2074</v>
      </c>
      <c r="AK59" s="848"/>
      <c r="AL59" s="519">
        <v>40000</v>
      </c>
      <c r="AM59" s="851" t="s">
        <v>3655</v>
      </c>
      <c r="AN59" s="848"/>
      <c r="AO59" s="848" t="s">
        <v>554</v>
      </c>
      <c r="AP59" s="848" t="s">
        <v>554</v>
      </c>
      <c r="AQ59" s="848" t="s">
        <v>554</v>
      </c>
      <c r="AR59" s="848" t="s">
        <v>554</v>
      </c>
      <c r="AS59" s="848" t="s">
        <v>554</v>
      </c>
      <c r="AT59" s="848" t="s">
        <v>554</v>
      </c>
      <c r="AU59" s="848" t="s">
        <v>554</v>
      </c>
      <c r="AV59" s="848" t="s">
        <v>554</v>
      </c>
      <c r="AW59" s="848" t="s">
        <v>554</v>
      </c>
      <c r="AX59" s="848" t="s">
        <v>554</v>
      </c>
      <c r="AY59" s="848"/>
      <c r="AZ59" s="851" t="s">
        <v>3635</v>
      </c>
      <c r="BA59" s="848"/>
    </row>
    <row r="60" spans="1:53" ht="180.75" thickBot="1" x14ac:dyDescent="0.3">
      <c r="A60" s="847" t="s">
        <v>1276</v>
      </c>
      <c r="B60" s="849" t="s">
        <v>3625</v>
      </c>
      <c r="C60" s="942"/>
      <c r="D60" s="942"/>
      <c r="E60" s="1024"/>
      <c r="F60" s="851" t="s">
        <v>3628</v>
      </c>
      <c r="G60" s="944"/>
      <c r="H60" s="849" t="s">
        <v>3656</v>
      </c>
      <c r="I60" s="847" t="s">
        <v>3657</v>
      </c>
      <c r="J60" s="848">
        <v>0</v>
      </c>
      <c r="K60" s="848" t="s">
        <v>526</v>
      </c>
      <c r="L60" s="848">
        <v>33</v>
      </c>
      <c r="M60" s="390">
        <v>6</v>
      </c>
      <c r="N60" s="851" t="str">
        <f t="shared" si="2"/>
        <v xml:space="preserve">Número de encuentros de la mesa departamental interétnica y a las mesas étnicas y campesina en términos técnicos, académicos y logísticos apoyados </v>
      </c>
      <c r="O60" s="848">
        <v>7</v>
      </c>
      <c r="P60" s="868">
        <v>40000</v>
      </c>
      <c r="Q60" s="353"/>
      <c r="R60" s="353"/>
      <c r="S60" s="353"/>
      <c r="T60" s="353"/>
      <c r="U60" s="353"/>
      <c r="V60" s="353"/>
      <c r="W60" s="353"/>
      <c r="X60" s="353"/>
      <c r="Y60" s="353"/>
      <c r="Z60" s="353"/>
      <c r="AA60" s="353"/>
      <c r="AB60" s="353"/>
      <c r="AC60" s="353"/>
      <c r="AD60" s="353">
        <v>40000</v>
      </c>
      <c r="AE60" s="353"/>
      <c r="AF60" s="353"/>
      <c r="AG60" s="1108" t="s">
        <v>3632</v>
      </c>
      <c r="AH60" s="1109" t="s">
        <v>3633</v>
      </c>
      <c r="AI60" s="443" t="s">
        <v>618</v>
      </c>
      <c r="AJ60" s="851" t="s">
        <v>2074</v>
      </c>
      <c r="AK60" s="848"/>
      <c r="AL60" s="519">
        <v>40000</v>
      </c>
      <c r="AM60" s="851" t="s">
        <v>3658</v>
      </c>
      <c r="AN60" s="848"/>
      <c r="AO60" s="848" t="s">
        <v>554</v>
      </c>
      <c r="AP60" s="848" t="s">
        <v>554</v>
      </c>
      <c r="AQ60" s="848" t="s">
        <v>554</v>
      </c>
      <c r="AR60" s="848" t="s">
        <v>554</v>
      </c>
      <c r="AS60" s="848" t="s">
        <v>554</v>
      </c>
      <c r="AT60" s="848" t="s">
        <v>554</v>
      </c>
      <c r="AU60" s="848" t="s">
        <v>554</v>
      </c>
      <c r="AV60" s="848" t="s">
        <v>554</v>
      </c>
      <c r="AW60" s="848" t="s">
        <v>554</v>
      </c>
      <c r="AX60" s="848" t="s">
        <v>554</v>
      </c>
      <c r="AY60" s="848"/>
      <c r="AZ60" s="851" t="s">
        <v>3635</v>
      </c>
      <c r="BA60" s="848"/>
    </row>
    <row r="61" spans="1:53" ht="225.75" thickBot="1" x14ac:dyDescent="0.3">
      <c r="A61" s="847" t="s">
        <v>1276</v>
      </c>
      <c r="B61" s="849" t="s">
        <v>3625</v>
      </c>
      <c r="C61" s="942"/>
      <c r="D61" s="942"/>
      <c r="E61" s="999"/>
      <c r="F61" s="851" t="s">
        <v>3628</v>
      </c>
      <c r="G61" s="944"/>
      <c r="H61" s="849" t="s">
        <v>3659</v>
      </c>
      <c r="I61" s="847" t="s">
        <v>3660</v>
      </c>
      <c r="J61" s="848">
        <v>0</v>
      </c>
      <c r="K61" s="848" t="s">
        <v>526</v>
      </c>
      <c r="L61" s="848">
        <v>1</v>
      </c>
      <c r="M61" s="884">
        <v>0.1</v>
      </c>
      <c r="N61" s="851" t="str">
        <f t="shared" si="2"/>
        <v xml:space="preserve">Número de estrategias de pedagogía para la paz desde los territorios que posibilite la articulación institucional con las organizaciones sociales y comunitarias en los 42 municipios del Departamento  implementadas </v>
      </c>
      <c r="O61" s="848">
        <v>0.15</v>
      </c>
      <c r="P61" s="868">
        <v>60000</v>
      </c>
      <c r="Q61" s="353">
        <v>60000</v>
      </c>
      <c r="R61" s="353"/>
      <c r="S61" s="353"/>
      <c r="T61" s="353"/>
      <c r="U61" s="353"/>
      <c r="V61" s="353"/>
      <c r="W61" s="353"/>
      <c r="X61" s="353"/>
      <c r="Y61" s="353"/>
      <c r="Z61" s="353"/>
      <c r="AA61" s="353"/>
      <c r="AB61" s="353"/>
      <c r="AC61" s="353"/>
      <c r="AD61" s="353"/>
      <c r="AE61" s="353"/>
      <c r="AF61" s="353"/>
      <c r="AG61" s="1108" t="s">
        <v>3632</v>
      </c>
      <c r="AH61" s="1109" t="s">
        <v>3633</v>
      </c>
      <c r="AI61" s="443" t="s">
        <v>618</v>
      </c>
      <c r="AJ61" s="851" t="s">
        <v>2074</v>
      </c>
      <c r="AK61" s="848"/>
      <c r="AL61" s="519">
        <v>60000</v>
      </c>
      <c r="AM61" s="851" t="s">
        <v>3661</v>
      </c>
      <c r="AN61" s="848"/>
      <c r="AO61" s="848" t="s">
        <v>554</v>
      </c>
      <c r="AP61" s="848" t="s">
        <v>554</v>
      </c>
      <c r="AQ61" s="848" t="s">
        <v>554</v>
      </c>
      <c r="AR61" s="848" t="s">
        <v>554</v>
      </c>
      <c r="AS61" s="848" t="s">
        <v>554</v>
      </c>
      <c r="AT61" s="848" t="s">
        <v>554</v>
      </c>
      <c r="AU61" s="848" t="s">
        <v>554</v>
      </c>
      <c r="AV61" s="848" t="s">
        <v>554</v>
      </c>
      <c r="AW61" s="848" t="s">
        <v>554</v>
      </c>
      <c r="AX61" s="848" t="s">
        <v>554</v>
      </c>
      <c r="AY61" s="848"/>
      <c r="AZ61" s="851" t="s">
        <v>3635</v>
      </c>
      <c r="BA61" s="848"/>
    </row>
    <row r="62" spans="1:53" ht="135.75" thickBot="1" x14ac:dyDescent="0.3">
      <c r="A62" s="847" t="s">
        <v>438</v>
      </c>
      <c r="B62" s="847" t="s">
        <v>1423</v>
      </c>
      <c r="C62" s="1021" t="s">
        <v>3662</v>
      </c>
      <c r="D62" s="1021" t="s">
        <v>3663</v>
      </c>
      <c r="E62" s="1021">
        <v>0</v>
      </c>
      <c r="F62" s="851" t="s">
        <v>3664</v>
      </c>
      <c r="G62" s="1021" t="s">
        <v>3665</v>
      </c>
      <c r="H62" s="847" t="s">
        <v>3666</v>
      </c>
      <c r="I62" s="847" t="s">
        <v>3667</v>
      </c>
      <c r="J62" s="849">
        <v>0</v>
      </c>
      <c r="K62" s="849" t="s">
        <v>526</v>
      </c>
      <c r="L62" s="849">
        <v>7</v>
      </c>
      <c r="M62" s="849">
        <v>1</v>
      </c>
      <c r="N62" s="847" t="s">
        <v>3667</v>
      </c>
      <c r="O62" s="853">
        <v>5</v>
      </c>
      <c r="P62" s="868">
        <f>SUBTOTAL(9,Q62:AF62)</f>
        <v>25000</v>
      </c>
      <c r="Q62" s="353">
        <v>25000</v>
      </c>
      <c r="R62" s="353"/>
      <c r="S62" s="353"/>
      <c r="T62" s="353"/>
      <c r="U62" s="353"/>
      <c r="V62" s="353"/>
      <c r="W62" s="353"/>
      <c r="X62" s="353"/>
      <c r="Y62" s="353"/>
      <c r="Z62" s="353"/>
      <c r="AA62" s="353"/>
      <c r="AB62" s="353"/>
      <c r="AC62" s="353"/>
      <c r="AD62" s="353"/>
      <c r="AE62" s="353"/>
      <c r="AF62" s="353"/>
      <c r="AG62" s="1110" t="s">
        <v>3730</v>
      </c>
      <c r="AH62" s="1111" t="s">
        <v>3668</v>
      </c>
      <c r="AI62" s="443" t="s">
        <v>618</v>
      </c>
      <c r="AJ62" s="558" t="s">
        <v>3669</v>
      </c>
      <c r="AK62" s="558" t="s">
        <v>3670</v>
      </c>
      <c r="AL62" s="519">
        <v>25000</v>
      </c>
      <c r="AM62" s="848"/>
      <c r="AN62" s="848"/>
      <c r="AO62" s="848"/>
      <c r="AP62" s="848"/>
      <c r="AQ62" s="848"/>
      <c r="AR62" s="848"/>
      <c r="AS62" s="848"/>
      <c r="AT62" s="848"/>
      <c r="AU62" s="848"/>
      <c r="AV62" s="848"/>
      <c r="AW62" s="848"/>
      <c r="AX62" s="848"/>
      <c r="AY62" s="848"/>
      <c r="AZ62" s="849" t="s">
        <v>3671</v>
      </c>
      <c r="BA62" s="848"/>
    </row>
    <row r="63" spans="1:53" ht="135.75" thickBot="1" x14ac:dyDescent="0.3">
      <c r="A63" s="847" t="s">
        <v>438</v>
      </c>
      <c r="B63" s="847" t="s">
        <v>1423</v>
      </c>
      <c r="C63" s="1022"/>
      <c r="D63" s="1022"/>
      <c r="E63" s="1022"/>
      <c r="F63" s="851" t="s">
        <v>3664</v>
      </c>
      <c r="G63" s="1022"/>
      <c r="H63" s="847" t="s">
        <v>3672</v>
      </c>
      <c r="I63" s="847" t="s">
        <v>3673</v>
      </c>
      <c r="J63" s="849">
        <v>0</v>
      </c>
      <c r="K63" s="849" t="s">
        <v>526</v>
      </c>
      <c r="L63" s="849">
        <v>12</v>
      </c>
      <c r="M63" s="849">
        <v>3</v>
      </c>
      <c r="N63" s="847" t="s">
        <v>3673</v>
      </c>
      <c r="O63" s="869">
        <v>2</v>
      </c>
      <c r="P63" s="868">
        <f t="shared" ref="P63:P68" si="3">SUBTOTAL(9,Q63:AF63)</f>
        <v>50000</v>
      </c>
      <c r="Q63" s="353">
        <v>50000</v>
      </c>
      <c r="R63" s="353"/>
      <c r="S63" s="353"/>
      <c r="T63" s="353"/>
      <c r="U63" s="353"/>
      <c r="V63" s="353"/>
      <c r="W63" s="353"/>
      <c r="X63" s="353"/>
      <c r="Y63" s="353"/>
      <c r="Z63" s="353"/>
      <c r="AA63" s="353"/>
      <c r="AB63" s="353"/>
      <c r="AC63" s="353"/>
      <c r="AD63" s="353"/>
      <c r="AE63" s="353"/>
      <c r="AF63" s="353"/>
      <c r="AG63" s="1110" t="s">
        <v>3730</v>
      </c>
      <c r="AH63" s="1111" t="s">
        <v>3668</v>
      </c>
      <c r="AI63" s="558" t="s">
        <v>3674</v>
      </c>
      <c r="AJ63" s="558" t="s">
        <v>3675</v>
      </c>
      <c r="AK63" s="558" t="s">
        <v>3670</v>
      </c>
      <c r="AL63" s="519">
        <v>50000</v>
      </c>
      <c r="AM63" s="848"/>
      <c r="AN63" s="848"/>
      <c r="AO63" s="848"/>
      <c r="AP63" s="848"/>
      <c r="AQ63" s="848"/>
      <c r="AR63" s="848"/>
      <c r="AS63" s="848"/>
      <c r="AT63" s="848"/>
      <c r="AU63" s="848"/>
      <c r="AV63" s="848"/>
      <c r="AW63" s="848"/>
      <c r="AX63" s="848"/>
      <c r="AY63" s="848"/>
      <c r="AZ63" s="849" t="s">
        <v>3671</v>
      </c>
      <c r="BA63" s="848"/>
    </row>
    <row r="64" spans="1:53" ht="240.75" thickBot="1" x14ac:dyDescent="0.3">
      <c r="A64" s="847" t="s">
        <v>438</v>
      </c>
      <c r="B64" s="847" t="s">
        <v>1423</v>
      </c>
      <c r="C64" s="1022"/>
      <c r="D64" s="1022"/>
      <c r="E64" s="1022"/>
      <c r="F64" s="851" t="s">
        <v>3664</v>
      </c>
      <c r="G64" s="1022"/>
      <c r="H64" s="847" t="s">
        <v>3676</v>
      </c>
      <c r="I64" s="847" t="s">
        <v>3677</v>
      </c>
      <c r="J64" s="849">
        <v>0</v>
      </c>
      <c r="K64" s="849" t="s">
        <v>526</v>
      </c>
      <c r="L64" s="849">
        <v>1</v>
      </c>
      <c r="M64" s="849">
        <v>0.25</v>
      </c>
      <c r="N64" s="847" t="s">
        <v>3677</v>
      </c>
      <c r="O64" s="870">
        <v>0.112</v>
      </c>
      <c r="P64" s="868">
        <f t="shared" si="3"/>
        <v>25000</v>
      </c>
      <c r="Q64" s="353">
        <v>25000</v>
      </c>
      <c r="R64" s="353"/>
      <c r="S64" s="353"/>
      <c r="T64" s="353"/>
      <c r="U64" s="353"/>
      <c r="V64" s="353"/>
      <c r="W64" s="353"/>
      <c r="X64" s="353"/>
      <c r="Y64" s="353"/>
      <c r="Z64" s="353"/>
      <c r="AA64" s="353"/>
      <c r="AB64" s="353"/>
      <c r="AC64" s="353"/>
      <c r="AD64" s="353"/>
      <c r="AE64" s="353"/>
      <c r="AF64" s="353"/>
      <c r="AG64" s="1110" t="s">
        <v>3730</v>
      </c>
      <c r="AH64" s="1111" t="s">
        <v>3668</v>
      </c>
      <c r="AI64" s="558" t="s">
        <v>3678</v>
      </c>
      <c r="AJ64" s="558" t="s">
        <v>3669</v>
      </c>
      <c r="AK64" s="558" t="s">
        <v>3670</v>
      </c>
      <c r="AL64" s="519">
        <v>25000</v>
      </c>
      <c r="AM64" s="848"/>
      <c r="AN64" s="848"/>
      <c r="AO64" s="848"/>
      <c r="AP64" s="848"/>
      <c r="AQ64" s="848"/>
      <c r="AR64" s="848"/>
      <c r="AS64" s="848"/>
      <c r="AT64" s="848"/>
      <c r="AU64" s="848"/>
      <c r="AV64" s="848"/>
      <c r="AW64" s="848"/>
      <c r="AX64" s="848"/>
      <c r="AY64" s="848"/>
      <c r="AZ64" s="849" t="s">
        <v>3671</v>
      </c>
      <c r="BA64" s="848"/>
    </row>
    <row r="65" spans="1:53" ht="210.75" thickBot="1" x14ac:dyDescent="0.3">
      <c r="A65" s="847" t="s">
        <v>438</v>
      </c>
      <c r="B65" s="847" t="s">
        <v>1423</v>
      </c>
      <c r="C65" s="1022"/>
      <c r="D65" s="1022"/>
      <c r="E65" s="1022"/>
      <c r="F65" s="851" t="s">
        <v>3664</v>
      </c>
      <c r="G65" s="1022"/>
      <c r="H65" s="847" t="s">
        <v>3679</v>
      </c>
      <c r="I65" s="847" t="s">
        <v>3680</v>
      </c>
      <c r="J65" s="849">
        <v>0</v>
      </c>
      <c r="K65" s="849" t="s">
        <v>526</v>
      </c>
      <c r="L65" s="443">
        <v>0.7</v>
      </c>
      <c r="M65" s="443">
        <v>0.15</v>
      </c>
      <c r="N65" s="847" t="s">
        <v>3680</v>
      </c>
      <c r="O65" s="871">
        <v>0.16117000000000001</v>
      </c>
      <c r="P65" s="868">
        <f t="shared" si="3"/>
        <v>100000</v>
      </c>
      <c r="Q65" s="353">
        <v>100000</v>
      </c>
      <c r="R65" s="353"/>
      <c r="S65" s="353"/>
      <c r="T65" s="353"/>
      <c r="U65" s="353"/>
      <c r="V65" s="353"/>
      <c r="W65" s="353"/>
      <c r="X65" s="353"/>
      <c r="Y65" s="353"/>
      <c r="Z65" s="353"/>
      <c r="AA65" s="353"/>
      <c r="AB65" s="353"/>
      <c r="AC65" s="353"/>
      <c r="AD65" s="353"/>
      <c r="AE65" s="353"/>
      <c r="AF65" s="353"/>
      <c r="AG65" s="1110" t="s">
        <v>3730</v>
      </c>
      <c r="AH65" s="1111" t="s">
        <v>3668</v>
      </c>
      <c r="AI65" s="558" t="s">
        <v>3681</v>
      </c>
      <c r="AJ65" s="558" t="s">
        <v>3682</v>
      </c>
      <c r="AK65" s="558" t="s">
        <v>3670</v>
      </c>
      <c r="AL65" s="519">
        <v>100000</v>
      </c>
      <c r="AM65" s="848"/>
      <c r="AN65" s="848"/>
      <c r="AO65" s="848"/>
      <c r="AP65" s="848"/>
      <c r="AQ65" s="848"/>
      <c r="AR65" s="848"/>
      <c r="AS65" s="848"/>
      <c r="AT65" s="848"/>
      <c r="AU65" s="848"/>
      <c r="AV65" s="848"/>
      <c r="AW65" s="848"/>
      <c r="AX65" s="848"/>
      <c r="AY65" s="848"/>
      <c r="AZ65" s="849" t="s">
        <v>3671</v>
      </c>
      <c r="BA65" s="848"/>
    </row>
    <row r="66" spans="1:53" ht="135.75" thickBot="1" x14ac:dyDescent="0.3">
      <c r="A66" s="847" t="s">
        <v>438</v>
      </c>
      <c r="B66" s="847" t="s">
        <v>1423</v>
      </c>
      <c r="C66" s="1022"/>
      <c r="D66" s="1022"/>
      <c r="E66" s="1022"/>
      <c r="F66" s="851" t="s">
        <v>3664</v>
      </c>
      <c r="G66" s="1022"/>
      <c r="H66" s="847" t="s">
        <v>3683</v>
      </c>
      <c r="I66" s="847" t="s">
        <v>3684</v>
      </c>
      <c r="J66" s="849">
        <v>0</v>
      </c>
      <c r="K66" s="849" t="s">
        <v>526</v>
      </c>
      <c r="L66" s="849">
        <v>1</v>
      </c>
      <c r="M66" s="849">
        <v>0.25</v>
      </c>
      <c r="N66" s="847" t="s">
        <v>3684</v>
      </c>
      <c r="O66" s="870">
        <v>0.12</v>
      </c>
      <c r="P66" s="868">
        <f t="shared" si="3"/>
        <v>8000</v>
      </c>
      <c r="Q66" s="353">
        <v>8000</v>
      </c>
      <c r="R66" s="353"/>
      <c r="S66" s="353"/>
      <c r="T66" s="353"/>
      <c r="U66" s="353"/>
      <c r="V66" s="353"/>
      <c r="W66" s="353"/>
      <c r="X66" s="353"/>
      <c r="Y66" s="353"/>
      <c r="Z66" s="353"/>
      <c r="AA66" s="353"/>
      <c r="AB66" s="353"/>
      <c r="AC66" s="353"/>
      <c r="AD66" s="353"/>
      <c r="AE66" s="353"/>
      <c r="AF66" s="353"/>
      <c r="AG66" s="1110" t="s">
        <v>3730</v>
      </c>
      <c r="AH66" s="1111" t="s">
        <v>3668</v>
      </c>
      <c r="AI66" s="558" t="s">
        <v>3685</v>
      </c>
      <c r="AJ66" s="558" t="s">
        <v>3686</v>
      </c>
      <c r="AK66" s="558" t="s">
        <v>3670</v>
      </c>
      <c r="AL66" s="318">
        <v>8000</v>
      </c>
      <c r="AM66" s="848"/>
      <c r="AN66" s="848"/>
      <c r="AO66" s="848"/>
      <c r="AP66" s="848"/>
      <c r="AQ66" s="848"/>
      <c r="AR66" s="848"/>
      <c r="AS66" s="848"/>
      <c r="AT66" s="848"/>
      <c r="AU66" s="848"/>
      <c r="AV66" s="848"/>
      <c r="AW66" s="848"/>
      <c r="AX66" s="848"/>
      <c r="AY66" s="848"/>
      <c r="AZ66" s="849" t="s">
        <v>3671</v>
      </c>
      <c r="BA66" s="848"/>
    </row>
    <row r="67" spans="1:53" ht="195.75" thickBot="1" x14ac:dyDescent="0.3">
      <c r="A67" s="847" t="s">
        <v>438</v>
      </c>
      <c r="B67" s="847" t="s">
        <v>1423</v>
      </c>
      <c r="C67" s="1022"/>
      <c r="D67" s="1022"/>
      <c r="E67" s="1022"/>
      <c r="F67" s="851" t="s">
        <v>3664</v>
      </c>
      <c r="G67" s="1022"/>
      <c r="H67" s="847" t="s">
        <v>3687</v>
      </c>
      <c r="I67" s="847" t="s">
        <v>3688</v>
      </c>
      <c r="J67" s="849">
        <v>0</v>
      </c>
      <c r="K67" s="849" t="s">
        <v>526</v>
      </c>
      <c r="L67" s="849">
        <v>1</v>
      </c>
      <c r="M67" s="849">
        <v>0.25</v>
      </c>
      <c r="N67" s="847" t="s">
        <v>3688</v>
      </c>
      <c r="O67" s="870">
        <v>0.1</v>
      </c>
      <c r="P67" s="868">
        <f t="shared" si="3"/>
        <v>94000</v>
      </c>
      <c r="Q67" s="353">
        <f>117500*0.8</f>
        <v>94000</v>
      </c>
      <c r="R67" s="353"/>
      <c r="S67" s="353"/>
      <c r="T67" s="353"/>
      <c r="U67" s="353"/>
      <c r="V67" s="353"/>
      <c r="W67" s="353"/>
      <c r="X67" s="353"/>
      <c r="Y67" s="353"/>
      <c r="Z67" s="353"/>
      <c r="AA67" s="353"/>
      <c r="AB67" s="353"/>
      <c r="AC67" s="353"/>
      <c r="AD67" s="353"/>
      <c r="AE67" s="353"/>
      <c r="AF67" s="353"/>
      <c r="AG67" s="1110" t="s">
        <v>3730</v>
      </c>
      <c r="AH67" s="1111" t="s">
        <v>3668</v>
      </c>
      <c r="AI67" s="1112" t="s">
        <v>3689</v>
      </c>
      <c r="AJ67" s="1112" t="s">
        <v>3690</v>
      </c>
      <c r="AK67" s="558" t="s">
        <v>3670</v>
      </c>
      <c r="AL67" s="519">
        <v>94000</v>
      </c>
      <c r="AM67" s="848"/>
      <c r="AN67" s="848"/>
      <c r="AO67" s="848"/>
      <c r="AP67" s="848"/>
      <c r="AQ67" s="848"/>
      <c r="AR67" s="848"/>
      <c r="AS67" s="848"/>
      <c r="AT67" s="848"/>
      <c r="AU67" s="848"/>
      <c r="AV67" s="848"/>
      <c r="AW67" s="848"/>
      <c r="AX67" s="848"/>
      <c r="AY67" s="848"/>
      <c r="AZ67" s="849" t="s">
        <v>3671</v>
      </c>
      <c r="BA67" s="848"/>
    </row>
    <row r="68" spans="1:53" ht="135.75" thickBot="1" x14ac:dyDescent="0.3">
      <c r="A68" s="847" t="s">
        <v>438</v>
      </c>
      <c r="B68" s="847" t="s">
        <v>1423</v>
      </c>
      <c r="C68" s="1023"/>
      <c r="D68" s="1023"/>
      <c r="E68" s="1023"/>
      <c r="F68" s="851" t="s">
        <v>3664</v>
      </c>
      <c r="G68" s="1023"/>
      <c r="H68" s="847" t="s">
        <v>3691</v>
      </c>
      <c r="I68" s="847" t="s">
        <v>3692</v>
      </c>
      <c r="J68" s="849">
        <v>0</v>
      </c>
      <c r="K68" s="849" t="s">
        <v>526</v>
      </c>
      <c r="L68" s="443">
        <v>0.1</v>
      </c>
      <c r="M68" s="443">
        <v>0.01</v>
      </c>
      <c r="N68" s="847" t="s">
        <v>3692</v>
      </c>
      <c r="O68" s="872">
        <v>2.9000000000000001E-2</v>
      </c>
      <c r="P68" s="868">
        <f t="shared" si="3"/>
        <v>23500</v>
      </c>
      <c r="Q68" s="353">
        <f>117500*0.2</f>
        <v>23500</v>
      </c>
      <c r="R68" s="353"/>
      <c r="S68" s="353"/>
      <c r="T68" s="353"/>
      <c r="U68" s="353"/>
      <c r="V68" s="353"/>
      <c r="W68" s="353"/>
      <c r="X68" s="353"/>
      <c r="Y68" s="353"/>
      <c r="Z68" s="353"/>
      <c r="AA68" s="353"/>
      <c r="AB68" s="353"/>
      <c r="AC68" s="353"/>
      <c r="AD68" s="353"/>
      <c r="AE68" s="353"/>
      <c r="AF68" s="353"/>
      <c r="AG68" s="1110" t="s">
        <v>3730</v>
      </c>
      <c r="AH68" s="1111" t="s">
        <v>3668</v>
      </c>
      <c r="AI68" s="848">
        <v>42</v>
      </c>
      <c r="AJ68" s="1112" t="s">
        <v>3690</v>
      </c>
      <c r="AK68" s="848" t="s">
        <v>3693</v>
      </c>
      <c r="AL68" s="519">
        <v>23500</v>
      </c>
      <c r="AM68" s="848"/>
      <c r="AN68" s="848"/>
      <c r="AO68" s="848"/>
      <c r="AP68" s="848"/>
      <c r="AQ68" s="848"/>
      <c r="AR68" s="848"/>
      <c r="AS68" s="848"/>
      <c r="AT68" s="848"/>
      <c r="AU68" s="848"/>
      <c r="AV68" s="848"/>
      <c r="AW68" s="848"/>
      <c r="AX68" s="848"/>
      <c r="AY68" s="848"/>
      <c r="AZ68" s="849" t="s">
        <v>3671</v>
      </c>
      <c r="BA68" s="848"/>
    </row>
    <row r="69" spans="1:53" ht="409.6" thickBot="1" x14ac:dyDescent="0.3">
      <c r="A69" s="847" t="s">
        <v>1276</v>
      </c>
      <c r="B69" s="847" t="s">
        <v>3625</v>
      </c>
      <c r="C69" s="942" t="s">
        <v>3694</v>
      </c>
      <c r="D69" s="942" t="s">
        <v>3695</v>
      </c>
      <c r="E69" s="942" t="s">
        <v>3696</v>
      </c>
      <c r="F69" s="851" t="s">
        <v>3697</v>
      </c>
      <c r="G69" s="942" t="s">
        <v>3698</v>
      </c>
      <c r="H69" s="847" t="s">
        <v>3699</v>
      </c>
      <c r="I69" s="847" t="s">
        <v>3700</v>
      </c>
      <c r="J69" s="849">
        <v>0</v>
      </c>
      <c r="K69" s="849" t="s">
        <v>526</v>
      </c>
      <c r="L69" s="849">
        <v>1</v>
      </c>
      <c r="M69" s="849">
        <v>0.25</v>
      </c>
      <c r="N69" s="847" t="s">
        <v>3700</v>
      </c>
      <c r="O69" s="870">
        <v>0.25</v>
      </c>
      <c r="P69" s="868">
        <f>SUBTOTAL(9,Q69:AF69)</f>
        <v>15000</v>
      </c>
      <c r="Q69" s="353">
        <v>15000</v>
      </c>
      <c r="R69" s="353"/>
      <c r="S69" s="353"/>
      <c r="T69" s="353"/>
      <c r="U69" s="353"/>
      <c r="V69" s="353"/>
      <c r="W69" s="353"/>
      <c r="X69" s="353"/>
      <c r="Y69" s="353"/>
      <c r="Z69" s="353"/>
      <c r="AA69" s="353"/>
      <c r="AB69" s="353"/>
      <c r="AC69" s="353"/>
      <c r="AD69" s="353"/>
      <c r="AE69" s="353"/>
      <c r="AF69" s="353"/>
      <c r="AG69" s="1113" t="s">
        <v>3701</v>
      </c>
      <c r="AH69" s="1111" t="s">
        <v>3702</v>
      </c>
      <c r="AI69" s="850">
        <v>42</v>
      </c>
      <c r="AJ69" s="850">
        <v>7</v>
      </c>
      <c r="AK69" s="850">
        <v>3000</v>
      </c>
      <c r="AL69" s="390">
        <v>436225</v>
      </c>
      <c r="AM69" s="851" t="s">
        <v>3703</v>
      </c>
      <c r="AN69" s="848"/>
      <c r="AO69" s="850" t="s">
        <v>536</v>
      </c>
      <c r="AP69" s="850" t="s">
        <v>536</v>
      </c>
      <c r="AQ69" s="850" t="s">
        <v>536</v>
      </c>
      <c r="AR69" s="850" t="s">
        <v>536</v>
      </c>
      <c r="AS69" s="850" t="s">
        <v>536</v>
      </c>
      <c r="AT69" s="850" t="s">
        <v>536</v>
      </c>
      <c r="AU69" s="850" t="s">
        <v>536</v>
      </c>
      <c r="AV69" s="850" t="s">
        <v>536</v>
      </c>
      <c r="AW69" s="850" t="s">
        <v>536</v>
      </c>
      <c r="AX69" s="850" t="s">
        <v>536</v>
      </c>
      <c r="AY69" s="850" t="s">
        <v>536</v>
      </c>
      <c r="AZ69" s="849" t="s">
        <v>3671</v>
      </c>
      <c r="BA69" s="848"/>
    </row>
    <row r="70" spans="1:53" ht="210.75" thickBot="1" x14ac:dyDescent="0.3">
      <c r="A70" s="847" t="s">
        <v>1276</v>
      </c>
      <c r="B70" s="847" t="s">
        <v>1277</v>
      </c>
      <c r="C70" s="942"/>
      <c r="D70" s="942"/>
      <c r="E70" s="942"/>
      <c r="F70" s="851" t="s">
        <v>3697</v>
      </c>
      <c r="G70" s="942"/>
      <c r="H70" s="847" t="s">
        <v>3704</v>
      </c>
      <c r="I70" s="847" t="s">
        <v>3705</v>
      </c>
      <c r="J70" s="850">
        <v>0</v>
      </c>
      <c r="K70" s="849" t="s">
        <v>526</v>
      </c>
      <c r="L70" s="500">
        <v>1</v>
      </c>
      <c r="M70" s="500">
        <v>0.25</v>
      </c>
      <c r="N70" s="847" t="s">
        <v>3705</v>
      </c>
      <c r="O70" s="870">
        <v>0</v>
      </c>
      <c r="P70" s="868">
        <f t="shared" ref="P70:P74" si="4">SUBTOTAL(9,Q70:AF70)</f>
        <v>10000</v>
      </c>
      <c r="Q70" s="353">
        <v>10000</v>
      </c>
      <c r="R70" s="353"/>
      <c r="S70" s="353"/>
      <c r="T70" s="353"/>
      <c r="U70" s="353"/>
      <c r="V70" s="353"/>
      <c r="W70" s="353"/>
      <c r="X70" s="353"/>
      <c r="Y70" s="353"/>
      <c r="Z70" s="353"/>
      <c r="AA70" s="353"/>
      <c r="AB70" s="353"/>
      <c r="AC70" s="353"/>
      <c r="AD70" s="353"/>
      <c r="AE70" s="353"/>
      <c r="AF70" s="353"/>
      <c r="AG70" s="1113" t="s">
        <v>3701</v>
      </c>
      <c r="AH70" s="1111" t="s">
        <v>3702</v>
      </c>
      <c r="AI70" s="850">
        <v>42</v>
      </c>
      <c r="AJ70" s="850">
        <v>7</v>
      </c>
      <c r="AK70" s="850">
        <v>3000</v>
      </c>
      <c r="AL70" s="390">
        <v>436225</v>
      </c>
      <c r="AM70" s="851" t="s">
        <v>3706</v>
      </c>
      <c r="AN70" s="848"/>
      <c r="AO70" s="848"/>
      <c r="AP70" s="848"/>
      <c r="AQ70" s="848"/>
      <c r="AR70" s="848"/>
      <c r="AS70" s="848"/>
      <c r="AT70" s="848"/>
      <c r="AU70" s="848"/>
      <c r="AV70" s="848"/>
      <c r="AW70" s="848"/>
      <c r="AX70" s="848"/>
      <c r="AY70" s="848"/>
      <c r="AZ70" s="849" t="s">
        <v>3671</v>
      </c>
      <c r="BA70" s="848"/>
    </row>
    <row r="71" spans="1:53" ht="409.6" thickBot="1" x14ac:dyDescent="0.3">
      <c r="A71" s="847" t="s">
        <v>1276</v>
      </c>
      <c r="B71" s="847" t="s">
        <v>3625</v>
      </c>
      <c r="C71" s="942"/>
      <c r="D71" s="942"/>
      <c r="E71" s="942"/>
      <c r="F71" s="851" t="s">
        <v>3697</v>
      </c>
      <c r="G71" s="942"/>
      <c r="H71" s="847" t="s">
        <v>3707</v>
      </c>
      <c r="I71" s="847" t="s">
        <v>3708</v>
      </c>
      <c r="J71" s="849" t="s">
        <v>3709</v>
      </c>
      <c r="K71" s="849" t="s">
        <v>526</v>
      </c>
      <c r="L71" s="443">
        <v>0.8</v>
      </c>
      <c r="M71" s="443">
        <v>0.2</v>
      </c>
      <c r="N71" s="847" t="s">
        <v>3708</v>
      </c>
      <c r="O71" s="870">
        <v>0.1</v>
      </c>
      <c r="P71" s="868">
        <f t="shared" si="4"/>
        <v>7500</v>
      </c>
      <c r="Q71" s="353">
        <v>7500</v>
      </c>
      <c r="R71" s="353"/>
      <c r="S71" s="353"/>
      <c r="T71" s="353"/>
      <c r="U71" s="353"/>
      <c r="V71" s="353"/>
      <c r="W71" s="353"/>
      <c r="X71" s="353"/>
      <c r="Y71" s="353"/>
      <c r="Z71" s="353"/>
      <c r="AA71" s="353"/>
      <c r="AB71" s="353"/>
      <c r="AC71" s="353"/>
      <c r="AD71" s="353"/>
      <c r="AE71" s="353"/>
      <c r="AF71" s="353"/>
      <c r="AG71" s="1113" t="s">
        <v>3701</v>
      </c>
      <c r="AH71" s="1111" t="s">
        <v>3702</v>
      </c>
      <c r="AI71" s="850">
        <v>42</v>
      </c>
      <c r="AJ71" s="850">
        <v>7</v>
      </c>
      <c r="AK71" s="850">
        <v>3000</v>
      </c>
      <c r="AL71" s="390">
        <v>436225</v>
      </c>
      <c r="AM71" s="851" t="s">
        <v>3710</v>
      </c>
      <c r="AN71" s="848"/>
      <c r="AO71" s="848"/>
      <c r="AP71" s="848"/>
      <c r="AQ71" s="848"/>
      <c r="AR71" s="848"/>
      <c r="AS71" s="848"/>
      <c r="AT71" s="848"/>
      <c r="AU71" s="848"/>
      <c r="AV71" s="848"/>
      <c r="AW71" s="848"/>
      <c r="AX71" s="848"/>
      <c r="AY71" s="848"/>
      <c r="AZ71" s="849" t="s">
        <v>3671</v>
      </c>
      <c r="BA71" s="848"/>
    </row>
    <row r="72" spans="1:53" ht="409.6" thickBot="1" x14ac:dyDescent="0.3">
      <c r="A72" s="847" t="s">
        <v>1276</v>
      </c>
      <c r="B72" s="847" t="s">
        <v>3625</v>
      </c>
      <c r="C72" s="942"/>
      <c r="D72" s="942"/>
      <c r="E72" s="942"/>
      <c r="F72" s="851" t="s">
        <v>3697</v>
      </c>
      <c r="G72" s="942"/>
      <c r="H72" s="847" t="s">
        <v>3711</v>
      </c>
      <c r="I72" s="847" t="s">
        <v>3712</v>
      </c>
      <c r="J72" s="850">
        <v>0</v>
      </c>
      <c r="K72" s="850" t="s">
        <v>526</v>
      </c>
      <c r="L72" s="850">
        <v>1</v>
      </c>
      <c r="M72" s="850">
        <v>0.3</v>
      </c>
      <c r="N72" s="847" t="s">
        <v>3712</v>
      </c>
      <c r="O72" s="870">
        <v>0.15</v>
      </c>
      <c r="P72" s="868">
        <f t="shared" si="4"/>
        <v>7000</v>
      </c>
      <c r="Q72" s="353">
        <v>7000</v>
      </c>
      <c r="R72" s="353"/>
      <c r="S72" s="353"/>
      <c r="T72" s="353"/>
      <c r="U72" s="353"/>
      <c r="V72" s="353"/>
      <c r="W72" s="353"/>
      <c r="X72" s="353"/>
      <c r="Y72" s="353"/>
      <c r="Z72" s="353"/>
      <c r="AA72" s="353"/>
      <c r="AB72" s="353"/>
      <c r="AC72" s="353"/>
      <c r="AD72" s="353"/>
      <c r="AE72" s="353"/>
      <c r="AF72" s="353"/>
      <c r="AG72" s="1113" t="s">
        <v>3701</v>
      </c>
      <c r="AH72" s="1111" t="s">
        <v>3702</v>
      </c>
      <c r="AI72" s="850">
        <v>42</v>
      </c>
      <c r="AJ72" s="850">
        <v>7</v>
      </c>
      <c r="AK72" s="850">
        <v>3000</v>
      </c>
      <c r="AL72" s="390">
        <v>436225</v>
      </c>
      <c r="AM72" s="851" t="s">
        <v>3713</v>
      </c>
      <c r="AN72" s="848"/>
      <c r="AO72" s="848"/>
      <c r="AP72" s="848"/>
      <c r="AQ72" s="848"/>
      <c r="AR72" s="848"/>
      <c r="AS72" s="848"/>
      <c r="AT72" s="848"/>
      <c r="AU72" s="848"/>
      <c r="AV72" s="848"/>
      <c r="AW72" s="848"/>
      <c r="AX72" s="848"/>
      <c r="AY72" s="848"/>
      <c r="AZ72" s="849" t="s">
        <v>3671</v>
      </c>
      <c r="BA72" s="848"/>
    </row>
    <row r="73" spans="1:53" ht="409.6" thickBot="1" x14ac:dyDescent="0.3">
      <c r="A73" s="847" t="s">
        <v>1276</v>
      </c>
      <c r="B73" s="847" t="s">
        <v>3625</v>
      </c>
      <c r="C73" s="942"/>
      <c r="D73" s="942"/>
      <c r="E73" s="942"/>
      <c r="F73" s="851" t="s">
        <v>3697</v>
      </c>
      <c r="G73" s="942"/>
      <c r="H73" s="847" t="s">
        <v>3714</v>
      </c>
      <c r="I73" s="847" t="s">
        <v>3715</v>
      </c>
      <c r="J73" s="850">
        <v>0</v>
      </c>
      <c r="K73" s="850" t="s">
        <v>526</v>
      </c>
      <c r="L73" s="850">
        <v>1</v>
      </c>
      <c r="M73" s="850">
        <v>0.3</v>
      </c>
      <c r="N73" s="847" t="s">
        <v>3715</v>
      </c>
      <c r="O73" s="870">
        <v>0.24</v>
      </c>
      <c r="P73" s="868">
        <f t="shared" si="4"/>
        <v>10000</v>
      </c>
      <c r="Q73" s="353">
        <v>10000</v>
      </c>
      <c r="R73" s="353"/>
      <c r="S73" s="353"/>
      <c r="T73" s="353"/>
      <c r="U73" s="353"/>
      <c r="V73" s="353"/>
      <c r="W73" s="353"/>
      <c r="X73" s="353"/>
      <c r="Y73" s="353"/>
      <c r="Z73" s="353"/>
      <c r="AA73" s="353"/>
      <c r="AB73" s="353"/>
      <c r="AC73" s="353"/>
      <c r="AD73" s="353"/>
      <c r="AE73" s="353"/>
      <c r="AF73" s="353"/>
      <c r="AG73" s="1113" t="s">
        <v>3701</v>
      </c>
      <c r="AH73" s="1111" t="s">
        <v>3702</v>
      </c>
      <c r="AI73" s="850">
        <v>42</v>
      </c>
      <c r="AJ73" s="850">
        <v>7</v>
      </c>
      <c r="AK73" s="850">
        <v>3000</v>
      </c>
      <c r="AL73" s="390">
        <v>436225</v>
      </c>
      <c r="AM73" s="851" t="s">
        <v>3716</v>
      </c>
      <c r="AN73" s="848"/>
      <c r="AO73" s="848"/>
      <c r="AP73" s="848"/>
      <c r="AQ73" s="848"/>
      <c r="AR73" s="848"/>
      <c r="AS73" s="848"/>
      <c r="AT73" s="848"/>
      <c r="AU73" s="848"/>
      <c r="AV73" s="848"/>
      <c r="AW73" s="848"/>
      <c r="AX73" s="848"/>
      <c r="AY73" s="848"/>
      <c r="AZ73" s="849" t="s">
        <v>3671</v>
      </c>
      <c r="BA73" s="848"/>
    </row>
    <row r="74" spans="1:53" ht="195" x14ac:dyDescent="0.25">
      <c r="A74" s="847" t="s">
        <v>1276</v>
      </c>
      <c r="B74" s="847" t="s">
        <v>3625</v>
      </c>
      <c r="C74" s="847" t="s">
        <v>3717</v>
      </c>
      <c r="D74" s="847" t="s">
        <v>3718</v>
      </c>
      <c r="E74" s="847">
        <v>0</v>
      </c>
      <c r="F74" s="851" t="s">
        <v>3697</v>
      </c>
      <c r="G74" s="942"/>
      <c r="H74" s="847" t="s">
        <v>3719</v>
      </c>
      <c r="I74" s="847" t="s">
        <v>3720</v>
      </c>
      <c r="J74" s="850">
        <v>0</v>
      </c>
      <c r="K74" s="850" t="s">
        <v>526</v>
      </c>
      <c r="L74" s="850">
        <v>1</v>
      </c>
      <c r="M74" s="850">
        <v>0.3</v>
      </c>
      <c r="N74" s="847" t="s">
        <v>3720</v>
      </c>
      <c r="O74" s="870">
        <v>0</v>
      </c>
      <c r="P74" s="868">
        <f t="shared" si="4"/>
        <v>20000</v>
      </c>
      <c r="Q74" s="353">
        <v>20000</v>
      </c>
      <c r="R74" s="353"/>
      <c r="S74" s="353"/>
      <c r="T74" s="353"/>
      <c r="U74" s="353"/>
      <c r="V74" s="353"/>
      <c r="W74" s="353"/>
      <c r="X74" s="353"/>
      <c r="Y74" s="353"/>
      <c r="Z74" s="353"/>
      <c r="AA74" s="353"/>
      <c r="AB74" s="353"/>
      <c r="AC74" s="353"/>
      <c r="AD74" s="353"/>
      <c r="AE74" s="353"/>
      <c r="AF74" s="353"/>
      <c r="AG74" s="1113" t="s">
        <v>3701</v>
      </c>
      <c r="AH74" s="1111" t="s">
        <v>3702</v>
      </c>
      <c r="AI74" s="850">
        <v>42</v>
      </c>
      <c r="AJ74" s="850">
        <v>7</v>
      </c>
      <c r="AK74" s="850">
        <v>3000</v>
      </c>
      <c r="AL74" s="390">
        <v>436225</v>
      </c>
      <c r="AM74" s="851" t="s">
        <v>3721</v>
      </c>
      <c r="AN74" s="848"/>
      <c r="AO74" s="848"/>
      <c r="AP74" s="848"/>
      <c r="AQ74" s="848"/>
      <c r="AR74" s="848"/>
      <c r="AS74" s="848"/>
      <c r="AT74" s="848"/>
      <c r="AU74" s="848"/>
      <c r="AV74" s="848"/>
      <c r="AW74" s="848"/>
      <c r="AX74" s="848"/>
      <c r="AY74" s="848"/>
      <c r="AZ74" s="849" t="s">
        <v>3671</v>
      </c>
      <c r="BA74" s="848"/>
    </row>
  </sheetData>
  <sheetProtection password="DFEF" sheet="1" objects="1" scenarios="1"/>
  <mergeCells count="59">
    <mergeCell ref="E69:E73"/>
    <mergeCell ref="G69:G74"/>
    <mergeCell ref="AM13:AM14"/>
    <mergeCell ref="AN13:AY13"/>
    <mergeCell ref="AZ13:AZ14"/>
    <mergeCell ref="BA13:BA14"/>
    <mergeCell ref="C15:C27"/>
    <mergeCell ref="D15:D27"/>
    <mergeCell ref="E15:E27"/>
    <mergeCell ref="G15:G27"/>
    <mergeCell ref="AH13:AH14"/>
    <mergeCell ref="AI13:AI14"/>
    <mergeCell ref="AJ13:AJ14"/>
    <mergeCell ref="AK13:AK14"/>
    <mergeCell ref="AL13:AL14"/>
    <mergeCell ref="A2:L2"/>
    <mergeCell ref="A3:L3"/>
    <mergeCell ref="A5:L5"/>
    <mergeCell ref="A6:L6"/>
    <mergeCell ref="A9:M9"/>
    <mergeCell ref="A11:M11"/>
    <mergeCell ref="A13:A14"/>
    <mergeCell ref="B13:B14"/>
    <mergeCell ref="C13:C14"/>
    <mergeCell ref="D13:D14"/>
    <mergeCell ref="E13:E14"/>
    <mergeCell ref="F13:F14"/>
    <mergeCell ref="G13:G14"/>
    <mergeCell ref="H13:H14"/>
    <mergeCell ref="I13:I14"/>
    <mergeCell ref="J13:J14"/>
    <mergeCell ref="K13:K14"/>
    <mergeCell ref="L13:L14"/>
    <mergeCell ref="M13:M14"/>
    <mergeCell ref="N13:O13"/>
    <mergeCell ref="P13:P14"/>
    <mergeCell ref="Q13:AF13"/>
    <mergeCell ref="AG13:AG14"/>
    <mergeCell ref="C28:C45"/>
    <mergeCell ref="D28:D45"/>
    <mergeCell ref="E28:E45"/>
    <mergeCell ref="G28:G45"/>
    <mergeCell ref="C46:C52"/>
    <mergeCell ref="D46:D52"/>
    <mergeCell ref="E46:E52"/>
    <mergeCell ref="G46:G52"/>
    <mergeCell ref="C53:C57"/>
    <mergeCell ref="D53:D57"/>
    <mergeCell ref="E53:E57"/>
    <mergeCell ref="G53:G61"/>
    <mergeCell ref="C58:C61"/>
    <mergeCell ref="D58:D61"/>
    <mergeCell ref="E58:E61"/>
    <mergeCell ref="C62:C68"/>
    <mergeCell ref="D62:D68"/>
    <mergeCell ref="E62:E68"/>
    <mergeCell ref="G62:G68"/>
    <mergeCell ref="C69:C73"/>
    <mergeCell ref="D69:D7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3"/>
  <sheetViews>
    <sheetView topLeftCell="D10" zoomScale="70" zoomScaleNormal="70" workbookViewId="0">
      <selection activeCell="I17" sqref="I17"/>
    </sheetView>
  </sheetViews>
  <sheetFormatPr baseColWidth="10" defaultRowHeight="15" x14ac:dyDescent="0.25"/>
  <cols>
    <col min="2" max="2" width="17.28515625" customWidth="1"/>
    <col min="3" max="3" width="18" customWidth="1"/>
    <col min="4" max="4" width="16.42578125" customWidth="1"/>
    <col min="5" max="6" width="15.85546875" customWidth="1"/>
    <col min="7" max="7" width="17.5703125" customWidth="1"/>
    <col min="8" max="8" width="14.42578125" customWidth="1"/>
    <col min="9" max="9" width="14.85546875" customWidth="1"/>
    <col min="11" max="11" width="14.42578125" customWidth="1"/>
    <col min="13" max="13" width="13.7109375" customWidth="1"/>
    <col min="14" max="14" width="19" customWidth="1"/>
    <col min="22" max="22" width="15.85546875" customWidth="1"/>
    <col min="34" max="34" width="16.5703125" customWidth="1"/>
    <col min="35" max="35" width="20.28515625" customWidth="1"/>
    <col min="36" max="36" width="35.28515625" customWidth="1"/>
    <col min="38" max="38" width="21.140625" customWidth="1"/>
    <col min="39" max="39" width="15.140625" customWidth="1"/>
    <col min="40" max="40" width="15.7109375" customWidth="1"/>
    <col min="41" max="52" width="6.7109375" customWidth="1"/>
    <col min="53" max="53" width="15.28515625" customWidth="1"/>
    <col min="54" max="54" width="22.42578125" customWidth="1"/>
  </cols>
  <sheetData>
    <row r="1" spans="1:54" x14ac:dyDescent="0.25">
      <c r="A1" s="96"/>
      <c r="B1" s="96"/>
      <c r="C1" s="96"/>
      <c r="D1" s="96"/>
      <c r="E1" s="96"/>
      <c r="F1" s="96"/>
      <c r="G1" s="96"/>
      <c r="H1" s="97"/>
      <c r="I1" s="96"/>
      <c r="J1" s="96"/>
      <c r="K1" s="96"/>
      <c r="L1" s="96"/>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row>
    <row r="2" spans="1:54" ht="18" x14ac:dyDescent="0.25">
      <c r="A2" s="958" t="s">
        <v>481</v>
      </c>
      <c r="B2" s="958"/>
      <c r="C2" s="958"/>
      <c r="D2" s="958"/>
      <c r="E2" s="958"/>
      <c r="F2" s="958"/>
      <c r="G2" s="958"/>
      <c r="H2" s="958"/>
      <c r="I2" s="958"/>
      <c r="J2" s="958"/>
      <c r="K2" s="958"/>
      <c r="L2" s="95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row>
    <row r="3" spans="1:54" ht="18" x14ac:dyDescent="0.25">
      <c r="A3" s="959" t="s">
        <v>482</v>
      </c>
      <c r="B3" s="959"/>
      <c r="C3" s="959"/>
      <c r="D3" s="959"/>
      <c r="E3" s="959"/>
      <c r="F3" s="959"/>
      <c r="G3" s="959"/>
      <c r="H3" s="959"/>
      <c r="I3" s="959"/>
      <c r="J3" s="959"/>
      <c r="K3" s="959"/>
      <c r="L3" s="959"/>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row>
    <row r="4" spans="1:54" x14ac:dyDescent="0.25">
      <c r="A4" s="101"/>
      <c r="B4" s="96"/>
      <c r="C4" s="96"/>
      <c r="D4" s="96"/>
      <c r="E4" s="96"/>
      <c r="F4" s="96"/>
      <c r="G4" s="96"/>
      <c r="H4" s="97"/>
      <c r="I4" s="96"/>
      <c r="J4" s="96"/>
      <c r="K4" s="96"/>
      <c r="L4" s="96"/>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row>
    <row r="5" spans="1:54" ht="18" x14ac:dyDescent="0.25">
      <c r="A5" s="960" t="s">
        <v>483</v>
      </c>
      <c r="B5" s="960"/>
      <c r="C5" s="960"/>
      <c r="D5" s="960"/>
      <c r="E5" s="960"/>
      <c r="F5" s="960"/>
      <c r="G5" s="960"/>
      <c r="H5" s="960"/>
      <c r="I5" s="960"/>
      <c r="J5" s="960"/>
      <c r="K5" s="960"/>
      <c r="L5" s="960"/>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row>
    <row r="6" spans="1:54" ht="18" x14ac:dyDescent="0.25">
      <c r="A6" s="958" t="s">
        <v>528</v>
      </c>
      <c r="B6" s="958"/>
      <c r="C6" s="958"/>
      <c r="D6" s="958"/>
      <c r="E6" s="958"/>
      <c r="F6" s="958"/>
      <c r="G6" s="958"/>
      <c r="H6" s="958"/>
      <c r="I6" s="958"/>
      <c r="J6" s="958"/>
      <c r="K6" s="958"/>
      <c r="L6" s="95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row>
    <row r="7" spans="1:54" ht="18" x14ac:dyDescent="0.25">
      <c r="A7" s="100"/>
      <c r="B7" s="100"/>
      <c r="C7" s="100"/>
      <c r="D7" s="100"/>
      <c r="E7" s="100"/>
      <c r="F7" s="100"/>
      <c r="G7" s="100"/>
      <c r="H7" s="100"/>
      <c r="I7" s="100"/>
      <c r="J7" s="100"/>
      <c r="K7" s="100"/>
      <c r="L7" s="100"/>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row>
    <row r="8" spans="1:54" ht="18" x14ac:dyDescent="0.25">
      <c r="A8" s="100"/>
      <c r="B8" s="100"/>
      <c r="C8" s="100"/>
      <c r="D8" s="100"/>
      <c r="E8" s="100"/>
      <c r="F8" s="100"/>
      <c r="G8" s="100"/>
      <c r="H8" s="100"/>
      <c r="I8" s="100"/>
      <c r="J8" s="100"/>
      <c r="K8" s="100"/>
      <c r="L8" s="100"/>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row>
    <row r="9" spans="1:54" x14ac:dyDescent="0.25">
      <c r="A9" s="961" t="s">
        <v>2499</v>
      </c>
      <c r="B9" s="961"/>
      <c r="C9" s="961"/>
      <c r="D9" s="961"/>
      <c r="E9" s="961"/>
      <c r="F9" s="961"/>
      <c r="G9" s="961"/>
      <c r="H9" s="961"/>
      <c r="I9" s="961"/>
      <c r="J9" s="961"/>
      <c r="K9" s="961"/>
      <c r="L9" s="961"/>
      <c r="M9" s="961"/>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row>
    <row r="10" spans="1:54" ht="18" x14ac:dyDescent="0.25">
      <c r="A10" s="102"/>
      <c r="B10" s="102"/>
      <c r="C10" s="102"/>
      <c r="D10" s="102"/>
      <c r="E10" s="102"/>
      <c r="F10" s="100"/>
      <c r="G10" s="100"/>
      <c r="H10" s="100"/>
      <c r="I10" s="100"/>
      <c r="J10" s="100"/>
      <c r="K10" s="100"/>
      <c r="L10" s="100"/>
      <c r="M10" s="100"/>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row>
    <row r="11" spans="1:54" x14ac:dyDescent="0.25">
      <c r="A11" s="961" t="s">
        <v>951</v>
      </c>
      <c r="B11" s="961"/>
      <c r="C11" s="961"/>
      <c r="D11" s="961"/>
      <c r="E11" s="961"/>
      <c r="F11" s="961"/>
      <c r="G11" s="961"/>
      <c r="H11" s="961"/>
      <c r="I11" s="961"/>
      <c r="J11" s="961"/>
      <c r="K11" s="961"/>
      <c r="L11" s="961"/>
      <c r="M11" s="961"/>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1:54" ht="18" x14ac:dyDescent="0.25">
      <c r="A12" s="100"/>
      <c r="B12" s="100"/>
      <c r="C12" s="100"/>
      <c r="D12" s="100"/>
      <c r="E12" s="100"/>
      <c r="F12" s="100"/>
      <c r="G12" s="100"/>
      <c r="H12" s="100"/>
      <c r="I12" s="100"/>
      <c r="J12" s="100"/>
      <c r="K12" s="100"/>
      <c r="L12" s="100"/>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1:54" x14ac:dyDescent="0.25">
      <c r="A13" s="96"/>
      <c r="B13" s="96"/>
      <c r="C13" s="96"/>
      <c r="D13" s="96"/>
      <c r="E13" s="96"/>
      <c r="F13" s="96"/>
      <c r="G13" s="96"/>
      <c r="H13" s="97"/>
      <c r="I13" s="96"/>
      <c r="J13" s="96"/>
      <c r="K13" s="96"/>
      <c r="L13" s="96"/>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1:54" ht="46.5" customHeight="1" x14ac:dyDescent="0.25">
      <c r="A14" s="914" t="s">
        <v>62</v>
      </c>
      <c r="B14" s="914" t="s">
        <v>63</v>
      </c>
      <c r="C14" s="894" t="s">
        <v>0</v>
      </c>
      <c r="D14" s="894" t="s">
        <v>1</v>
      </c>
      <c r="E14" s="894" t="s">
        <v>2</v>
      </c>
      <c r="F14" s="894" t="s">
        <v>3</v>
      </c>
      <c r="G14" s="894" t="s">
        <v>64</v>
      </c>
      <c r="H14" s="894" t="s">
        <v>65</v>
      </c>
      <c r="I14" s="894" t="s">
        <v>66</v>
      </c>
      <c r="J14" s="894" t="s">
        <v>67</v>
      </c>
      <c r="K14" s="894" t="s">
        <v>480</v>
      </c>
      <c r="L14" s="894" t="s">
        <v>521</v>
      </c>
      <c r="M14" s="889" t="s">
        <v>529</v>
      </c>
      <c r="N14" s="891" t="s">
        <v>66</v>
      </c>
      <c r="O14" s="893"/>
      <c r="P14" s="889" t="s">
        <v>532</v>
      </c>
      <c r="Q14" s="1000" t="s">
        <v>484</v>
      </c>
      <c r="R14" s="1001"/>
      <c r="S14" s="1001"/>
      <c r="T14" s="1001"/>
      <c r="U14" s="1001"/>
      <c r="V14" s="1001"/>
      <c r="W14" s="1001"/>
      <c r="X14" s="1001"/>
      <c r="Y14" s="1001"/>
      <c r="Z14" s="1001"/>
      <c r="AA14" s="1001"/>
      <c r="AB14" s="1001"/>
      <c r="AC14" s="1001"/>
      <c r="AD14" s="1001"/>
      <c r="AE14" s="1001"/>
      <c r="AF14" s="1002"/>
      <c r="AG14" s="489"/>
      <c r="AH14" s="1003" t="s">
        <v>485</v>
      </c>
      <c r="AI14" s="1025" t="s">
        <v>531</v>
      </c>
      <c r="AJ14" s="1003" t="s">
        <v>952</v>
      </c>
      <c r="AK14" s="1003" t="s">
        <v>511</v>
      </c>
      <c r="AL14" s="1003" t="s">
        <v>486</v>
      </c>
      <c r="AM14" s="1003" t="s">
        <v>535</v>
      </c>
      <c r="AN14" s="1003" t="s">
        <v>487</v>
      </c>
      <c r="AO14" s="1007" t="s">
        <v>524</v>
      </c>
      <c r="AP14" s="1008"/>
      <c r="AQ14" s="1008"/>
      <c r="AR14" s="1008"/>
      <c r="AS14" s="1008"/>
      <c r="AT14" s="1008"/>
      <c r="AU14" s="1008"/>
      <c r="AV14" s="1008"/>
      <c r="AW14" s="1008"/>
      <c r="AX14" s="1008"/>
      <c r="AY14" s="1008"/>
      <c r="AZ14" s="1009"/>
      <c r="BA14" s="1005" t="s">
        <v>512</v>
      </c>
      <c r="BB14" s="950" t="s">
        <v>488</v>
      </c>
    </row>
    <row r="15" spans="1:54" ht="78.75" customHeight="1" x14ac:dyDescent="0.25">
      <c r="A15" s="915"/>
      <c r="B15" s="915"/>
      <c r="C15" s="895"/>
      <c r="D15" s="895"/>
      <c r="E15" s="895"/>
      <c r="F15" s="895"/>
      <c r="G15" s="895"/>
      <c r="H15" s="895"/>
      <c r="I15" s="895"/>
      <c r="J15" s="895"/>
      <c r="K15" s="895"/>
      <c r="L15" s="895"/>
      <c r="M15" s="890"/>
      <c r="N15" s="93" t="s">
        <v>489</v>
      </c>
      <c r="O15" s="93" t="s">
        <v>530</v>
      </c>
      <c r="P15" s="890"/>
      <c r="Q15" s="94" t="s">
        <v>490</v>
      </c>
      <c r="R15" s="94" t="s">
        <v>533</v>
      </c>
      <c r="S15" s="94" t="s">
        <v>491</v>
      </c>
      <c r="T15" s="94" t="s">
        <v>492</v>
      </c>
      <c r="U15" s="94" t="s">
        <v>522</v>
      </c>
      <c r="V15" s="94" t="s">
        <v>493</v>
      </c>
      <c r="W15" s="94" t="s">
        <v>494</v>
      </c>
      <c r="X15" s="94" t="s">
        <v>495</v>
      </c>
      <c r="Y15" s="94" t="s">
        <v>496</v>
      </c>
      <c r="Z15" s="94" t="s">
        <v>497</v>
      </c>
      <c r="AA15" s="94" t="s">
        <v>523</v>
      </c>
      <c r="AB15" s="94" t="s">
        <v>534</v>
      </c>
      <c r="AC15" s="94" t="s">
        <v>498</v>
      </c>
      <c r="AD15" s="94" t="s">
        <v>499</v>
      </c>
      <c r="AE15" s="94" t="s">
        <v>500</v>
      </c>
      <c r="AF15" s="94" t="s">
        <v>501</v>
      </c>
      <c r="AG15" s="490" t="s">
        <v>2309</v>
      </c>
      <c r="AH15" s="1004"/>
      <c r="AI15" s="1026"/>
      <c r="AJ15" s="1004"/>
      <c r="AK15" s="1004"/>
      <c r="AL15" s="1004"/>
      <c r="AM15" s="1004"/>
      <c r="AN15" s="1004"/>
      <c r="AO15" s="465" t="s">
        <v>502</v>
      </c>
      <c r="AP15" s="465" t="s">
        <v>503</v>
      </c>
      <c r="AQ15" s="465" t="s">
        <v>504</v>
      </c>
      <c r="AR15" s="465" t="s">
        <v>505</v>
      </c>
      <c r="AS15" s="465" t="s">
        <v>504</v>
      </c>
      <c r="AT15" s="465" t="s">
        <v>506</v>
      </c>
      <c r="AU15" s="465" t="s">
        <v>506</v>
      </c>
      <c r="AV15" s="465" t="s">
        <v>505</v>
      </c>
      <c r="AW15" s="465" t="s">
        <v>507</v>
      </c>
      <c r="AX15" s="465" t="s">
        <v>508</v>
      </c>
      <c r="AY15" s="465" t="s">
        <v>509</v>
      </c>
      <c r="AZ15" s="465" t="s">
        <v>510</v>
      </c>
      <c r="BA15" s="1006"/>
      <c r="BB15" s="951"/>
    </row>
    <row r="16" spans="1:54" ht="228" x14ac:dyDescent="0.25">
      <c r="A16" s="108" t="s">
        <v>438</v>
      </c>
      <c r="B16" s="108" t="s">
        <v>1423</v>
      </c>
      <c r="C16" s="924" t="s">
        <v>2310</v>
      </c>
      <c r="D16" s="924" t="s">
        <v>2311</v>
      </c>
      <c r="E16" s="1027">
        <v>0</v>
      </c>
      <c r="F16" s="495" t="s">
        <v>2312</v>
      </c>
      <c r="G16" s="1028" t="s">
        <v>2313</v>
      </c>
      <c r="H16" s="184" t="s">
        <v>2314</v>
      </c>
      <c r="I16" s="495" t="s">
        <v>2315</v>
      </c>
      <c r="J16" s="174">
        <v>0</v>
      </c>
      <c r="K16" s="174" t="s">
        <v>526</v>
      </c>
      <c r="L16" s="174">
        <v>14</v>
      </c>
      <c r="M16" s="498">
        <v>3</v>
      </c>
      <c r="N16" s="108" t="s">
        <v>2316</v>
      </c>
      <c r="O16" s="498">
        <f>5+6</f>
        <v>11</v>
      </c>
      <c r="P16" s="507">
        <v>129145</v>
      </c>
      <c r="Q16" s="274"/>
      <c r="R16" s="274"/>
      <c r="S16" s="274"/>
      <c r="T16" s="274"/>
      <c r="U16" s="274"/>
      <c r="V16" s="509">
        <f>123740301/1000</f>
        <v>123740.30100000001</v>
      </c>
      <c r="W16" s="274"/>
      <c r="X16" s="274"/>
      <c r="Y16" s="274"/>
      <c r="Z16" s="510">
        <v>9141</v>
      </c>
      <c r="AA16" s="510">
        <v>0</v>
      </c>
      <c r="AB16" s="274"/>
      <c r="AC16" s="274"/>
      <c r="AD16" s="510"/>
      <c r="AE16" s="274"/>
      <c r="AF16" s="509"/>
      <c r="AG16" s="509">
        <f>SUM(Q16:AF16)</f>
        <v>132881.30100000001</v>
      </c>
      <c r="AH16" s="511" t="s">
        <v>2317</v>
      </c>
      <c r="AI16" s="512">
        <v>20016000030027</v>
      </c>
      <c r="AJ16" s="513" t="s">
        <v>2318</v>
      </c>
      <c r="AK16" s="136" t="s">
        <v>856</v>
      </c>
      <c r="AL16" s="136" t="s">
        <v>2319</v>
      </c>
      <c r="AM16" s="509">
        <f>+V16</f>
        <v>123740.30100000001</v>
      </c>
      <c r="AN16" s="108" t="s">
        <v>2320</v>
      </c>
      <c r="AO16" s="514" t="s">
        <v>554</v>
      </c>
      <c r="AP16" s="514" t="s">
        <v>554</v>
      </c>
      <c r="AQ16" s="514" t="s">
        <v>554</v>
      </c>
      <c r="AR16" s="514" t="s">
        <v>554</v>
      </c>
      <c r="AS16" s="514" t="s">
        <v>554</v>
      </c>
      <c r="AT16" s="514" t="s">
        <v>554</v>
      </c>
      <c r="AU16" s="514" t="s">
        <v>554</v>
      </c>
      <c r="AV16" s="514" t="s">
        <v>554</v>
      </c>
      <c r="AW16" s="514" t="s">
        <v>554</v>
      </c>
      <c r="AX16" s="514" t="s">
        <v>554</v>
      </c>
      <c r="AY16" s="514" t="s">
        <v>554</v>
      </c>
      <c r="AZ16" s="514" t="s">
        <v>554</v>
      </c>
      <c r="BA16" s="136" t="s">
        <v>2321</v>
      </c>
      <c r="BB16" s="136" t="s">
        <v>2322</v>
      </c>
    </row>
    <row r="17" spans="1:54" ht="283.5" x14ac:dyDescent="0.25">
      <c r="A17" s="108" t="s">
        <v>438</v>
      </c>
      <c r="B17" s="108" t="s">
        <v>1423</v>
      </c>
      <c r="C17" s="924"/>
      <c r="D17" s="924"/>
      <c r="E17" s="1027"/>
      <c r="F17" s="495" t="s">
        <v>2312</v>
      </c>
      <c r="G17" s="1028"/>
      <c r="H17" s="184" t="s">
        <v>2323</v>
      </c>
      <c r="I17" s="495" t="s">
        <v>2324</v>
      </c>
      <c r="J17" s="174">
        <v>0</v>
      </c>
      <c r="K17" s="174" t="s">
        <v>526</v>
      </c>
      <c r="L17" s="174">
        <v>1</v>
      </c>
      <c r="M17" s="498">
        <v>0</v>
      </c>
      <c r="N17" s="108"/>
      <c r="O17" s="514"/>
      <c r="P17" s="507">
        <v>0</v>
      </c>
      <c r="Q17" s="274"/>
      <c r="R17" s="274"/>
      <c r="S17" s="274"/>
      <c r="T17" s="274"/>
      <c r="U17" s="274"/>
      <c r="V17" s="498"/>
      <c r="W17" s="274"/>
      <c r="X17" s="274"/>
      <c r="Y17" s="274"/>
      <c r="Z17" s="510">
        <v>0</v>
      </c>
      <c r="AA17" s="510">
        <v>0</v>
      </c>
      <c r="AB17" s="274"/>
      <c r="AC17" s="274"/>
      <c r="AD17" s="510"/>
      <c r="AE17" s="274"/>
      <c r="AF17" s="174"/>
      <c r="AG17" s="174">
        <f t="shared" ref="AG17:AG25" si="0">SUM(V17:AF17)</f>
        <v>0</v>
      </c>
      <c r="AH17" s="274"/>
      <c r="AI17" s="537"/>
      <c r="AJ17" s="274"/>
      <c r="AK17" s="274"/>
      <c r="AL17" s="274"/>
      <c r="AM17" s="274"/>
      <c r="AN17" s="274"/>
      <c r="AO17" s="274"/>
      <c r="AP17" s="274"/>
      <c r="AQ17" s="274"/>
      <c r="AR17" s="274"/>
      <c r="AS17" s="274"/>
      <c r="AT17" s="274"/>
      <c r="AU17" s="274"/>
      <c r="AV17" s="274"/>
      <c r="AW17" s="274"/>
      <c r="AX17" s="274"/>
      <c r="AY17" s="274"/>
      <c r="AZ17" s="274"/>
      <c r="BA17" s="274"/>
      <c r="BB17" s="274"/>
    </row>
    <row r="18" spans="1:54" ht="315" x14ac:dyDescent="0.25">
      <c r="A18" s="108" t="s">
        <v>438</v>
      </c>
      <c r="B18" s="108" t="s">
        <v>1423</v>
      </c>
      <c r="C18" s="924"/>
      <c r="D18" s="924"/>
      <c r="E18" s="1027"/>
      <c r="F18" s="495" t="s">
        <v>2312</v>
      </c>
      <c r="G18" s="1028"/>
      <c r="H18" s="184" t="s">
        <v>2325</v>
      </c>
      <c r="I18" s="495" t="s">
        <v>2326</v>
      </c>
      <c r="J18" s="136" t="s">
        <v>2327</v>
      </c>
      <c r="K18" s="136" t="s">
        <v>526</v>
      </c>
      <c r="L18" s="136">
        <v>14</v>
      </c>
      <c r="M18" s="498">
        <v>3</v>
      </c>
      <c r="N18" s="108" t="s">
        <v>2326</v>
      </c>
      <c r="O18" s="498">
        <f>5+9</f>
        <v>14</v>
      </c>
      <c r="P18" s="507">
        <v>129142</v>
      </c>
      <c r="Q18" s="274"/>
      <c r="R18" s="274"/>
      <c r="S18" s="274"/>
      <c r="T18" s="274"/>
      <c r="U18" s="274"/>
      <c r="V18" s="509">
        <f>50439637.5/1000</f>
        <v>50439.637499999997</v>
      </c>
      <c r="W18" s="274"/>
      <c r="X18" s="274"/>
      <c r="Y18" s="274"/>
      <c r="Z18" s="510">
        <v>9143</v>
      </c>
      <c r="AA18" s="510"/>
      <c r="AB18" s="274"/>
      <c r="AC18" s="274"/>
      <c r="AD18" s="510"/>
      <c r="AE18" s="274"/>
      <c r="AF18" s="509"/>
      <c r="AG18" s="509">
        <f t="shared" si="0"/>
        <v>59582.637499999997</v>
      </c>
      <c r="AH18" s="511" t="s">
        <v>2317</v>
      </c>
      <c r="AI18" s="512">
        <v>20016000030027</v>
      </c>
      <c r="AJ18" s="136" t="s">
        <v>2328</v>
      </c>
      <c r="AK18" s="136" t="s">
        <v>2329</v>
      </c>
      <c r="AL18" s="136" t="s">
        <v>2319</v>
      </c>
      <c r="AM18" s="509">
        <f t="shared" ref="AM18:AM25" si="1">+V18</f>
        <v>50439.637499999997</v>
      </c>
      <c r="AN18" s="136" t="s">
        <v>2330</v>
      </c>
      <c r="AO18" s="514" t="s">
        <v>554</v>
      </c>
      <c r="AP18" s="514" t="s">
        <v>554</v>
      </c>
      <c r="AQ18" s="514" t="s">
        <v>554</v>
      </c>
      <c r="AR18" s="514" t="s">
        <v>554</v>
      </c>
      <c r="AS18" s="514" t="s">
        <v>554</v>
      </c>
      <c r="AT18" s="514" t="s">
        <v>554</v>
      </c>
      <c r="AU18" s="514" t="s">
        <v>554</v>
      </c>
      <c r="AV18" s="514" t="s">
        <v>554</v>
      </c>
      <c r="AW18" s="514" t="s">
        <v>554</v>
      </c>
      <c r="AX18" s="514" t="s">
        <v>554</v>
      </c>
      <c r="AY18" s="514" t="s">
        <v>554</v>
      </c>
      <c r="AZ18" s="514" t="s">
        <v>554</v>
      </c>
      <c r="BA18" s="136" t="s">
        <v>2321</v>
      </c>
      <c r="BB18" s="136" t="s">
        <v>2322</v>
      </c>
    </row>
    <row r="19" spans="1:54" ht="300" x14ac:dyDescent="0.25">
      <c r="A19" s="108" t="s">
        <v>438</v>
      </c>
      <c r="B19" s="108" t="s">
        <v>1423</v>
      </c>
      <c r="C19" s="924" t="s">
        <v>2331</v>
      </c>
      <c r="D19" s="924" t="s">
        <v>2332</v>
      </c>
      <c r="E19" s="1027" t="s">
        <v>2333</v>
      </c>
      <c r="F19" s="495" t="s">
        <v>2312</v>
      </c>
      <c r="G19" s="1028"/>
      <c r="H19" s="184" t="s">
        <v>2334</v>
      </c>
      <c r="I19" s="184" t="s">
        <v>2335</v>
      </c>
      <c r="J19" s="174">
        <v>2</v>
      </c>
      <c r="K19" s="174" t="s">
        <v>526</v>
      </c>
      <c r="L19" s="174">
        <v>7</v>
      </c>
      <c r="M19" s="498">
        <v>1</v>
      </c>
      <c r="N19" s="108" t="s">
        <v>2335</v>
      </c>
      <c r="O19" s="498">
        <f>2+3+3</f>
        <v>8</v>
      </c>
      <c r="P19" s="507">
        <v>226000</v>
      </c>
      <c r="Q19" s="274"/>
      <c r="R19" s="274"/>
      <c r="S19" s="274"/>
      <c r="T19" s="274"/>
      <c r="U19" s="274"/>
      <c r="V19" s="509">
        <f>113567000/1000</f>
        <v>113567</v>
      </c>
      <c r="W19" s="274"/>
      <c r="X19" s="274"/>
      <c r="Y19" s="274"/>
      <c r="Z19" s="510">
        <v>16000</v>
      </c>
      <c r="AA19" s="510"/>
      <c r="AB19" s="274"/>
      <c r="AC19" s="274"/>
      <c r="AD19" s="510"/>
      <c r="AE19" s="274"/>
      <c r="AF19" s="509"/>
      <c r="AG19" s="509">
        <f t="shared" si="0"/>
        <v>129567</v>
      </c>
      <c r="AH19" s="511" t="s">
        <v>2317</v>
      </c>
      <c r="AI19" s="512">
        <v>20016000030027</v>
      </c>
      <c r="AJ19" s="108" t="s">
        <v>2336</v>
      </c>
      <c r="AK19" s="136" t="s">
        <v>2337</v>
      </c>
      <c r="AL19" s="108" t="s">
        <v>2338</v>
      </c>
      <c r="AM19" s="273">
        <f t="shared" si="1"/>
        <v>113567</v>
      </c>
      <c r="AN19" s="108" t="s">
        <v>2339</v>
      </c>
      <c r="AO19" s="514" t="s">
        <v>554</v>
      </c>
      <c r="AP19" s="514" t="s">
        <v>554</v>
      </c>
      <c r="AQ19" s="514" t="s">
        <v>554</v>
      </c>
      <c r="AR19" s="514" t="s">
        <v>554</v>
      </c>
      <c r="AS19" s="514" t="s">
        <v>554</v>
      </c>
      <c r="AT19" s="514" t="s">
        <v>554</v>
      </c>
      <c r="AU19" s="514" t="s">
        <v>554</v>
      </c>
      <c r="AV19" s="514" t="s">
        <v>554</v>
      </c>
      <c r="AW19" s="514" t="s">
        <v>554</v>
      </c>
      <c r="AX19" s="514" t="s">
        <v>554</v>
      </c>
      <c r="AY19" s="514" t="s">
        <v>554</v>
      </c>
      <c r="AZ19" s="514" t="s">
        <v>554</v>
      </c>
      <c r="BA19" s="136" t="s">
        <v>2321</v>
      </c>
      <c r="BB19" s="136" t="s">
        <v>2322</v>
      </c>
    </row>
    <row r="20" spans="1:54" ht="409.5" x14ac:dyDescent="0.25">
      <c r="A20" s="108" t="s">
        <v>438</v>
      </c>
      <c r="B20" s="108" t="s">
        <v>1423</v>
      </c>
      <c r="C20" s="924"/>
      <c r="D20" s="924"/>
      <c r="E20" s="1027"/>
      <c r="F20" s="495" t="s">
        <v>2312</v>
      </c>
      <c r="G20" s="1028"/>
      <c r="H20" s="184" t="s">
        <v>2340</v>
      </c>
      <c r="I20" s="184" t="s">
        <v>2341</v>
      </c>
      <c r="J20" s="174">
        <v>0</v>
      </c>
      <c r="K20" s="174" t="s">
        <v>526</v>
      </c>
      <c r="L20" s="174">
        <v>1</v>
      </c>
      <c r="M20" s="498">
        <v>0.2</v>
      </c>
      <c r="N20" s="108" t="s">
        <v>2341</v>
      </c>
      <c r="O20" s="498">
        <f>0.4+0.4</f>
        <v>0.8</v>
      </c>
      <c r="P20" s="507">
        <v>96858</v>
      </c>
      <c r="Q20" s="274"/>
      <c r="R20" s="274"/>
      <c r="S20" s="274"/>
      <c r="T20" s="274"/>
      <c r="U20" s="274"/>
      <c r="V20" s="509">
        <f>74763434/1000</f>
        <v>74763.433999999994</v>
      </c>
      <c r="W20" s="274"/>
      <c r="X20" s="274"/>
      <c r="Y20" s="274"/>
      <c r="Z20" s="510">
        <v>6857</v>
      </c>
      <c r="AA20" s="510"/>
      <c r="AB20" s="274"/>
      <c r="AC20" s="274"/>
      <c r="AD20" s="510"/>
      <c r="AE20" s="274"/>
      <c r="AF20" s="509"/>
      <c r="AG20" s="509">
        <f t="shared" si="0"/>
        <v>81620.433999999994</v>
      </c>
      <c r="AH20" s="511" t="s">
        <v>2317</v>
      </c>
      <c r="AI20" s="512">
        <v>20016000030027</v>
      </c>
      <c r="AJ20" s="274"/>
      <c r="AK20" s="136" t="s">
        <v>2329</v>
      </c>
      <c r="AL20" s="136" t="s">
        <v>2328</v>
      </c>
      <c r="AM20" s="509">
        <f t="shared" si="1"/>
        <v>74763.433999999994</v>
      </c>
      <c r="AN20" s="108" t="s">
        <v>2342</v>
      </c>
      <c r="AO20" s="514" t="s">
        <v>554</v>
      </c>
      <c r="AP20" s="514" t="s">
        <v>554</v>
      </c>
      <c r="AQ20" s="514" t="s">
        <v>554</v>
      </c>
      <c r="AR20" s="514" t="s">
        <v>554</v>
      </c>
      <c r="AS20" s="514" t="s">
        <v>554</v>
      </c>
      <c r="AT20" s="514" t="s">
        <v>554</v>
      </c>
      <c r="AU20" s="514" t="s">
        <v>554</v>
      </c>
      <c r="AV20" s="514" t="s">
        <v>554</v>
      </c>
      <c r="AW20" s="514" t="s">
        <v>554</v>
      </c>
      <c r="AX20" s="514" t="s">
        <v>554</v>
      </c>
      <c r="AY20" s="514" t="s">
        <v>554</v>
      </c>
      <c r="AZ20" s="514" t="s">
        <v>554</v>
      </c>
      <c r="BA20" s="136" t="s">
        <v>2321</v>
      </c>
      <c r="BB20" s="136" t="s">
        <v>2322</v>
      </c>
    </row>
    <row r="21" spans="1:54" ht="120" x14ac:dyDescent="0.25">
      <c r="A21" s="108" t="s">
        <v>438</v>
      </c>
      <c r="B21" s="108" t="s">
        <v>1423</v>
      </c>
      <c r="C21" s="924"/>
      <c r="D21" s="924"/>
      <c r="E21" s="1027"/>
      <c r="F21" s="495" t="s">
        <v>2312</v>
      </c>
      <c r="G21" s="1028"/>
      <c r="H21" s="184" t="s">
        <v>2343</v>
      </c>
      <c r="I21" s="184" t="s">
        <v>2344</v>
      </c>
      <c r="J21" s="174">
        <v>0</v>
      </c>
      <c r="K21" s="174" t="s">
        <v>526</v>
      </c>
      <c r="L21" s="174">
        <v>2</v>
      </c>
      <c r="M21" s="498">
        <v>1</v>
      </c>
      <c r="N21" s="108" t="s">
        <v>2345</v>
      </c>
      <c r="O21" s="498">
        <v>2</v>
      </c>
      <c r="P21" s="507">
        <v>413999</v>
      </c>
      <c r="Q21" s="274"/>
      <c r="R21" s="274"/>
      <c r="S21" s="274"/>
      <c r="T21" s="274"/>
      <c r="U21" s="274"/>
      <c r="V21" s="509">
        <f>78296697.9/1000</f>
        <v>78296.697899999999</v>
      </c>
      <c r="W21" s="274"/>
      <c r="X21" s="274"/>
      <c r="Y21" s="274"/>
      <c r="Z21" s="510"/>
      <c r="AA21" s="510"/>
      <c r="AB21" s="274"/>
      <c r="AC21" s="274"/>
      <c r="AD21" s="510"/>
      <c r="AE21" s="274"/>
      <c r="AF21" s="509"/>
      <c r="AG21" s="509">
        <f t="shared" si="0"/>
        <v>78296.697899999999</v>
      </c>
      <c r="AH21" s="511" t="s">
        <v>2317</v>
      </c>
      <c r="AI21" s="512">
        <v>20016000030027</v>
      </c>
      <c r="AJ21" s="174" t="s">
        <v>618</v>
      </c>
      <c r="AK21" s="136" t="s">
        <v>2329</v>
      </c>
      <c r="AL21" s="274"/>
      <c r="AM21" s="515">
        <f t="shared" si="1"/>
        <v>78296.697899999999</v>
      </c>
      <c r="AN21" s="108" t="s">
        <v>2346</v>
      </c>
      <c r="AO21" s="274"/>
      <c r="AP21" s="274"/>
      <c r="AQ21" s="274"/>
      <c r="AR21" s="274"/>
      <c r="AS21" s="274"/>
      <c r="AT21" s="274"/>
      <c r="AU21" s="274"/>
      <c r="AV21" s="274"/>
      <c r="AW21" s="274"/>
      <c r="AX21" s="274"/>
      <c r="AY21" s="274"/>
      <c r="AZ21" s="274"/>
      <c r="BA21" s="274"/>
      <c r="BB21" s="136" t="s">
        <v>2322</v>
      </c>
    </row>
    <row r="22" spans="1:54" ht="396" x14ac:dyDescent="0.25">
      <c r="A22" s="108" t="s">
        <v>438</v>
      </c>
      <c r="B22" s="108" t="s">
        <v>1423</v>
      </c>
      <c r="C22" s="924"/>
      <c r="D22" s="924"/>
      <c r="E22" s="1027"/>
      <c r="F22" s="495" t="s">
        <v>2312</v>
      </c>
      <c r="G22" s="1028"/>
      <c r="H22" s="184" t="s">
        <v>2347</v>
      </c>
      <c r="I22" s="184" t="s">
        <v>2348</v>
      </c>
      <c r="J22" s="174">
        <v>0</v>
      </c>
      <c r="K22" s="174" t="s">
        <v>526</v>
      </c>
      <c r="L22" s="174">
        <v>8</v>
      </c>
      <c r="M22" s="498">
        <v>2</v>
      </c>
      <c r="N22" s="108" t="s">
        <v>2348</v>
      </c>
      <c r="O22" s="498">
        <f>2+3+2</f>
        <v>7</v>
      </c>
      <c r="P22" s="507">
        <v>129142</v>
      </c>
      <c r="Q22" s="274"/>
      <c r="R22" s="274"/>
      <c r="S22" s="274"/>
      <c r="T22" s="274"/>
      <c r="U22" s="274"/>
      <c r="V22" s="509">
        <f>130976741.94/1000</f>
        <v>130976.74193999999</v>
      </c>
      <c r="W22" s="274"/>
      <c r="X22" s="274"/>
      <c r="Y22" s="274"/>
      <c r="Z22" s="510">
        <v>9143</v>
      </c>
      <c r="AA22" s="510"/>
      <c r="AB22" s="274"/>
      <c r="AC22" s="274"/>
      <c r="AD22" s="510"/>
      <c r="AE22" s="274"/>
      <c r="AF22" s="509"/>
      <c r="AG22" s="509">
        <f t="shared" si="0"/>
        <v>140119.74193999998</v>
      </c>
      <c r="AH22" s="511" t="s">
        <v>2317</v>
      </c>
      <c r="AI22" s="512">
        <v>20016000030027</v>
      </c>
      <c r="AJ22" s="108" t="s">
        <v>2349</v>
      </c>
      <c r="AK22" s="136" t="s">
        <v>2329</v>
      </c>
      <c r="AL22" s="513" t="s">
        <v>2328</v>
      </c>
      <c r="AM22" s="515">
        <f t="shared" si="1"/>
        <v>130976.74193999999</v>
      </c>
      <c r="AN22" s="108" t="s">
        <v>2350</v>
      </c>
      <c r="AO22" s="514" t="s">
        <v>554</v>
      </c>
      <c r="AP22" s="514" t="s">
        <v>554</v>
      </c>
      <c r="AQ22" s="514" t="s">
        <v>554</v>
      </c>
      <c r="AR22" s="514" t="s">
        <v>554</v>
      </c>
      <c r="AS22" s="514" t="s">
        <v>554</v>
      </c>
      <c r="AT22" s="514" t="s">
        <v>554</v>
      </c>
      <c r="AU22" s="514" t="s">
        <v>554</v>
      </c>
      <c r="AV22" s="514" t="s">
        <v>554</v>
      </c>
      <c r="AW22" s="514" t="s">
        <v>554</v>
      </c>
      <c r="AX22" s="514" t="s">
        <v>554</v>
      </c>
      <c r="AY22" s="514" t="s">
        <v>554</v>
      </c>
      <c r="AZ22" s="514" t="s">
        <v>554</v>
      </c>
      <c r="BA22" s="136" t="s">
        <v>2321</v>
      </c>
      <c r="BB22" s="136" t="s">
        <v>2322</v>
      </c>
    </row>
    <row r="23" spans="1:54" ht="120" x14ac:dyDescent="0.25">
      <c r="A23" s="108" t="s">
        <v>438</v>
      </c>
      <c r="B23" s="108" t="s">
        <v>1423</v>
      </c>
      <c r="C23" s="924"/>
      <c r="D23" s="924"/>
      <c r="E23" s="1027"/>
      <c r="F23" s="495" t="s">
        <v>2312</v>
      </c>
      <c r="G23" s="1028"/>
      <c r="H23" s="184" t="s">
        <v>2351</v>
      </c>
      <c r="I23" s="184" t="s">
        <v>2352</v>
      </c>
      <c r="J23" s="174">
        <v>0</v>
      </c>
      <c r="K23" s="174" t="s">
        <v>526</v>
      </c>
      <c r="L23" s="174">
        <v>1</v>
      </c>
      <c r="M23" s="498">
        <v>0.5</v>
      </c>
      <c r="N23" s="108" t="s">
        <v>2352</v>
      </c>
      <c r="O23" s="498">
        <v>0.5</v>
      </c>
      <c r="P23" s="507">
        <v>322295</v>
      </c>
      <c r="Q23" s="274"/>
      <c r="R23" s="274"/>
      <c r="S23" s="274"/>
      <c r="T23" s="274"/>
      <c r="U23" s="274"/>
      <c r="V23" s="509">
        <f>70506804/1000</f>
        <v>70506.804000000004</v>
      </c>
      <c r="W23" s="274"/>
      <c r="X23" s="274"/>
      <c r="Y23" s="274"/>
      <c r="Z23" s="510">
        <f>19783-2998</f>
        <v>16785</v>
      </c>
      <c r="AA23" s="510"/>
      <c r="AB23" s="274"/>
      <c r="AC23" s="274"/>
      <c r="AD23" s="510"/>
      <c r="AE23" s="274"/>
      <c r="AF23" s="509"/>
      <c r="AG23" s="509">
        <f t="shared" si="0"/>
        <v>87291.804000000004</v>
      </c>
      <c r="AH23" s="511" t="s">
        <v>2317</v>
      </c>
      <c r="AI23" s="512">
        <v>20016000030027</v>
      </c>
      <c r="AJ23" s="108" t="s">
        <v>2353</v>
      </c>
      <c r="AK23" s="136" t="s">
        <v>2329</v>
      </c>
      <c r="AL23" s="274"/>
      <c r="AM23" s="515">
        <f t="shared" si="1"/>
        <v>70506.804000000004</v>
      </c>
      <c r="AN23" s="108" t="s">
        <v>2354</v>
      </c>
      <c r="AO23" s="514" t="s">
        <v>554</v>
      </c>
      <c r="AP23" s="514" t="s">
        <v>554</v>
      </c>
      <c r="AQ23" s="514" t="s">
        <v>554</v>
      </c>
      <c r="AR23" s="514" t="s">
        <v>554</v>
      </c>
      <c r="AS23" s="514" t="s">
        <v>554</v>
      </c>
      <c r="AT23" s="514" t="s">
        <v>554</v>
      </c>
      <c r="AU23" s="514" t="s">
        <v>554</v>
      </c>
      <c r="AV23" s="514" t="s">
        <v>554</v>
      </c>
      <c r="AW23" s="514" t="s">
        <v>554</v>
      </c>
      <c r="AX23" s="514" t="s">
        <v>554</v>
      </c>
      <c r="AY23" s="514" t="s">
        <v>554</v>
      </c>
      <c r="AZ23" s="514" t="s">
        <v>554</v>
      </c>
      <c r="BA23" s="136" t="s">
        <v>2321</v>
      </c>
      <c r="BB23" s="136" t="s">
        <v>2322</v>
      </c>
    </row>
    <row r="24" spans="1:54" ht="165" x14ac:dyDescent="0.25">
      <c r="A24" s="108" t="s">
        <v>438</v>
      </c>
      <c r="B24" s="108" t="s">
        <v>1423</v>
      </c>
      <c r="C24" s="924"/>
      <c r="D24" s="924"/>
      <c r="E24" s="1027"/>
      <c r="F24" s="495" t="s">
        <v>2312</v>
      </c>
      <c r="G24" s="1028"/>
      <c r="H24" s="184" t="s">
        <v>2355</v>
      </c>
      <c r="I24" s="184" t="s">
        <v>2356</v>
      </c>
      <c r="J24" s="174">
        <v>0</v>
      </c>
      <c r="K24" s="174" t="s">
        <v>526</v>
      </c>
      <c r="L24" s="174">
        <v>7</v>
      </c>
      <c r="M24" s="498">
        <v>1</v>
      </c>
      <c r="N24" s="108" t="s">
        <v>2356</v>
      </c>
      <c r="O24" s="498">
        <f>1+4+2</f>
        <v>7</v>
      </c>
      <c r="P24" s="507">
        <v>9688</v>
      </c>
      <c r="Q24" s="274"/>
      <c r="R24" s="274"/>
      <c r="S24" s="274"/>
      <c r="T24" s="274"/>
      <c r="U24" s="274"/>
      <c r="V24" s="509">
        <f>47426849/1000</f>
        <v>47426.849000000002</v>
      </c>
      <c r="W24" s="274"/>
      <c r="X24" s="274"/>
      <c r="Y24" s="274"/>
      <c r="Z24" s="510">
        <v>686</v>
      </c>
      <c r="AA24" s="510"/>
      <c r="AB24" s="274"/>
      <c r="AC24" s="274"/>
      <c r="AD24" s="510"/>
      <c r="AE24" s="274"/>
      <c r="AF24" s="509"/>
      <c r="AG24" s="509">
        <f t="shared" si="0"/>
        <v>48112.849000000002</v>
      </c>
      <c r="AH24" s="511" t="s">
        <v>2317</v>
      </c>
      <c r="AI24" s="512">
        <v>20016000030027</v>
      </c>
      <c r="AJ24" s="136" t="s">
        <v>2357</v>
      </c>
      <c r="AK24" s="136" t="s">
        <v>2329</v>
      </c>
      <c r="AL24" s="274"/>
      <c r="AM24" s="509">
        <f t="shared" si="1"/>
        <v>47426.849000000002</v>
      </c>
      <c r="AN24" s="136" t="s">
        <v>2358</v>
      </c>
      <c r="AO24" s="514" t="s">
        <v>554</v>
      </c>
      <c r="AP24" s="514" t="s">
        <v>554</v>
      </c>
      <c r="AQ24" s="514" t="s">
        <v>554</v>
      </c>
      <c r="AR24" s="514" t="s">
        <v>554</v>
      </c>
      <c r="AS24" s="514" t="s">
        <v>554</v>
      </c>
      <c r="AT24" s="514" t="s">
        <v>554</v>
      </c>
      <c r="AU24" s="514" t="s">
        <v>554</v>
      </c>
      <c r="AV24" s="514" t="s">
        <v>554</v>
      </c>
      <c r="AW24" s="514" t="s">
        <v>554</v>
      </c>
      <c r="AX24" s="514" t="s">
        <v>554</v>
      </c>
      <c r="AY24" s="514" t="s">
        <v>554</v>
      </c>
      <c r="AZ24" s="514" t="s">
        <v>554</v>
      </c>
      <c r="BA24" s="136" t="s">
        <v>2321</v>
      </c>
      <c r="BB24" s="136" t="s">
        <v>2322</v>
      </c>
    </row>
    <row r="25" spans="1:54" ht="195" x14ac:dyDescent="0.25">
      <c r="A25" s="108" t="s">
        <v>438</v>
      </c>
      <c r="B25" s="108" t="s">
        <v>1423</v>
      </c>
      <c r="C25" s="192" t="s">
        <v>2359</v>
      </c>
      <c r="D25" s="192" t="s">
        <v>2360</v>
      </c>
      <c r="E25" s="499">
        <v>0</v>
      </c>
      <c r="F25" s="495" t="s">
        <v>2312</v>
      </c>
      <c r="G25" s="1028"/>
      <c r="H25" s="183" t="s">
        <v>2361</v>
      </c>
      <c r="I25" s="183" t="s">
        <v>2362</v>
      </c>
      <c r="J25" s="174">
        <v>0</v>
      </c>
      <c r="K25" s="174" t="s">
        <v>526</v>
      </c>
      <c r="L25" s="500">
        <v>1</v>
      </c>
      <c r="M25" s="501">
        <v>0.1</v>
      </c>
      <c r="N25" s="108" t="s">
        <v>2362</v>
      </c>
      <c r="O25" s="501">
        <f>79%+10%+20%</f>
        <v>1.0900000000000001</v>
      </c>
      <c r="P25" s="507">
        <v>19500</v>
      </c>
      <c r="Q25" s="274"/>
      <c r="R25" s="274"/>
      <c r="S25" s="274"/>
      <c r="T25" s="274"/>
      <c r="U25" s="274"/>
      <c r="V25" s="509">
        <f>65336849/1000</f>
        <v>65336.849000000002</v>
      </c>
      <c r="W25" s="274"/>
      <c r="X25" s="274"/>
      <c r="Y25" s="274"/>
      <c r="Z25" s="510"/>
      <c r="AA25" s="510"/>
      <c r="AB25" s="274"/>
      <c r="AC25" s="274"/>
      <c r="AD25" s="510"/>
      <c r="AE25" s="274"/>
      <c r="AF25" s="509"/>
      <c r="AG25" s="509">
        <f t="shared" si="0"/>
        <v>65336.849000000002</v>
      </c>
      <c r="AH25" s="511" t="s">
        <v>2317</v>
      </c>
      <c r="AI25" s="512">
        <v>20016000030027</v>
      </c>
      <c r="AJ25" s="108" t="s">
        <v>706</v>
      </c>
      <c r="AK25" s="136" t="s">
        <v>2329</v>
      </c>
      <c r="AL25" s="274"/>
      <c r="AM25" s="515">
        <f t="shared" si="1"/>
        <v>65336.849000000002</v>
      </c>
      <c r="AN25" s="136" t="s">
        <v>2363</v>
      </c>
      <c r="AO25" s="514" t="s">
        <v>554</v>
      </c>
      <c r="AP25" s="514" t="s">
        <v>554</v>
      </c>
      <c r="AQ25" s="514" t="s">
        <v>554</v>
      </c>
      <c r="AR25" s="514" t="s">
        <v>554</v>
      </c>
      <c r="AS25" s="514" t="s">
        <v>554</v>
      </c>
      <c r="AT25" s="514" t="s">
        <v>554</v>
      </c>
      <c r="AU25" s="514" t="s">
        <v>554</v>
      </c>
      <c r="AV25" s="514" t="s">
        <v>554</v>
      </c>
      <c r="AW25" s="514" t="s">
        <v>554</v>
      </c>
      <c r="AX25" s="514" t="s">
        <v>554</v>
      </c>
      <c r="AY25" s="514" t="s">
        <v>554</v>
      </c>
      <c r="AZ25" s="514" t="s">
        <v>554</v>
      </c>
      <c r="BA25" s="136" t="s">
        <v>2321</v>
      </c>
      <c r="BB25" s="136" t="s">
        <v>2322</v>
      </c>
    </row>
    <row r="26" spans="1:54" ht="210" x14ac:dyDescent="0.25">
      <c r="A26" s="108" t="s">
        <v>438</v>
      </c>
      <c r="B26" s="108" t="s">
        <v>1423</v>
      </c>
      <c r="C26" s="924" t="s">
        <v>2364</v>
      </c>
      <c r="D26" s="924" t="s">
        <v>2365</v>
      </c>
      <c r="E26" s="1027" t="s">
        <v>2366</v>
      </c>
      <c r="F26" s="495" t="s">
        <v>2367</v>
      </c>
      <c r="G26" s="924" t="s">
        <v>2368</v>
      </c>
      <c r="H26" s="108" t="s">
        <v>2369</v>
      </c>
      <c r="I26" s="108" t="s">
        <v>2370</v>
      </c>
      <c r="J26" s="174">
        <v>0</v>
      </c>
      <c r="K26" s="174" t="s">
        <v>526</v>
      </c>
      <c r="L26" s="174">
        <v>1</v>
      </c>
      <c r="M26" s="498">
        <v>0.5</v>
      </c>
      <c r="N26" s="108" t="s">
        <v>2370</v>
      </c>
      <c r="O26" s="498">
        <v>0.5</v>
      </c>
      <c r="P26" s="507">
        <v>155452</v>
      </c>
      <c r="Q26" s="516">
        <f>246746000/1000</f>
        <v>246746</v>
      </c>
      <c r="R26" s="517"/>
      <c r="S26" s="353"/>
      <c r="T26" s="353"/>
      <c r="U26" s="353"/>
      <c r="V26" s="517">
        <v>0</v>
      </c>
      <c r="W26" s="517">
        <v>0</v>
      </c>
      <c r="X26" s="517">
        <v>0</v>
      </c>
      <c r="Y26" s="353"/>
      <c r="Z26" s="517">
        <f>16363+10909</f>
        <v>27272</v>
      </c>
      <c r="AA26" s="517"/>
      <c r="AB26" s="517"/>
      <c r="AC26" s="517"/>
      <c r="AD26" s="517"/>
      <c r="AE26" s="353"/>
      <c r="AF26" s="518"/>
      <c r="AG26" s="518">
        <f>SUM(Q26:AF26)</f>
        <v>274018</v>
      </c>
      <c r="AH26" s="108" t="s">
        <v>2371</v>
      </c>
      <c r="AI26" s="538" t="s">
        <v>2372</v>
      </c>
      <c r="AJ26" s="136">
        <v>42</v>
      </c>
      <c r="AK26" s="174" t="s">
        <v>856</v>
      </c>
      <c r="AL26" s="108" t="s">
        <v>2373</v>
      </c>
      <c r="AM26" s="515">
        <f>(405886000+18180000)/1000</f>
        <v>424066</v>
      </c>
      <c r="AN26" s="108" t="s">
        <v>2374</v>
      </c>
      <c r="AO26" s="498"/>
      <c r="AP26" s="498" t="s">
        <v>536</v>
      </c>
      <c r="AQ26" s="498" t="s">
        <v>536</v>
      </c>
      <c r="AR26" s="498" t="s">
        <v>536</v>
      </c>
      <c r="AS26" s="498" t="s">
        <v>536</v>
      </c>
      <c r="AT26" s="498" t="s">
        <v>536</v>
      </c>
      <c r="AU26" s="498" t="s">
        <v>536</v>
      </c>
      <c r="AV26" s="498" t="s">
        <v>536</v>
      </c>
      <c r="AW26" s="498" t="s">
        <v>536</v>
      </c>
      <c r="AX26" s="498" t="s">
        <v>536</v>
      </c>
      <c r="AY26" s="498" t="s">
        <v>536</v>
      </c>
      <c r="AZ26" s="498" t="s">
        <v>536</v>
      </c>
      <c r="BA26" s="136" t="s">
        <v>2375</v>
      </c>
      <c r="BB26" s="136" t="s">
        <v>2376</v>
      </c>
    </row>
    <row r="27" spans="1:54" ht="135" x14ac:dyDescent="0.25">
      <c r="A27" s="108" t="s">
        <v>438</v>
      </c>
      <c r="B27" s="108" t="s">
        <v>1423</v>
      </c>
      <c r="C27" s="924"/>
      <c r="D27" s="924"/>
      <c r="E27" s="1027"/>
      <c r="F27" s="495" t="s">
        <v>2367</v>
      </c>
      <c r="G27" s="924"/>
      <c r="H27" s="108" t="s">
        <v>2377</v>
      </c>
      <c r="I27" s="108" t="s">
        <v>2378</v>
      </c>
      <c r="J27" s="174">
        <v>0</v>
      </c>
      <c r="K27" s="174" t="s">
        <v>526</v>
      </c>
      <c r="L27" s="390">
        <v>1260</v>
      </c>
      <c r="M27" s="498">
        <v>0</v>
      </c>
      <c r="N27" s="274"/>
      <c r="O27" s="498">
        <f>480+940</f>
        <v>1420</v>
      </c>
      <c r="P27" s="507">
        <v>0</v>
      </c>
      <c r="Q27" s="519">
        <v>0</v>
      </c>
      <c r="R27" s="517"/>
      <c r="S27" s="353"/>
      <c r="T27" s="353"/>
      <c r="U27" s="353"/>
      <c r="V27" s="507">
        <v>0</v>
      </c>
      <c r="W27" s="517">
        <v>0</v>
      </c>
      <c r="X27" s="519">
        <v>0</v>
      </c>
      <c r="Y27" s="353"/>
      <c r="Z27" s="519">
        <v>0</v>
      </c>
      <c r="AA27" s="517">
        <v>0</v>
      </c>
      <c r="AB27" s="517"/>
      <c r="AC27" s="517">
        <v>0</v>
      </c>
      <c r="AD27" s="517">
        <v>0</v>
      </c>
      <c r="AE27" s="353"/>
      <c r="AF27" s="353"/>
      <c r="AG27" s="353">
        <f>SUM(V27:AF27)</f>
        <v>0</v>
      </c>
      <c r="AH27" s="274"/>
      <c r="AI27" s="537"/>
      <c r="AJ27" s="274"/>
      <c r="AK27" s="274"/>
      <c r="AL27" s="274"/>
      <c r="AM27" s="274"/>
      <c r="AN27" s="274"/>
      <c r="AO27" s="274"/>
      <c r="AP27" s="274"/>
      <c r="AQ27" s="274"/>
      <c r="AR27" s="274"/>
      <c r="AS27" s="274"/>
      <c r="AT27" s="274"/>
      <c r="AU27" s="274"/>
      <c r="AV27" s="274"/>
      <c r="AW27" s="274"/>
      <c r="AX27" s="274"/>
      <c r="AY27" s="274"/>
      <c r="AZ27" s="274"/>
      <c r="BA27" s="274"/>
      <c r="BB27" s="274"/>
    </row>
    <row r="28" spans="1:54" ht="180" x14ac:dyDescent="0.25">
      <c r="A28" s="108" t="s">
        <v>438</v>
      </c>
      <c r="B28" s="108" t="s">
        <v>1423</v>
      </c>
      <c r="C28" s="944" t="s">
        <v>2379</v>
      </c>
      <c r="D28" s="944" t="s">
        <v>2380</v>
      </c>
      <c r="E28" s="944" t="s">
        <v>2381</v>
      </c>
      <c r="F28" s="495" t="s">
        <v>2367</v>
      </c>
      <c r="G28" s="924"/>
      <c r="H28" s="111" t="s">
        <v>2382</v>
      </c>
      <c r="I28" s="111" t="s">
        <v>2383</v>
      </c>
      <c r="J28" s="174">
        <v>0</v>
      </c>
      <c r="K28" s="174" t="s">
        <v>526</v>
      </c>
      <c r="L28" s="174">
        <v>1</v>
      </c>
      <c r="M28" s="498">
        <v>0</v>
      </c>
      <c r="N28" s="274"/>
      <c r="O28" s="498">
        <v>1</v>
      </c>
      <c r="P28" s="507">
        <v>0</v>
      </c>
      <c r="Q28" s="517">
        <v>0</v>
      </c>
      <c r="R28" s="517"/>
      <c r="S28" s="353"/>
      <c r="T28" s="353"/>
      <c r="U28" s="353"/>
      <c r="V28" s="520">
        <v>0</v>
      </c>
      <c r="W28" s="517">
        <v>0</v>
      </c>
      <c r="X28" s="517">
        <v>0</v>
      </c>
      <c r="Y28" s="353"/>
      <c r="Z28" s="517">
        <v>0</v>
      </c>
      <c r="AA28" s="517">
        <v>0</v>
      </c>
      <c r="AB28" s="517"/>
      <c r="AC28" s="517">
        <v>0</v>
      </c>
      <c r="AD28" s="517">
        <v>0</v>
      </c>
      <c r="AE28" s="353"/>
      <c r="AF28" s="353"/>
      <c r="AG28" s="353">
        <f>SUM(V28:AF28)</f>
        <v>0</v>
      </c>
      <c r="AH28" s="274"/>
      <c r="AI28" s="537"/>
      <c r="AJ28" s="274"/>
      <c r="AK28" s="274"/>
      <c r="AL28" s="274"/>
      <c r="AM28" s="274"/>
      <c r="AN28" s="274"/>
      <c r="AO28" s="274"/>
      <c r="AP28" s="274"/>
      <c r="AQ28" s="274"/>
      <c r="AR28" s="274"/>
      <c r="AS28" s="274"/>
      <c r="AT28" s="274"/>
      <c r="AU28" s="274"/>
      <c r="AV28" s="274"/>
      <c r="AW28" s="274"/>
      <c r="AX28" s="274"/>
      <c r="AY28" s="274"/>
      <c r="AZ28" s="274"/>
      <c r="BA28" s="274"/>
      <c r="BB28" s="274"/>
    </row>
    <row r="29" spans="1:54" ht="270" x14ac:dyDescent="0.25">
      <c r="A29" s="108" t="s">
        <v>438</v>
      </c>
      <c r="B29" s="108" t="s">
        <v>1423</v>
      </c>
      <c r="C29" s="944"/>
      <c r="D29" s="944"/>
      <c r="E29" s="944"/>
      <c r="F29" s="495" t="s">
        <v>2367</v>
      </c>
      <c r="G29" s="924"/>
      <c r="H29" s="183" t="s">
        <v>2384</v>
      </c>
      <c r="I29" s="183" t="s">
        <v>2385</v>
      </c>
      <c r="J29" s="174">
        <v>0</v>
      </c>
      <c r="K29" s="174" t="s">
        <v>526</v>
      </c>
      <c r="L29" s="390">
        <v>1260</v>
      </c>
      <c r="M29" s="498">
        <v>0</v>
      </c>
      <c r="N29" s="274"/>
      <c r="O29" s="498">
        <f>480+940</f>
        <v>1420</v>
      </c>
      <c r="P29" s="507">
        <v>0</v>
      </c>
      <c r="Q29" s="517">
        <v>0</v>
      </c>
      <c r="R29" s="517"/>
      <c r="S29" s="353"/>
      <c r="T29" s="353"/>
      <c r="U29" s="353"/>
      <c r="V29" s="520">
        <v>0</v>
      </c>
      <c r="W29" s="517">
        <v>0</v>
      </c>
      <c r="X29" s="517">
        <v>0</v>
      </c>
      <c r="Y29" s="353"/>
      <c r="Z29" s="517">
        <v>0</v>
      </c>
      <c r="AA29" s="517">
        <v>0</v>
      </c>
      <c r="AB29" s="517"/>
      <c r="AC29" s="517">
        <v>0</v>
      </c>
      <c r="AD29" s="517">
        <v>0</v>
      </c>
      <c r="AE29" s="353"/>
      <c r="AF29" s="353"/>
      <c r="AG29" s="353">
        <f>SUM(V29:AF29)</f>
        <v>0</v>
      </c>
      <c r="AH29" s="274"/>
      <c r="AI29" s="537"/>
      <c r="AJ29" s="274"/>
      <c r="AK29" s="274"/>
      <c r="AL29" s="274"/>
      <c r="AM29" s="274"/>
      <c r="AN29" s="274"/>
      <c r="AO29" s="274"/>
      <c r="AP29" s="274"/>
      <c r="AQ29" s="274"/>
      <c r="AR29" s="274"/>
      <c r="AS29" s="274"/>
      <c r="AT29" s="274"/>
      <c r="AU29" s="274"/>
      <c r="AV29" s="274"/>
      <c r="AW29" s="274"/>
      <c r="AX29" s="274"/>
      <c r="AY29" s="274"/>
      <c r="AZ29" s="274"/>
      <c r="BA29" s="274"/>
      <c r="BB29" s="274"/>
    </row>
    <row r="30" spans="1:54" ht="255" x14ac:dyDescent="0.25">
      <c r="A30" s="108" t="s">
        <v>438</v>
      </c>
      <c r="B30" s="108" t="s">
        <v>1423</v>
      </c>
      <c r="C30" s="944"/>
      <c r="D30" s="944"/>
      <c r="E30" s="944"/>
      <c r="F30" s="495" t="s">
        <v>2367</v>
      </c>
      <c r="G30" s="924"/>
      <c r="H30" s="184" t="s">
        <v>2386</v>
      </c>
      <c r="I30" s="184" t="s">
        <v>2387</v>
      </c>
      <c r="J30" s="174">
        <v>0</v>
      </c>
      <c r="K30" s="174" t="s">
        <v>527</v>
      </c>
      <c r="L30" s="174">
        <v>21</v>
      </c>
      <c r="M30" s="498">
        <v>21</v>
      </c>
      <c r="N30" s="108" t="s">
        <v>2387</v>
      </c>
      <c r="O30" s="498">
        <v>42</v>
      </c>
      <c r="P30" s="507">
        <v>68182</v>
      </c>
      <c r="Q30" s="516">
        <f>10000000/1000</f>
        <v>10000</v>
      </c>
      <c r="R30" s="517"/>
      <c r="S30" s="353"/>
      <c r="T30" s="353"/>
      <c r="U30" s="353"/>
      <c r="V30" s="517">
        <v>0</v>
      </c>
      <c r="W30" s="517">
        <v>0</v>
      </c>
      <c r="X30" s="517">
        <v>0</v>
      </c>
      <c r="Y30" s="353"/>
      <c r="Z30" s="517">
        <v>11429</v>
      </c>
      <c r="AA30" s="517">
        <v>0</v>
      </c>
      <c r="AB30" s="517"/>
      <c r="AC30" s="517"/>
      <c r="AD30" s="517"/>
      <c r="AE30" s="353"/>
      <c r="AF30" s="518"/>
      <c r="AG30" s="518">
        <f>SUM(Q30:AF30)</f>
        <v>21429</v>
      </c>
      <c r="AH30" s="136" t="s">
        <v>1832</v>
      </c>
      <c r="AI30" s="539" t="s">
        <v>2388</v>
      </c>
      <c r="AJ30" s="174">
        <v>42</v>
      </c>
      <c r="AK30" s="136" t="s">
        <v>2389</v>
      </c>
      <c r="AL30" s="136" t="s">
        <v>2390</v>
      </c>
      <c r="AM30" s="509">
        <f>20000000/1000</f>
        <v>20000</v>
      </c>
      <c r="AN30" s="136" t="s">
        <v>2391</v>
      </c>
      <c r="AO30" s="498"/>
      <c r="AP30" s="498" t="s">
        <v>536</v>
      </c>
      <c r="AQ30" s="498" t="s">
        <v>536</v>
      </c>
      <c r="AR30" s="498" t="s">
        <v>536</v>
      </c>
      <c r="AS30" s="498" t="s">
        <v>536</v>
      </c>
      <c r="AT30" s="498" t="s">
        <v>536</v>
      </c>
      <c r="AU30" s="498" t="s">
        <v>536</v>
      </c>
      <c r="AV30" s="498" t="s">
        <v>536</v>
      </c>
      <c r="AW30" s="498" t="s">
        <v>536</v>
      </c>
      <c r="AX30" s="498" t="s">
        <v>536</v>
      </c>
      <c r="AY30" s="498" t="s">
        <v>536</v>
      </c>
      <c r="AZ30" s="498" t="s">
        <v>536</v>
      </c>
      <c r="BA30" s="136" t="s">
        <v>2392</v>
      </c>
      <c r="BB30" s="136" t="s">
        <v>2376</v>
      </c>
    </row>
    <row r="31" spans="1:54" ht="195" x14ac:dyDescent="0.25">
      <c r="A31" s="108" t="s">
        <v>438</v>
      </c>
      <c r="B31" s="108" t="s">
        <v>1423</v>
      </c>
      <c r="C31" s="924" t="s">
        <v>2393</v>
      </c>
      <c r="D31" s="924" t="s">
        <v>2394</v>
      </c>
      <c r="E31" s="924" t="s">
        <v>2395</v>
      </c>
      <c r="F31" s="495" t="s">
        <v>2396</v>
      </c>
      <c r="G31" s="924" t="s">
        <v>2397</v>
      </c>
      <c r="H31" s="184" t="s">
        <v>2398</v>
      </c>
      <c r="I31" s="184" t="s">
        <v>2399</v>
      </c>
      <c r="J31" s="136" t="s">
        <v>2395</v>
      </c>
      <c r="K31" s="136" t="s">
        <v>526</v>
      </c>
      <c r="L31" s="136">
        <v>150</v>
      </c>
      <c r="M31" s="521">
        <v>0</v>
      </c>
      <c r="N31" s="184" t="s">
        <v>2399</v>
      </c>
      <c r="O31" s="498">
        <v>150</v>
      </c>
      <c r="P31" s="507">
        <v>242198</v>
      </c>
      <c r="Q31" s="274"/>
      <c r="R31" s="274"/>
      <c r="S31" s="274"/>
      <c r="T31" s="274"/>
      <c r="U31" s="274"/>
      <c r="V31" s="498"/>
      <c r="W31" s="274"/>
      <c r="X31" s="274"/>
      <c r="Y31" s="274"/>
      <c r="Z31" s="274"/>
      <c r="AA31" s="274"/>
      <c r="AB31" s="274"/>
      <c r="AC31" s="274"/>
      <c r="AD31" s="274"/>
      <c r="AE31" s="274"/>
      <c r="AF31" s="274"/>
      <c r="AG31" s="274"/>
      <c r="AH31" s="274"/>
      <c r="AI31" s="537"/>
      <c r="AJ31" s="274"/>
      <c r="AK31" s="274"/>
      <c r="AL31" s="274"/>
      <c r="AM31" s="274"/>
      <c r="AN31" s="274"/>
      <c r="AO31" s="274"/>
      <c r="AP31" s="274"/>
      <c r="AQ31" s="274"/>
      <c r="AR31" s="274"/>
      <c r="AS31" s="274"/>
      <c r="AT31" s="274"/>
      <c r="AU31" s="274"/>
      <c r="AV31" s="274"/>
      <c r="AW31" s="274"/>
      <c r="AX31" s="274"/>
      <c r="AY31" s="274"/>
      <c r="AZ31" s="274"/>
      <c r="BA31" s="274"/>
      <c r="BB31" s="274"/>
    </row>
    <row r="32" spans="1:54" ht="195" x14ac:dyDescent="0.25">
      <c r="A32" s="108" t="s">
        <v>438</v>
      </c>
      <c r="B32" s="108" t="s">
        <v>1423</v>
      </c>
      <c r="C32" s="924"/>
      <c r="D32" s="924"/>
      <c r="E32" s="924"/>
      <c r="F32" s="495" t="s">
        <v>2396</v>
      </c>
      <c r="G32" s="924"/>
      <c r="H32" s="108" t="s">
        <v>2400</v>
      </c>
      <c r="I32" s="184" t="s">
        <v>2401</v>
      </c>
      <c r="J32" s="174">
        <v>0</v>
      </c>
      <c r="K32" s="174" t="s">
        <v>526</v>
      </c>
      <c r="L32" s="174">
        <v>150</v>
      </c>
      <c r="M32" s="521">
        <v>0</v>
      </c>
      <c r="N32" s="184" t="s">
        <v>2401</v>
      </c>
      <c r="O32" s="498">
        <v>150</v>
      </c>
      <c r="P32" s="507">
        <v>176389</v>
      </c>
      <c r="Q32" s="274"/>
      <c r="R32" s="274"/>
      <c r="S32" s="274"/>
      <c r="T32" s="274"/>
      <c r="U32" s="274"/>
      <c r="V32" s="498"/>
      <c r="W32" s="274"/>
      <c r="X32" s="274"/>
      <c r="Y32" s="274"/>
      <c r="Z32" s="274"/>
      <c r="AA32" s="274"/>
      <c r="AB32" s="274"/>
      <c r="AC32" s="274"/>
      <c r="AD32" s="274"/>
      <c r="AE32" s="274"/>
      <c r="AF32" s="274"/>
      <c r="AG32" s="274"/>
      <c r="AH32" s="274"/>
      <c r="AI32" s="537"/>
      <c r="AJ32" s="274"/>
      <c r="AK32" s="274"/>
      <c r="AL32" s="274"/>
      <c r="AM32" s="274"/>
      <c r="AN32" s="274"/>
      <c r="AO32" s="274"/>
      <c r="AP32" s="274"/>
      <c r="AQ32" s="274"/>
      <c r="AR32" s="274"/>
      <c r="AS32" s="274"/>
      <c r="AT32" s="274"/>
      <c r="AU32" s="274"/>
      <c r="AV32" s="274"/>
      <c r="AW32" s="274"/>
      <c r="AX32" s="274"/>
      <c r="AY32" s="274"/>
      <c r="AZ32" s="274"/>
      <c r="BA32" s="274"/>
      <c r="BB32" s="274"/>
    </row>
    <row r="33" spans="1:54" ht="120" x14ac:dyDescent="0.25">
      <c r="A33" s="108" t="s">
        <v>438</v>
      </c>
      <c r="B33" s="108" t="s">
        <v>1423</v>
      </c>
      <c r="C33" s="924"/>
      <c r="D33" s="924"/>
      <c r="E33" s="924"/>
      <c r="F33" s="495" t="s">
        <v>2396</v>
      </c>
      <c r="G33" s="924"/>
      <c r="H33" s="184" t="s">
        <v>2402</v>
      </c>
      <c r="I33" s="184" t="s">
        <v>2403</v>
      </c>
      <c r="J33" s="174">
        <v>0</v>
      </c>
      <c r="K33" s="174" t="s">
        <v>526</v>
      </c>
      <c r="L33" s="174">
        <v>150</v>
      </c>
      <c r="M33" s="521">
        <v>0</v>
      </c>
      <c r="N33" s="184" t="s">
        <v>2403</v>
      </c>
      <c r="O33" s="498">
        <v>150</v>
      </c>
      <c r="P33" s="507">
        <v>176389</v>
      </c>
      <c r="Q33" s="274"/>
      <c r="R33" s="274"/>
      <c r="S33" s="274"/>
      <c r="T33" s="274"/>
      <c r="U33" s="274"/>
      <c r="V33" s="498"/>
      <c r="W33" s="274"/>
      <c r="X33" s="274"/>
      <c r="Y33" s="274"/>
      <c r="Z33" s="274"/>
      <c r="AA33" s="274"/>
      <c r="AB33" s="274"/>
      <c r="AC33" s="274"/>
      <c r="AD33" s="274"/>
      <c r="AE33" s="274"/>
      <c r="AF33" s="274"/>
      <c r="AG33" s="274"/>
      <c r="AH33" s="274"/>
      <c r="AI33" s="537"/>
      <c r="AJ33" s="274"/>
      <c r="AK33" s="274"/>
      <c r="AL33" s="274"/>
      <c r="AM33" s="274"/>
      <c r="AN33" s="274"/>
      <c r="AO33" s="274"/>
      <c r="AP33" s="274"/>
      <c r="AQ33" s="274"/>
      <c r="AR33" s="274"/>
      <c r="AS33" s="274"/>
      <c r="AT33" s="274"/>
      <c r="AU33" s="274"/>
      <c r="AV33" s="274"/>
      <c r="AW33" s="274"/>
      <c r="AX33" s="274"/>
      <c r="AY33" s="274"/>
      <c r="AZ33" s="274"/>
      <c r="BA33" s="274"/>
      <c r="BB33" s="274"/>
    </row>
    <row r="34" spans="1:54" ht="120" x14ac:dyDescent="0.25">
      <c r="A34" s="108" t="s">
        <v>438</v>
      </c>
      <c r="B34" s="108" t="s">
        <v>1423</v>
      </c>
      <c r="C34" s="924" t="s">
        <v>2404</v>
      </c>
      <c r="D34" s="924" t="s">
        <v>2405</v>
      </c>
      <c r="E34" s="1027">
        <v>7</v>
      </c>
      <c r="F34" s="495" t="s">
        <v>2396</v>
      </c>
      <c r="G34" s="924"/>
      <c r="H34" s="183" t="s">
        <v>2406</v>
      </c>
      <c r="I34" s="184" t="s">
        <v>2407</v>
      </c>
      <c r="J34" s="174">
        <v>0</v>
      </c>
      <c r="K34" s="174" t="s">
        <v>526</v>
      </c>
      <c r="L34" s="390">
        <v>1260</v>
      </c>
      <c r="M34" s="498">
        <v>375</v>
      </c>
      <c r="N34" s="184" t="s">
        <v>2407</v>
      </c>
      <c r="O34" s="498">
        <f>480+616+375</f>
        <v>1471</v>
      </c>
      <c r="P34" s="507">
        <v>141111</v>
      </c>
      <c r="Q34" s="274"/>
      <c r="R34" s="274"/>
      <c r="S34" s="274"/>
      <c r="T34" s="274"/>
      <c r="U34" s="274"/>
      <c r="V34" s="522">
        <f>209972200/1000</f>
        <v>209972.2</v>
      </c>
      <c r="W34" s="517">
        <v>0</v>
      </c>
      <c r="X34" s="517">
        <v>0</v>
      </c>
      <c r="Y34" s="353"/>
      <c r="Z34" s="517"/>
      <c r="AA34" s="517"/>
      <c r="AB34" s="517"/>
      <c r="AC34" s="517"/>
      <c r="AD34" s="517"/>
      <c r="AE34" s="274"/>
      <c r="AF34" s="274"/>
      <c r="AG34" s="523">
        <f>+V34</f>
        <v>209972.2</v>
      </c>
      <c r="AH34" s="274"/>
      <c r="AI34" s="537"/>
      <c r="AJ34" s="274"/>
      <c r="AK34" s="274"/>
      <c r="AL34" s="274"/>
      <c r="AM34" s="274"/>
      <c r="AN34" s="274"/>
      <c r="AO34" s="514" t="s">
        <v>554</v>
      </c>
      <c r="AP34" s="514" t="s">
        <v>554</v>
      </c>
      <c r="AQ34" s="514" t="s">
        <v>554</v>
      </c>
      <c r="AR34" s="514" t="s">
        <v>554</v>
      </c>
      <c r="AS34" s="514" t="s">
        <v>554</v>
      </c>
      <c r="AT34" s="514" t="s">
        <v>554</v>
      </c>
      <c r="AU34" s="514" t="s">
        <v>554</v>
      </c>
      <c r="AV34" s="274"/>
      <c r="AW34" s="274"/>
      <c r="AX34" s="274"/>
      <c r="AY34" s="274"/>
      <c r="AZ34" s="274"/>
      <c r="BA34" s="274"/>
      <c r="BB34" s="136" t="s">
        <v>2322</v>
      </c>
    </row>
    <row r="35" spans="1:54" ht="210" x14ac:dyDescent="0.25">
      <c r="A35" s="108" t="s">
        <v>438</v>
      </c>
      <c r="B35" s="108" t="s">
        <v>1423</v>
      </c>
      <c r="C35" s="924"/>
      <c r="D35" s="924"/>
      <c r="E35" s="1027"/>
      <c r="F35" s="495" t="s">
        <v>2396</v>
      </c>
      <c r="G35" s="924"/>
      <c r="H35" s="503" t="s">
        <v>2408</v>
      </c>
      <c r="I35" s="184" t="s">
        <v>2409</v>
      </c>
      <c r="J35" s="174">
        <v>0</v>
      </c>
      <c r="K35" s="174" t="s">
        <v>526</v>
      </c>
      <c r="L35" s="174">
        <v>4</v>
      </c>
      <c r="M35" s="498">
        <v>1</v>
      </c>
      <c r="N35" s="108" t="s">
        <v>2409</v>
      </c>
      <c r="O35" s="498">
        <f>1+2</f>
        <v>3</v>
      </c>
      <c r="P35" s="507">
        <v>211667</v>
      </c>
      <c r="Q35" s="516">
        <f>55000000/1000</f>
        <v>55000</v>
      </c>
      <c r="R35" s="517"/>
      <c r="S35" s="353"/>
      <c r="T35" s="353"/>
      <c r="U35" s="353"/>
      <c r="V35" s="516">
        <f>150000000/1000</f>
        <v>150000</v>
      </c>
      <c r="W35" s="517">
        <v>0</v>
      </c>
      <c r="X35" s="517">
        <v>0</v>
      </c>
      <c r="Y35" s="353"/>
      <c r="Z35" s="517"/>
      <c r="AA35" s="517"/>
      <c r="AB35" s="517"/>
      <c r="AC35" s="517"/>
      <c r="AD35" s="517"/>
      <c r="AE35" s="353"/>
      <c r="AF35" s="518"/>
      <c r="AG35" s="518">
        <f>SUM(Q35:AF35)</f>
        <v>205000</v>
      </c>
      <c r="AH35" s="108" t="s">
        <v>2410</v>
      </c>
      <c r="AI35" s="539" t="s">
        <v>2411</v>
      </c>
      <c r="AJ35" s="136">
        <v>42</v>
      </c>
      <c r="AK35" s="136" t="s">
        <v>856</v>
      </c>
      <c r="AL35" s="108" t="s">
        <v>2412</v>
      </c>
      <c r="AM35" s="509">
        <v>211667</v>
      </c>
      <c r="AN35" s="136" t="s">
        <v>2413</v>
      </c>
      <c r="AO35" s="274"/>
      <c r="AP35" s="514"/>
      <c r="AQ35" s="514"/>
      <c r="AR35" s="514"/>
      <c r="AS35" s="514"/>
      <c r="AT35" s="514"/>
      <c r="AU35" s="514"/>
      <c r="AV35" s="514" t="s">
        <v>554</v>
      </c>
      <c r="AW35" s="514" t="s">
        <v>554</v>
      </c>
      <c r="AX35" s="514" t="s">
        <v>554</v>
      </c>
      <c r="AY35" s="514" t="s">
        <v>554</v>
      </c>
      <c r="AZ35" s="514" t="s">
        <v>554</v>
      </c>
      <c r="BA35" s="108" t="s">
        <v>2414</v>
      </c>
      <c r="BB35" s="136" t="s">
        <v>2415</v>
      </c>
    </row>
    <row r="36" spans="1:54" ht="120" x14ac:dyDescent="0.25">
      <c r="A36" s="108" t="s">
        <v>438</v>
      </c>
      <c r="B36" s="108" t="s">
        <v>1423</v>
      </c>
      <c r="C36" s="924"/>
      <c r="D36" s="924"/>
      <c r="E36" s="1027"/>
      <c r="F36" s="495" t="s">
        <v>2396</v>
      </c>
      <c r="G36" s="924"/>
      <c r="H36" s="184" t="s">
        <v>2416</v>
      </c>
      <c r="I36" s="184" t="s">
        <v>2417</v>
      </c>
      <c r="J36" s="174">
        <v>0</v>
      </c>
      <c r="K36" s="174" t="s">
        <v>526</v>
      </c>
      <c r="L36" s="174">
        <v>10</v>
      </c>
      <c r="M36" s="498">
        <v>7</v>
      </c>
      <c r="N36" s="108" t="s">
        <v>2417</v>
      </c>
      <c r="O36" s="498">
        <v>3</v>
      </c>
      <c r="P36" s="507">
        <v>352778</v>
      </c>
      <c r="Q36" s="515"/>
      <c r="R36" s="274"/>
      <c r="S36" s="274"/>
      <c r="T36" s="274"/>
      <c r="U36" s="274"/>
      <c r="V36" s="509">
        <f>2517135380/1000</f>
        <v>2517135.38</v>
      </c>
      <c r="W36" s="274"/>
      <c r="X36" s="274"/>
      <c r="Y36" s="274"/>
      <c r="Z36" s="274"/>
      <c r="AA36" s="274"/>
      <c r="AB36" s="274"/>
      <c r="AC36" s="274"/>
      <c r="AD36" s="274"/>
      <c r="AE36" s="274"/>
      <c r="AF36" s="509"/>
      <c r="AG36" s="509">
        <f>SUM(V36:AF36)</f>
        <v>2517135.38</v>
      </c>
      <c r="AH36" s="108" t="s">
        <v>2410</v>
      </c>
      <c r="AI36" s="539" t="s">
        <v>2411</v>
      </c>
      <c r="AJ36" s="136" t="s">
        <v>2418</v>
      </c>
      <c r="AK36" s="136" t="s">
        <v>856</v>
      </c>
      <c r="AL36" s="108" t="s">
        <v>2419</v>
      </c>
      <c r="AM36" s="509">
        <f>+V36</f>
        <v>2517135.38</v>
      </c>
      <c r="AN36" s="136" t="s">
        <v>2420</v>
      </c>
      <c r="AO36" s="274"/>
      <c r="AP36" s="514"/>
      <c r="AQ36" s="514"/>
      <c r="AR36" s="514"/>
      <c r="AS36" s="514"/>
      <c r="AT36" s="514"/>
      <c r="AU36" s="514" t="s">
        <v>554</v>
      </c>
      <c r="AV36" s="514" t="s">
        <v>554</v>
      </c>
      <c r="AW36" s="514" t="s">
        <v>554</v>
      </c>
      <c r="AX36" s="514" t="s">
        <v>554</v>
      </c>
      <c r="AY36" s="514" t="s">
        <v>554</v>
      </c>
      <c r="AZ36" s="514" t="s">
        <v>554</v>
      </c>
      <c r="BA36" s="108" t="s">
        <v>2414</v>
      </c>
      <c r="BB36" s="136" t="s">
        <v>2421</v>
      </c>
    </row>
    <row r="37" spans="1:54" ht="135" x14ac:dyDescent="0.25">
      <c r="A37" s="108" t="s">
        <v>438</v>
      </c>
      <c r="B37" s="108" t="s">
        <v>1423</v>
      </c>
      <c r="C37" s="924"/>
      <c r="D37" s="924"/>
      <c r="E37" s="1027"/>
      <c r="F37" s="495" t="s">
        <v>2396</v>
      </c>
      <c r="G37" s="924"/>
      <c r="H37" s="189" t="s">
        <v>2422</v>
      </c>
      <c r="I37" s="189" t="s">
        <v>2423</v>
      </c>
      <c r="J37" s="174">
        <v>0</v>
      </c>
      <c r="K37" s="174" t="s">
        <v>526</v>
      </c>
      <c r="L37" s="174">
        <v>7</v>
      </c>
      <c r="M37" s="498">
        <f>+L37-O37</f>
        <v>2</v>
      </c>
      <c r="N37" s="108" t="s">
        <v>2423</v>
      </c>
      <c r="O37" s="521">
        <v>5</v>
      </c>
      <c r="P37" s="507">
        <v>105833</v>
      </c>
      <c r="Q37" s="274"/>
      <c r="R37" s="274"/>
      <c r="S37" s="274"/>
      <c r="T37" s="274"/>
      <c r="U37" s="274"/>
      <c r="V37" s="522">
        <f>117373163/1000</f>
        <v>117373.163</v>
      </c>
      <c r="W37" s="517">
        <v>0</v>
      </c>
      <c r="X37" s="517">
        <v>0</v>
      </c>
      <c r="Y37" s="353"/>
      <c r="Z37" s="517"/>
      <c r="AA37" s="517"/>
      <c r="AB37" s="517"/>
      <c r="AC37" s="517"/>
      <c r="AD37" s="517"/>
      <c r="AE37" s="274"/>
      <c r="AF37" s="274"/>
      <c r="AG37" s="524">
        <f>+V37</f>
        <v>117373.163</v>
      </c>
      <c r="AH37" s="274"/>
      <c r="AI37" s="537"/>
      <c r="AJ37" s="274"/>
      <c r="AK37" s="274"/>
      <c r="AL37" s="274"/>
      <c r="AM37" s="274"/>
      <c r="AN37" s="274"/>
      <c r="AO37" s="514" t="s">
        <v>554</v>
      </c>
      <c r="AP37" s="514" t="s">
        <v>554</v>
      </c>
      <c r="AQ37" s="514" t="s">
        <v>554</v>
      </c>
      <c r="AR37" s="514" t="s">
        <v>554</v>
      </c>
      <c r="AS37" s="514" t="s">
        <v>554</v>
      </c>
      <c r="AT37" s="514" t="s">
        <v>554</v>
      </c>
      <c r="AU37" s="514" t="s">
        <v>554</v>
      </c>
      <c r="AV37" s="274"/>
      <c r="AW37" s="274"/>
      <c r="AX37" s="274"/>
      <c r="AY37" s="274"/>
      <c r="AZ37" s="274"/>
      <c r="BA37" s="274"/>
      <c r="BB37" s="136" t="s">
        <v>2322</v>
      </c>
    </row>
    <row r="38" spans="1:54" ht="195" x14ac:dyDescent="0.25">
      <c r="A38" s="108" t="s">
        <v>438</v>
      </c>
      <c r="B38" s="108" t="s">
        <v>1423</v>
      </c>
      <c r="C38" s="924" t="s">
        <v>2424</v>
      </c>
      <c r="D38" s="924" t="s">
        <v>2425</v>
      </c>
      <c r="E38" s="1027">
        <v>0</v>
      </c>
      <c r="F38" s="495" t="s">
        <v>2426</v>
      </c>
      <c r="G38" s="924" t="s">
        <v>2427</v>
      </c>
      <c r="H38" s="111" t="s">
        <v>2428</v>
      </c>
      <c r="I38" s="111" t="s">
        <v>2429</v>
      </c>
      <c r="J38" s="174"/>
      <c r="K38" s="174" t="s">
        <v>526</v>
      </c>
      <c r="L38" s="174">
        <v>4</v>
      </c>
      <c r="M38" s="498">
        <v>1</v>
      </c>
      <c r="N38" s="108" t="s">
        <v>2430</v>
      </c>
      <c r="O38" s="498">
        <v>4</v>
      </c>
      <c r="P38" s="507">
        <v>137713</v>
      </c>
      <c r="Q38" s="516">
        <v>0</v>
      </c>
      <c r="R38" s="517"/>
      <c r="S38" s="353"/>
      <c r="T38" s="353"/>
      <c r="U38" s="353"/>
      <c r="V38" s="504">
        <v>0</v>
      </c>
      <c r="W38" s="517">
        <v>0</v>
      </c>
      <c r="X38" s="517">
        <v>0</v>
      </c>
      <c r="Y38" s="353"/>
      <c r="Z38" s="517">
        <v>0</v>
      </c>
      <c r="AA38" s="517">
        <v>0</v>
      </c>
      <c r="AB38" s="517"/>
      <c r="AC38" s="517">
        <v>0</v>
      </c>
      <c r="AD38" s="517">
        <v>0</v>
      </c>
      <c r="AE38" s="353"/>
      <c r="AF38" s="518"/>
      <c r="AG38" s="518">
        <f>SUM(V38:AF38)</f>
        <v>0</v>
      </c>
      <c r="AH38" s="274"/>
      <c r="AI38" s="537"/>
      <c r="AJ38" s="274"/>
      <c r="AK38" s="274"/>
      <c r="AL38" s="274"/>
      <c r="AM38" s="274"/>
      <c r="AN38" s="274"/>
      <c r="AO38" s="274"/>
      <c r="AP38" s="274"/>
      <c r="AQ38" s="274"/>
      <c r="AR38" s="274"/>
      <c r="AS38" s="274"/>
      <c r="AT38" s="274"/>
      <c r="AU38" s="274"/>
      <c r="AV38" s="274"/>
      <c r="AW38" s="274"/>
      <c r="AX38" s="274"/>
      <c r="AY38" s="274"/>
      <c r="AZ38" s="274"/>
      <c r="BA38" s="274"/>
      <c r="BB38" s="274"/>
    </row>
    <row r="39" spans="1:54" ht="180" x14ac:dyDescent="0.25">
      <c r="A39" s="108" t="s">
        <v>438</v>
      </c>
      <c r="B39" s="108" t="s">
        <v>1423</v>
      </c>
      <c r="C39" s="924"/>
      <c r="D39" s="924"/>
      <c r="E39" s="1027"/>
      <c r="F39" s="495" t="s">
        <v>2426</v>
      </c>
      <c r="G39" s="924"/>
      <c r="H39" s="111" t="s">
        <v>2431</v>
      </c>
      <c r="I39" s="111" t="s">
        <v>2432</v>
      </c>
      <c r="J39" s="174">
        <v>0</v>
      </c>
      <c r="K39" s="174" t="s">
        <v>526</v>
      </c>
      <c r="L39" s="174">
        <v>4</v>
      </c>
      <c r="M39" s="498">
        <v>1</v>
      </c>
      <c r="N39" s="108" t="s">
        <v>2432</v>
      </c>
      <c r="O39" s="498">
        <v>4</v>
      </c>
      <c r="P39" s="507">
        <v>96400</v>
      </c>
      <c r="Q39" s="516">
        <v>0</v>
      </c>
      <c r="R39" s="517"/>
      <c r="S39" s="353"/>
      <c r="T39" s="353"/>
      <c r="U39" s="353"/>
      <c r="V39" s="504">
        <v>0</v>
      </c>
      <c r="W39" s="517">
        <v>0</v>
      </c>
      <c r="X39" s="517">
        <v>0</v>
      </c>
      <c r="Y39" s="353"/>
      <c r="Z39" s="517">
        <v>0</v>
      </c>
      <c r="AA39" s="517">
        <v>0</v>
      </c>
      <c r="AB39" s="517"/>
      <c r="AC39" s="517">
        <v>0</v>
      </c>
      <c r="AD39" s="517">
        <v>0</v>
      </c>
      <c r="AE39" s="353"/>
      <c r="AF39" s="518"/>
      <c r="AG39" s="518">
        <f>SUM(V39:AF39)</f>
        <v>0</v>
      </c>
      <c r="AH39" s="274"/>
      <c r="AI39" s="537"/>
      <c r="AJ39" s="274"/>
      <c r="AK39" s="274"/>
      <c r="AL39" s="274"/>
      <c r="AM39" s="274"/>
      <c r="AN39" s="274"/>
      <c r="AO39" s="274"/>
      <c r="AP39" s="274"/>
      <c r="AQ39" s="274"/>
      <c r="AR39" s="274"/>
      <c r="AS39" s="274"/>
      <c r="AT39" s="274"/>
      <c r="AU39" s="274"/>
      <c r="AV39" s="274"/>
      <c r="AW39" s="274"/>
      <c r="AX39" s="274"/>
      <c r="AY39" s="274"/>
      <c r="AZ39" s="274"/>
      <c r="BA39" s="274"/>
      <c r="BB39" s="274"/>
    </row>
    <row r="40" spans="1:54" ht="240" x14ac:dyDescent="0.25">
      <c r="A40" s="108" t="s">
        <v>438</v>
      </c>
      <c r="B40" s="108" t="s">
        <v>1423</v>
      </c>
      <c r="C40" s="924"/>
      <c r="D40" s="924"/>
      <c r="E40" s="1027"/>
      <c r="F40" s="495" t="s">
        <v>2426</v>
      </c>
      <c r="G40" s="924"/>
      <c r="H40" s="111" t="s">
        <v>2433</v>
      </c>
      <c r="I40" s="111" t="s">
        <v>2434</v>
      </c>
      <c r="J40" s="174">
        <v>0</v>
      </c>
      <c r="K40" s="174" t="s">
        <v>526</v>
      </c>
      <c r="L40" s="174">
        <v>2</v>
      </c>
      <c r="M40" s="498">
        <v>1</v>
      </c>
      <c r="N40" s="108" t="s">
        <v>2434</v>
      </c>
      <c r="O40" s="498">
        <v>1</v>
      </c>
      <c r="P40" s="525">
        <v>147504</v>
      </c>
      <c r="Q40" s="516">
        <v>0</v>
      </c>
      <c r="R40" s="517"/>
      <c r="S40" s="353"/>
      <c r="T40" s="353"/>
      <c r="U40" s="353"/>
      <c r="V40" s="504">
        <v>0</v>
      </c>
      <c r="W40" s="517">
        <v>0</v>
      </c>
      <c r="X40" s="517">
        <v>0</v>
      </c>
      <c r="Y40" s="353"/>
      <c r="Z40" s="517">
        <v>0</v>
      </c>
      <c r="AA40" s="517">
        <v>0</v>
      </c>
      <c r="AB40" s="517"/>
      <c r="AC40" s="517">
        <v>0</v>
      </c>
      <c r="AD40" s="517">
        <v>0</v>
      </c>
      <c r="AE40" s="353"/>
      <c r="AF40" s="518"/>
      <c r="AG40" s="518">
        <f>SUM(V40:AF40)</f>
        <v>0</v>
      </c>
      <c r="AH40" s="274"/>
      <c r="AI40" s="537"/>
      <c r="AJ40" s="274"/>
      <c r="AK40" s="274"/>
      <c r="AL40" s="274"/>
      <c r="AM40" s="274"/>
      <c r="AN40" s="274"/>
      <c r="AO40" s="274"/>
      <c r="AP40" s="274"/>
      <c r="AQ40" s="274"/>
      <c r="AR40" s="274"/>
      <c r="AS40" s="274"/>
      <c r="AT40" s="274"/>
      <c r="AU40" s="274"/>
      <c r="AV40" s="274"/>
      <c r="AW40" s="274"/>
      <c r="AX40" s="274"/>
      <c r="AY40" s="274"/>
      <c r="AZ40" s="274"/>
      <c r="BA40" s="274"/>
      <c r="BB40" s="274"/>
    </row>
    <row r="41" spans="1:54" ht="270" x14ac:dyDescent="0.25">
      <c r="A41" s="108" t="s">
        <v>438</v>
      </c>
      <c r="B41" s="108" t="s">
        <v>1423</v>
      </c>
      <c r="C41" s="924"/>
      <c r="D41" s="924"/>
      <c r="E41" s="1027"/>
      <c r="F41" s="495" t="s">
        <v>2426</v>
      </c>
      <c r="G41" s="924"/>
      <c r="H41" s="111" t="s">
        <v>2435</v>
      </c>
      <c r="I41" s="111" t="s">
        <v>2436</v>
      </c>
      <c r="J41" s="174">
        <v>0</v>
      </c>
      <c r="K41" s="174" t="s">
        <v>526</v>
      </c>
      <c r="L41" s="390">
        <v>4000</v>
      </c>
      <c r="M41" s="498">
        <v>1500</v>
      </c>
      <c r="N41" s="108" t="s">
        <v>2436</v>
      </c>
      <c r="O41" s="498">
        <f>480+2208+1606</f>
        <v>4294</v>
      </c>
      <c r="P41" s="507">
        <v>172141</v>
      </c>
      <c r="Q41" s="516">
        <f>194053800/1000</f>
        <v>194053.8</v>
      </c>
      <c r="R41" s="517"/>
      <c r="S41" s="353"/>
      <c r="T41" s="353"/>
      <c r="U41" s="353"/>
      <c r="V41" s="504"/>
      <c r="W41" s="517">
        <v>0</v>
      </c>
      <c r="X41" s="517">
        <v>0</v>
      </c>
      <c r="Y41" s="353"/>
      <c r="Z41" s="517"/>
      <c r="AA41" s="517"/>
      <c r="AB41" s="517"/>
      <c r="AC41" s="517"/>
      <c r="AD41" s="517">
        <v>8571</v>
      </c>
      <c r="AE41" s="353"/>
      <c r="AF41" s="518"/>
      <c r="AG41" s="518">
        <f>SUM(Q41:AF41)</f>
        <v>202624.8</v>
      </c>
      <c r="AH41" s="108" t="s">
        <v>2437</v>
      </c>
      <c r="AI41" s="537">
        <v>0</v>
      </c>
      <c r="AJ41" s="108" t="s">
        <v>2438</v>
      </c>
      <c r="AK41" s="108" t="s">
        <v>2439</v>
      </c>
      <c r="AL41" s="108" t="s">
        <v>2440</v>
      </c>
      <c r="AM41" s="526">
        <f>+AG41</f>
        <v>202624.8</v>
      </c>
      <c r="AN41" s="108" t="s">
        <v>2441</v>
      </c>
      <c r="AO41" s="274" t="s">
        <v>554</v>
      </c>
      <c r="AP41" s="274" t="s">
        <v>554</v>
      </c>
      <c r="AQ41" s="274" t="s">
        <v>554</v>
      </c>
      <c r="AR41" s="274" t="s">
        <v>554</v>
      </c>
      <c r="AS41" s="274" t="s">
        <v>554</v>
      </c>
      <c r="AT41" s="274" t="s">
        <v>554</v>
      </c>
      <c r="AU41" s="274" t="s">
        <v>554</v>
      </c>
      <c r="AV41" s="274" t="s">
        <v>554</v>
      </c>
      <c r="AW41" s="274" t="s">
        <v>554</v>
      </c>
      <c r="AX41" s="274" t="s">
        <v>554</v>
      </c>
      <c r="AY41" s="274" t="s">
        <v>554</v>
      </c>
      <c r="AZ41" s="274" t="s">
        <v>554</v>
      </c>
      <c r="BA41" s="108" t="s">
        <v>2442</v>
      </c>
      <c r="BB41" s="274"/>
    </row>
    <row r="42" spans="1:54" ht="180" x14ac:dyDescent="0.25">
      <c r="A42" s="108" t="s">
        <v>438</v>
      </c>
      <c r="B42" s="108" t="s">
        <v>1423</v>
      </c>
      <c r="C42" s="924"/>
      <c r="D42" s="924"/>
      <c r="E42" s="1027"/>
      <c r="F42" s="495" t="s">
        <v>2426</v>
      </c>
      <c r="G42" s="921" t="s">
        <v>2443</v>
      </c>
      <c r="H42" s="184" t="s">
        <v>2444</v>
      </c>
      <c r="I42" s="111" t="s">
        <v>2445</v>
      </c>
      <c r="J42" s="499">
        <v>0</v>
      </c>
      <c r="K42" s="506" t="s">
        <v>526</v>
      </c>
      <c r="L42" s="499">
        <v>1</v>
      </c>
      <c r="M42" s="508">
        <v>0</v>
      </c>
      <c r="N42" s="111" t="s">
        <v>2445</v>
      </c>
      <c r="O42" s="498">
        <f>0.3+0.7</f>
        <v>1</v>
      </c>
      <c r="P42" s="507">
        <v>0</v>
      </c>
      <c r="Q42" s="274"/>
      <c r="R42" s="274"/>
      <c r="S42" s="274"/>
      <c r="T42" s="274"/>
      <c r="U42" s="274"/>
      <c r="V42" s="498"/>
      <c r="W42" s="274"/>
      <c r="X42" s="274"/>
      <c r="Y42" s="274"/>
      <c r="Z42" s="274"/>
      <c r="AA42" s="274"/>
      <c r="AB42" s="274"/>
      <c r="AC42" s="274"/>
      <c r="AD42" s="274"/>
      <c r="AE42" s="274"/>
      <c r="AF42" s="274"/>
      <c r="AG42" s="274"/>
      <c r="AH42" s="108"/>
      <c r="AI42" s="512"/>
      <c r="AJ42" s="508"/>
      <c r="AK42" s="108"/>
      <c r="AL42" s="274"/>
      <c r="AM42" s="274"/>
      <c r="AN42" s="274"/>
      <c r="AO42" s="274"/>
      <c r="AP42" s="274"/>
      <c r="AQ42" s="274"/>
      <c r="AR42" s="274"/>
      <c r="AS42" s="274"/>
      <c r="AT42" s="274"/>
      <c r="AU42" s="274"/>
      <c r="AV42" s="274"/>
      <c r="AW42" s="274"/>
      <c r="AX42" s="274"/>
      <c r="AY42" s="274"/>
      <c r="AZ42" s="274"/>
      <c r="BA42" s="274"/>
      <c r="BB42" s="274"/>
    </row>
    <row r="43" spans="1:54" ht="225" x14ac:dyDescent="0.25">
      <c r="A43" s="108" t="s">
        <v>438</v>
      </c>
      <c r="B43" s="108" t="s">
        <v>1423</v>
      </c>
      <c r="C43" s="924"/>
      <c r="D43" s="924"/>
      <c r="E43" s="1027"/>
      <c r="F43" s="495" t="s">
        <v>2426</v>
      </c>
      <c r="G43" s="922"/>
      <c r="H43" s="184" t="s">
        <v>2446</v>
      </c>
      <c r="I43" s="184" t="s">
        <v>2447</v>
      </c>
      <c r="J43" s="174">
        <v>0</v>
      </c>
      <c r="K43" s="506" t="s">
        <v>526</v>
      </c>
      <c r="L43" s="174">
        <v>2</v>
      </c>
      <c r="M43" s="498">
        <v>1</v>
      </c>
      <c r="N43" s="108" t="s">
        <v>2447</v>
      </c>
      <c r="O43" s="498">
        <v>1</v>
      </c>
      <c r="P43" s="507">
        <v>56914</v>
      </c>
      <c r="Q43" s="509"/>
      <c r="R43" s="274"/>
      <c r="S43" s="274"/>
      <c r="T43" s="274"/>
      <c r="U43" s="274"/>
      <c r="V43" s="520">
        <f>500000000/1000</f>
        <v>500000</v>
      </c>
      <c r="W43" s="274"/>
      <c r="X43" s="274"/>
      <c r="Y43" s="274"/>
      <c r="Z43" s="517"/>
      <c r="AA43" s="517"/>
      <c r="AB43" s="517"/>
      <c r="AC43" s="517"/>
      <c r="AD43" s="517">
        <f>1714+2057+4286</f>
        <v>8057</v>
      </c>
      <c r="AE43" s="274"/>
      <c r="AF43" s="509"/>
      <c r="AG43" s="509">
        <f>SUM(V43:AF43)</f>
        <v>508057</v>
      </c>
      <c r="AH43" s="136" t="s">
        <v>2448</v>
      </c>
      <c r="AI43" s="512" t="s">
        <v>2449</v>
      </c>
      <c r="AJ43" s="508" t="s">
        <v>2450</v>
      </c>
      <c r="AK43" s="108" t="s">
        <v>1460</v>
      </c>
      <c r="AL43" s="108" t="s">
        <v>2451</v>
      </c>
      <c r="AM43" s="509">
        <f>1000000000/1000</f>
        <v>1000000</v>
      </c>
      <c r="AN43" s="108" t="s">
        <v>2452</v>
      </c>
      <c r="AO43" s="514" t="s">
        <v>554</v>
      </c>
      <c r="AP43" s="514" t="s">
        <v>554</v>
      </c>
      <c r="AQ43" s="514" t="s">
        <v>554</v>
      </c>
      <c r="AR43" s="514" t="s">
        <v>554</v>
      </c>
      <c r="AS43" s="514" t="s">
        <v>554</v>
      </c>
      <c r="AT43" s="514" t="s">
        <v>554</v>
      </c>
      <c r="AU43" s="514" t="s">
        <v>554</v>
      </c>
      <c r="AV43" s="514" t="s">
        <v>554</v>
      </c>
      <c r="AW43" s="514" t="s">
        <v>554</v>
      </c>
      <c r="AX43" s="514" t="s">
        <v>554</v>
      </c>
      <c r="AY43" s="514" t="s">
        <v>554</v>
      </c>
      <c r="AZ43" s="514" t="s">
        <v>554</v>
      </c>
      <c r="BA43" s="136" t="s">
        <v>2453</v>
      </c>
      <c r="BB43" s="136" t="s">
        <v>2454</v>
      </c>
    </row>
    <row r="44" spans="1:54" ht="300" x14ac:dyDescent="0.25">
      <c r="A44" s="108" t="s">
        <v>438</v>
      </c>
      <c r="B44" s="108" t="s">
        <v>1423</v>
      </c>
      <c r="C44" s="936" t="s">
        <v>2455</v>
      </c>
      <c r="D44" s="936" t="s">
        <v>2456</v>
      </c>
      <c r="E44" s="936">
        <v>0</v>
      </c>
      <c r="F44" s="495" t="s">
        <v>2457</v>
      </c>
      <c r="G44" s="922"/>
      <c r="H44" s="184" t="s">
        <v>2458</v>
      </c>
      <c r="I44" s="184" t="s">
        <v>2459</v>
      </c>
      <c r="J44" s="174">
        <v>0</v>
      </c>
      <c r="K44" s="506" t="s">
        <v>526</v>
      </c>
      <c r="L44" s="174">
        <v>1</v>
      </c>
      <c r="M44" s="498">
        <v>0.2</v>
      </c>
      <c r="N44" s="108" t="s">
        <v>2459</v>
      </c>
      <c r="O44" s="498">
        <f>0.05+0.55+0.2</f>
        <v>0.8</v>
      </c>
      <c r="P44" s="507">
        <v>53864</v>
      </c>
      <c r="Q44" s="274"/>
      <c r="R44" s="274"/>
      <c r="S44" s="274"/>
      <c r="T44" s="274"/>
      <c r="U44" s="274"/>
      <c r="V44" s="516">
        <f>121013912.25/1000</f>
        <v>121013.91224999999</v>
      </c>
      <c r="W44" s="520"/>
      <c r="X44" s="274"/>
      <c r="Y44" s="274"/>
      <c r="Z44" s="517">
        <v>2727</v>
      </c>
      <c r="AA44" s="517"/>
      <c r="AB44" s="517"/>
      <c r="AC44" s="517"/>
      <c r="AD44" s="353"/>
      <c r="AE44" s="274"/>
      <c r="AF44" s="509"/>
      <c r="AG44" s="509">
        <f>SUM(V44:AF44)</f>
        <v>123740.91224999999</v>
      </c>
      <c r="AH44" s="108" t="s">
        <v>2460</v>
      </c>
      <c r="AI44" s="512">
        <v>2016000030028</v>
      </c>
      <c r="AJ44" s="508">
        <v>42</v>
      </c>
      <c r="AK44" s="108" t="s">
        <v>2461</v>
      </c>
      <c r="AL44" s="108" t="s">
        <v>2462</v>
      </c>
      <c r="AM44" s="523">
        <f>+V44</f>
        <v>121013.91224999999</v>
      </c>
      <c r="AN44" s="108" t="s">
        <v>2463</v>
      </c>
      <c r="AO44" s="514" t="s">
        <v>554</v>
      </c>
      <c r="AP44" s="514" t="s">
        <v>554</v>
      </c>
      <c r="AQ44" s="514" t="s">
        <v>554</v>
      </c>
      <c r="AR44" s="514" t="s">
        <v>554</v>
      </c>
      <c r="AS44" s="514" t="s">
        <v>554</v>
      </c>
      <c r="AT44" s="514" t="s">
        <v>554</v>
      </c>
      <c r="AU44" s="514" t="s">
        <v>554</v>
      </c>
      <c r="AV44" s="514" t="s">
        <v>554</v>
      </c>
      <c r="AW44" s="514" t="s">
        <v>554</v>
      </c>
      <c r="AX44" s="514" t="s">
        <v>554</v>
      </c>
      <c r="AY44" s="514" t="s">
        <v>554</v>
      </c>
      <c r="AZ44" s="514" t="s">
        <v>554</v>
      </c>
      <c r="BA44" s="136" t="s">
        <v>2464</v>
      </c>
      <c r="BB44" s="136" t="s">
        <v>2322</v>
      </c>
    </row>
    <row r="45" spans="1:54" ht="240" x14ac:dyDescent="0.25">
      <c r="A45" s="108" t="s">
        <v>438</v>
      </c>
      <c r="B45" s="108" t="s">
        <v>1423</v>
      </c>
      <c r="C45" s="947"/>
      <c r="D45" s="947"/>
      <c r="E45" s="947"/>
      <c r="F45" s="495" t="s">
        <v>2457</v>
      </c>
      <c r="G45" s="922"/>
      <c r="H45" s="184" t="s">
        <v>2465</v>
      </c>
      <c r="I45" s="184" t="s">
        <v>2466</v>
      </c>
      <c r="J45" s="174">
        <v>0</v>
      </c>
      <c r="K45" s="506" t="s">
        <v>526</v>
      </c>
      <c r="L45" s="174">
        <v>1</v>
      </c>
      <c r="M45" s="498">
        <v>0.3</v>
      </c>
      <c r="N45" s="108" t="s">
        <v>2466</v>
      </c>
      <c r="O45" s="498">
        <f>0.1+0.2+0.4</f>
        <v>0.70000000000000007</v>
      </c>
      <c r="P45" s="507">
        <v>107727</v>
      </c>
      <c r="Q45" s="274"/>
      <c r="R45" s="274"/>
      <c r="S45" s="274"/>
      <c r="T45" s="274"/>
      <c r="U45" s="274"/>
      <c r="V45" s="509">
        <f>175624374.38/1000</f>
        <v>175624.37437999999</v>
      </c>
      <c r="W45" s="520"/>
      <c r="X45" s="274"/>
      <c r="Y45" s="274"/>
      <c r="Z45" s="517">
        <v>5455</v>
      </c>
      <c r="AA45" s="517"/>
      <c r="AB45" s="517"/>
      <c r="AC45" s="517"/>
      <c r="AD45" s="353"/>
      <c r="AE45" s="274"/>
      <c r="AF45" s="509"/>
      <c r="AG45" s="509">
        <f>SUM(V45:AF45)</f>
        <v>181079.37437999999</v>
      </c>
      <c r="AH45" s="108" t="s">
        <v>2460</v>
      </c>
      <c r="AI45" s="512">
        <v>2016000030028</v>
      </c>
      <c r="AJ45" s="508">
        <v>42</v>
      </c>
      <c r="AK45" s="108" t="s">
        <v>2461</v>
      </c>
      <c r="AL45" s="108" t="s">
        <v>2467</v>
      </c>
      <c r="AM45" s="274"/>
      <c r="AN45" s="108" t="s">
        <v>2468</v>
      </c>
      <c r="AO45" s="498" t="s">
        <v>554</v>
      </c>
      <c r="AP45" s="498" t="s">
        <v>554</v>
      </c>
      <c r="AQ45" s="498" t="s">
        <v>554</v>
      </c>
      <c r="AR45" s="498" t="s">
        <v>554</v>
      </c>
      <c r="AS45" s="498" t="s">
        <v>554</v>
      </c>
      <c r="AT45" s="498" t="s">
        <v>554</v>
      </c>
      <c r="AU45" s="498" t="s">
        <v>554</v>
      </c>
      <c r="AV45" s="498" t="s">
        <v>554</v>
      </c>
      <c r="AW45" s="498" t="s">
        <v>554</v>
      </c>
      <c r="AX45" s="498" t="s">
        <v>554</v>
      </c>
      <c r="AY45" s="498" t="s">
        <v>554</v>
      </c>
      <c r="AZ45" s="498" t="s">
        <v>554</v>
      </c>
      <c r="BA45" s="136" t="s">
        <v>2464</v>
      </c>
      <c r="BB45" s="136" t="s">
        <v>2322</v>
      </c>
    </row>
    <row r="46" spans="1:54" ht="210" x14ac:dyDescent="0.25">
      <c r="A46" s="108" t="s">
        <v>438</v>
      </c>
      <c r="B46" s="108" t="s">
        <v>1423</v>
      </c>
      <c r="C46" s="947"/>
      <c r="D46" s="947"/>
      <c r="E46" s="947"/>
      <c r="F46" s="495" t="s">
        <v>2457</v>
      </c>
      <c r="G46" s="922"/>
      <c r="H46" s="184" t="s">
        <v>2469</v>
      </c>
      <c r="I46" s="184" t="s">
        <v>2470</v>
      </c>
      <c r="J46" s="174">
        <v>0</v>
      </c>
      <c r="K46" s="506" t="s">
        <v>526</v>
      </c>
      <c r="L46" s="174">
        <v>4</v>
      </c>
      <c r="M46" s="498">
        <v>1</v>
      </c>
      <c r="N46" s="184" t="s">
        <v>2470</v>
      </c>
      <c r="O46" s="498">
        <f>1+2</f>
        <v>3</v>
      </c>
      <c r="P46" s="507">
        <v>377045</v>
      </c>
      <c r="Q46" s="274"/>
      <c r="R46" s="274"/>
      <c r="S46" s="274"/>
      <c r="T46" s="274"/>
      <c r="U46" s="274"/>
      <c r="V46" s="515">
        <f>118727560.25/1000</f>
        <v>118727.56024999999</v>
      </c>
      <c r="W46" s="520"/>
      <c r="X46" s="274"/>
      <c r="Y46" s="274"/>
      <c r="Z46" s="517">
        <f>19091</f>
        <v>19091</v>
      </c>
      <c r="AA46" s="517"/>
      <c r="AB46" s="517"/>
      <c r="AC46" s="517"/>
      <c r="AD46" s="353"/>
      <c r="AE46" s="274"/>
      <c r="AF46" s="509"/>
      <c r="AG46" s="509">
        <f>SUM(Q46:AF46)</f>
        <v>137818.56024999998</v>
      </c>
      <c r="AH46" s="108" t="s">
        <v>2460</v>
      </c>
      <c r="AI46" s="512">
        <v>2016000030028</v>
      </c>
      <c r="AJ46" s="508">
        <v>42</v>
      </c>
      <c r="AK46" s="108" t="s">
        <v>2461</v>
      </c>
      <c r="AL46" s="108" t="s">
        <v>2462</v>
      </c>
      <c r="AM46" s="509">
        <f>+V46</f>
        <v>118727.56024999999</v>
      </c>
      <c r="AN46" s="136" t="s">
        <v>2471</v>
      </c>
      <c r="AO46" s="498" t="s">
        <v>554</v>
      </c>
      <c r="AP46" s="498" t="s">
        <v>554</v>
      </c>
      <c r="AQ46" s="498" t="s">
        <v>554</v>
      </c>
      <c r="AR46" s="498" t="s">
        <v>554</v>
      </c>
      <c r="AS46" s="498" t="s">
        <v>554</v>
      </c>
      <c r="AT46" s="498" t="s">
        <v>554</v>
      </c>
      <c r="AU46" s="498" t="s">
        <v>554</v>
      </c>
      <c r="AV46" s="498" t="s">
        <v>554</v>
      </c>
      <c r="AW46" s="498" t="s">
        <v>554</v>
      </c>
      <c r="AX46" s="498" t="s">
        <v>554</v>
      </c>
      <c r="AY46" s="498" t="s">
        <v>554</v>
      </c>
      <c r="AZ46" s="498" t="s">
        <v>554</v>
      </c>
      <c r="BA46" s="136" t="s">
        <v>2464</v>
      </c>
      <c r="BB46" s="136" t="s">
        <v>2322</v>
      </c>
    </row>
    <row r="47" spans="1:54" ht="150" x14ac:dyDescent="0.25">
      <c r="A47" s="108" t="s">
        <v>438</v>
      </c>
      <c r="B47" s="108" t="s">
        <v>1423</v>
      </c>
      <c r="C47" s="937"/>
      <c r="D47" s="937"/>
      <c r="E47" s="937"/>
      <c r="F47" s="495" t="s">
        <v>2457</v>
      </c>
      <c r="G47" s="923"/>
      <c r="H47" s="184" t="s">
        <v>2472</v>
      </c>
      <c r="I47" s="184" t="s">
        <v>2473</v>
      </c>
      <c r="J47" s="174">
        <v>0</v>
      </c>
      <c r="K47" s="506" t="s">
        <v>526</v>
      </c>
      <c r="L47" s="174">
        <v>1</v>
      </c>
      <c r="M47" s="498">
        <v>0.25</v>
      </c>
      <c r="N47" s="184" t="s">
        <v>2473</v>
      </c>
      <c r="O47" s="498">
        <f>0.25+0.25+0.25</f>
        <v>0.75</v>
      </c>
      <c r="P47" s="507">
        <v>251364</v>
      </c>
      <c r="Q47" s="274"/>
      <c r="R47" s="274"/>
      <c r="S47" s="274"/>
      <c r="T47" s="274"/>
      <c r="U47" s="274"/>
      <c r="V47" s="527">
        <f>96985788.13/1000</f>
        <v>96985.788130000001</v>
      </c>
      <c r="W47" s="520"/>
      <c r="X47" s="274"/>
      <c r="Y47" s="274"/>
      <c r="Z47" s="517">
        <v>12727</v>
      </c>
      <c r="AA47" s="517"/>
      <c r="AB47" s="517"/>
      <c r="AC47" s="517"/>
      <c r="AD47" s="353"/>
      <c r="AE47" s="274"/>
      <c r="AF47" s="509"/>
      <c r="AG47" s="509">
        <f>SUM(V47:AF47)</f>
        <v>109712.78813</v>
      </c>
      <c r="AH47" s="108" t="s">
        <v>2460</v>
      </c>
      <c r="AI47" s="512">
        <v>2016000030028</v>
      </c>
      <c r="AJ47" s="508">
        <v>42</v>
      </c>
      <c r="AK47" s="108" t="s">
        <v>2461</v>
      </c>
      <c r="AL47" s="108" t="s">
        <v>2462</v>
      </c>
      <c r="AM47" s="528">
        <f>+V47</f>
        <v>96985.788130000001</v>
      </c>
      <c r="AN47" s="108" t="s">
        <v>2474</v>
      </c>
      <c r="AO47" s="498" t="s">
        <v>554</v>
      </c>
      <c r="AP47" s="498" t="s">
        <v>554</v>
      </c>
      <c r="AQ47" s="498" t="s">
        <v>554</v>
      </c>
      <c r="AR47" s="498" t="s">
        <v>554</v>
      </c>
      <c r="AS47" s="498" t="s">
        <v>554</v>
      </c>
      <c r="AT47" s="498" t="s">
        <v>554</v>
      </c>
      <c r="AU47" s="498" t="s">
        <v>554</v>
      </c>
      <c r="AV47" s="498" t="s">
        <v>554</v>
      </c>
      <c r="AW47" s="498" t="s">
        <v>554</v>
      </c>
      <c r="AX47" s="498" t="s">
        <v>554</v>
      </c>
      <c r="AY47" s="498" t="s">
        <v>554</v>
      </c>
      <c r="AZ47" s="498" t="s">
        <v>554</v>
      </c>
      <c r="BA47" s="136" t="s">
        <v>2464</v>
      </c>
      <c r="BB47" s="136" t="s">
        <v>2322</v>
      </c>
    </row>
    <row r="48" spans="1:54" ht="225" x14ac:dyDescent="0.25">
      <c r="A48" s="108" t="s">
        <v>438</v>
      </c>
      <c r="B48" s="108" t="s">
        <v>1423</v>
      </c>
      <c r="C48" s="924" t="s">
        <v>2475</v>
      </c>
      <c r="D48" s="924" t="s">
        <v>2476</v>
      </c>
      <c r="E48" s="1029">
        <v>0</v>
      </c>
      <c r="F48" s="495" t="s">
        <v>2477</v>
      </c>
      <c r="G48" s="924" t="s">
        <v>2478</v>
      </c>
      <c r="H48" s="184" t="s">
        <v>2479</v>
      </c>
      <c r="I48" s="184" t="s">
        <v>2480</v>
      </c>
      <c r="J48" s="174">
        <v>0</v>
      </c>
      <c r="K48" s="506" t="s">
        <v>526</v>
      </c>
      <c r="L48" s="174">
        <v>4</v>
      </c>
      <c r="M48" s="498">
        <v>1</v>
      </c>
      <c r="N48" s="184" t="s">
        <v>2480</v>
      </c>
      <c r="O48" s="498">
        <v>3</v>
      </c>
      <c r="P48" s="507">
        <v>199383</v>
      </c>
      <c r="Q48" s="529">
        <f>38967000/1000</f>
        <v>38967</v>
      </c>
      <c r="R48" s="517"/>
      <c r="S48" s="353"/>
      <c r="T48" s="353"/>
      <c r="U48" s="353"/>
      <c r="V48" s="517"/>
      <c r="W48" s="517">
        <v>0</v>
      </c>
      <c r="X48" s="517">
        <v>0</v>
      </c>
      <c r="Y48" s="353"/>
      <c r="Z48" s="517"/>
      <c r="AA48" s="517"/>
      <c r="AB48" s="517"/>
      <c r="AC48" s="517"/>
      <c r="AD48" s="517">
        <v>4297</v>
      </c>
      <c r="AE48" s="353"/>
      <c r="AF48" s="509"/>
      <c r="AG48" s="509">
        <f t="shared" ref="AG48:AG53" si="2">SUM(Q48:AF48)</f>
        <v>43264</v>
      </c>
      <c r="AH48" s="530" t="s">
        <v>2481</v>
      </c>
      <c r="AI48" s="537" t="s">
        <v>2482</v>
      </c>
      <c r="AJ48" s="274" t="s">
        <v>2483</v>
      </c>
      <c r="AK48" s="136" t="s">
        <v>2484</v>
      </c>
      <c r="AL48" s="274">
        <v>550</v>
      </c>
      <c r="AM48" s="507">
        <f t="shared" ref="AM48:AM53" si="3">+Q48</f>
        <v>38967</v>
      </c>
      <c r="AN48" s="531" t="s">
        <v>2485</v>
      </c>
      <c r="AO48" s="498" t="s">
        <v>554</v>
      </c>
      <c r="AP48" s="498" t="s">
        <v>554</v>
      </c>
      <c r="AQ48" s="498" t="s">
        <v>554</v>
      </c>
      <c r="AR48" s="498" t="s">
        <v>554</v>
      </c>
      <c r="AS48" s="498" t="s">
        <v>554</v>
      </c>
      <c r="AT48" s="498" t="s">
        <v>554</v>
      </c>
      <c r="AU48" s="498" t="s">
        <v>554</v>
      </c>
      <c r="AV48" s="498" t="s">
        <v>554</v>
      </c>
      <c r="AW48" s="498" t="s">
        <v>554</v>
      </c>
      <c r="AX48" s="498" t="s">
        <v>554</v>
      </c>
      <c r="AY48" s="498" t="s">
        <v>554</v>
      </c>
      <c r="AZ48" s="498" t="s">
        <v>554</v>
      </c>
      <c r="BA48" s="136" t="s">
        <v>2486</v>
      </c>
      <c r="BB48" s="108" t="s">
        <v>2322</v>
      </c>
    </row>
    <row r="49" spans="1:54" ht="225" x14ac:dyDescent="0.25">
      <c r="A49" s="108" t="s">
        <v>438</v>
      </c>
      <c r="B49" s="108" t="s">
        <v>1423</v>
      </c>
      <c r="C49" s="924"/>
      <c r="D49" s="924"/>
      <c r="E49" s="1030"/>
      <c r="F49" s="495" t="s">
        <v>2477</v>
      </c>
      <c r="G49" s="924"/>
      <c r="H49" s="184" t="s">
        <v>2487</v>
      </c>
      <c r="I49" s="184" t="s">
        <v>2488</v>
      </c>
      <c r="J49" s="174">
        <v>0</v>
      </c>
      <c r="K49" s="174" t="s">
        <v>526</v>
      </c>
      <c r="L49" s="174">
        <v>4</v>
      </c>
      <c r="M49" s="498">
        <v>1</v>
      </c>
      <c r="N49" s="184" t="s">
        <v>2488</v>
      </c>
      <c r="O49" s="498">
        <v>3</v>
      </c>
      <c r="P49" s="507">
        <v>199373</v>
      </c>
      <c r="Q49" s="529">
        <f>38967000/1000</f>
        <v>38967</v>
      </c>
      <c r="R49" s="274"/>
      <c r="S49" s="274"/>
      <c r="T49" s="274"/>
      <c r="U49" s="274"/>
      <c r="V49" s="517"/>
      <c r="W49" s="517">
        <v>0</v>
      </c>
      <c r="X49" s="517">
        <v>0</v>
      </c>
      <c r="Y49" s="353"/>
      <c r="Z49" s="517"/>
      <c r="AA49" s="517"/>
      <c r="AB49" s="517"/>
      <c r="AC49" s="517"/>
      <c r="AD49" s="517">
        <v>4297</v>
      </c>
      <c r="AE49" s="532"/>
      <c r="AF49" s="518"/>
      <c r="AG49" s="518">
        <f t="shared" si="2"/>
        <v>43264</v>
      </c>
      <c r="AH49" s="530" t="s">
        <v>2481</v>
      </c>
      <c r="AI49" s="537"/>
      <c r="AJ49" s="108" t="s">
        <v>2483</v>
      </c>
      <c r="AK49" s="136" t="s">
        <v>2484</v>
      </c>
      <c r="AL49" s="174">
        <v>550</v>
      </c>
      <c r="AM49" s="507">
        <f t="shared" si="3"/>
        <v>38967</v>
      </c>
      <c r="AN49" s="531" t="s">
        <v>2485</v>
      </c>
      <c r="AO49" s="498" t="s">
        <v>554</v>
      </c>
      <c r="AP49" s="498" t="s">
        <v>554</v>
      </c>
      <c r="AQ49" s="498" t="s">
        <v>554</v>
      </c>
      <c r="AR49" s="498" t="s">
        <v>554</v>
      </c>
      <c r="AS49" s="498" t="s">
        <v>554</v>
      </c>
      <c r="AT49" s="498" t="s">
        <v>554</v>
      </c>
      <c r="AU49" s="498" t="s">
        <v>554</v>
      </c>
      <c r="AV49" s="498" t="s">
        <v>554</v>
      </c>
      <c r="AW49" s="498" t="s">
        <v>554</v>
      </c>
      <c r="AX49" s="498" t="s">
        <v>554</v>
      </c>
      <c r="AY49" s="498" t="s">
        <v>554</v>
      </c>
      <c r="AZ49" s="498" t="s">
        <v>554</v>
      </c>
      <c r="BA49" s="136" t="s">
        <v>2486</v>
      </c>
      <c r="BB49" s="108" t="s">
        <v>2322</v>
      </c>
    </row>
    <row r="50" spans="1:54" ht="225" x14ac:dyDescent="0.25">
      <c r="A50" s="108" t="s">
        <v>438</v>
      </c>
      <c r="B50" s="108" t="s">
        <v>1423</v>
      </c>
      <c r="C50" s="924"/>
      <c r="D50" s="924"/>
      <c r="E50" s="1030"/>
      <c r="F50" s="495" t="s">
        <v>2477</v>
      </c>
      <c r="G50" s="924"/>
      <c r="H50" s="184" t="s">
        <v>2489</v>
      </c>
      <c r="I50" s="184" t="s">
        <v>2490</v>
      </c>
      <c r="J50" s="174">
        <v>0</v>
      </c>
      <c r="K50" s="174" t="s">
        <v>526</v>
      </c>
      <c r="L50" s="174">
        <v>4</v>
      </c>
      <c r="M50" s="498">
        <v>1</v>
      </c>
      <c r="N50" s="184" t="s">
        <v>2490</v>
      </c>
      <c r="O50" s="498">
        <v>3</v>
      </c>
      <c r="P50" s="507">
        <v>199373</v>
      </c>
      <c r="Q50" s="529">
        <f>59703000/1000</f>
        <v>59703</v>
      </c>
      <c r="R50" s="274"/>
      <c r="S50" s="274"/>
      <c r="T50" s="274"/>
      <c r="U50" s="274"/>
      <c r="V50" s="517"/>
      <c r="W50" s="517">
        <v>0</v>
      </c>
      <c r="X50" s="517">
        <v>0</v>
      </c>
      <c r="Y50" s="353"/>
      <c r="Z50" s="517"/>
      <c r="AA50" s="517"/>
      <c r="AB50" s="517"/>
      <c r="AC50" s="517"/>
      <c r="AD50" s="517">
        <v>4297</v>
      </c>
      <c r="AE50" s="353"/>
      <c r="AF50" s="518"/>
      <c r="AG50" s="518">
        <f t="shared" si="2"/>
        <v>64000</v>
      </c>
      <c r="AH50" s="530" t="s">
        <v>2481</v>
      </c>
      <c r="AI50" s="537"/>
      <c r="AJ50" s="108" t="s">
        <v>2483</v>
      </c>
      <c r="AK50" s="136" t="s">
        <v>2484</v>
      </c>
      <c r="AL50" s="174">
        <v>550</v>
      </c>
      <c r="AM50" s="507">
        <f t="shared" si="3"/>
        <v>59703</v>
      </c>
      <c r="AN50" s="531" t="s">
        <v>2485</v>
      </c>
      <c r="AO50" s="498" t="s">
        <v>554</v>
      </c>
      <c r="AP50" s="498" t="s">
        <v>554</v>
      </c>
      <c r="AQ50" s="498" t="s">
        <v>554</v>
      </c>
      <c r="AR50" s="498" t="s">
        <v>554</v>
      </c>
      <c r="AS50" s="498" t="s">
        <v>554</v>
      </c>
      <c r="AT50" s="498" t="s">
        <v>554</v>
      </c>
      <c r="AU50" s="498" t="s">
        <v>554</v>
      </c>
      <c r="AV50" s="498" t="s">
        <v>554</v>
      </c>
      <c r="AW50" s="498" t="s">
        <v>554</v>
      </c>
      <c r="AX50" s="498" t="s">
        <v>554</v>
      </c>
      <c r="AY50" s="498" t="s">
        <v>554</v>
      </c>
      <c r="AZ50" s="498" t="s">
        <v>554</v>
      </c>
      <c r="BA50" s="136" t="s">
        <v>2486</v>
      </c>
      <c r="BB50" s="108" t="s">
        <v>2322</v>
      </c>
    </row>
    <row r="51" spans="1:54" ht="225" x14ac:dyDescent="0.25">
      <c r="A51" s="108" t="s">
        <v>438</v>
      </c>
      <c r="B51" s="108" t="s">
        <v>1423</v>
      </c>
      <c r="C51" s="924"/>
      <c r="D51" s="924"/>
      <c r="E51" s="1030"/>
      <c r="F51" s="495" t="s">
        <v>2477</v>
      </c>
      <c r="G51" s="924"/>
      <c r="H51" s="111" t="s">
        <v>2491</v>
      </c>
      <c r="I51" s="111" t="s">
        <v>2492</v>
      </c>
      <c r="J51" s="174">
        <v>0</v>
      </c>
      <c r="K51" s="174" t="s">
        <v>526</v>
      </c>
      <c r="L51" s="174">
        <v>4</v>
      </c>
      <c r="M51" s="498">
        <v>1</v>
      </c>
      <c r="N51" s="111" t="s">
        <v>2492</v>
      </c>
      <c r="O51" s="498">
        <v>3</v>
      </c>
      <c r="P51" s="507">
        <v>199373</v>
      </c>
      <c r="Q51" s="529">
        <f>59703000/1000</f>
        <v>59703</v>
      </c>
      <c r="R51" s="274"/>
      <c r="S51" s="274"/>
      <c r="T51" s="274"/>
      <c r="U51" s="274"/>
      <c r="V51" s="517"/>
      <c r="W51" s="517">
        <v>0</v>
      </c>
      <c r="X51" s="517">
        <v>0</v>
      </c>
      <c r="Y51" s="353"/>
      <c r="Z51" s="517"/>
      <c r="AA51" s="517"/>
      <c r="AB51" s="517"/>
      <c r="AC51" s="517"/>
      <c r="AD51" s="517">
        <v>4297</v>
      </c>
      <c r="AE51" s="353"/>
      <c r="AF51" s="533"/>
      <c r="AG51" s="518">
        <f t="shared" si="2"/>
        <v>64000</v>
      </c>
      <c r="AH51" s="530" t="s">
        <v>2481</v>
      </c>
      <c r="AI51" s="537"/>
      <c r="AJ51" s="108" t="s">
        <v>2483</v>
      </c>
      <c r="AK51" s="136" t="s">
        <v>2484</v>
      </c>
      <c r="AL51" s="174">
        <v>1100</v>
      </c>
      <c r="AM51" s="507">
        <f t="shared" si="3"/>
        <v>59703</v>
      </c>
      <c r="AN51" s="531" t="s">
        <v>2485</v>
      </c>
      <c r="AO51" s="498" t="s">
        <v>554</v>
      </c>
      <c r="AP51" s="498" t="s">
        <v>554</v>
      </c>
      <c r="AQ51" s="498" t="s">
        <v>554</v>
      </c>
      <c r="AR51" s="498" t="s">
        <v>554</v>
      </c>
      <c r="AS51" s="498" t="s">
        <v>554</v>
      </c>
      <c r="AT51" s="498" t="s">
        <v>554</v>
      </c>
      <c r="AU51" s="498" t="s">
        <v>554</v>
      </c>
      <c r="AV51" s="498" t="s">
        <v>554</v>
      </c>
      <c r="AW51" s="498" t="s">
        <v>554</v>
      </c>
      <c r="AX51" s="498" t="s">
        <v>554</v>
      </c>
      <c r="AY51" s="498" t="s">
        <v>554</v>
      </c>
      <c r="AZ51" s="498" t="s">
        <v>554</v>
      </c>
      <c r="BA51" s="136" t="s">
        <v>2486</v>
      </c>
      <c r="BB51" s="108" t="s">
        <v>2322</v>
      </c>
    </row>
    <row r="52" spans="1:54" ht="165" x14ac:dyDescent="0.25">
      <c r="A52" s="108" t="s">
        <v>438</v>
      </c>
      <c r="B52" s="108" t="s">
        <v>1423</v>
      </c>
      <c r="C52" s="924"/>
      <c r="D52" s="924"/>
      <c r="E52" s="1030"/>
      <c r="F52" s="495" t="s">
        <v>2477</v>
      </c>
      <c r="G52" s="924"/>
      <c r="H52" s="111" t="s">
        <v>2493</v>
      </c>
      <c r="I52" s="111" t="s">
        <v>2494</v>
      </c>
      <c r="J52" s="174">
        <v>0</v>
      </c>
      <c r="K52" s="174" t="s">
        <v>526</v>
      </c>
      <c r="L52" s="174">
        <v>7</v>
      </c>
      <c r="M52" s="498">
        <v>1</v>
      </c>
      <c r="N52" s="111" t="s">
        <v>2494</v>
      </c>
      <c r="O52" s="498">
        <v>6</v>
      </c>
      <c r="P52" s="507">
        <v>253748</v>
      </c>
      <c r="Q52" s="534">
        <f>(4960000+666400)/1000</f>
        <v>5626.4</v>
      </c>
      <c r="R52" s="274"/>
      <c r="S52" s="274"/>
      <c r="T52" s="274"/>
      <c r="U52" s="274"/>
      <c r="V52" s="520"/>
      <c r="W52" s="517">
        <v>0</v>
      </c>
      <c r="X52" s="517">
        <v>0</v>
      </c>
      <c r="Y52" s="353"/>
      <c r="Z52" s="517"/>
      <c r="AA52" s="517"/>
      <c r="AB52" s="517"/>
      <c r="AC52" s="517"/>
      <c r="AD52" s="517">
        <v>5469</v>
      </c>
      <c r="AE52" s="524"/>
      <c r="AF52" s="509"/>
      <c r="AG52" s="509">
        <f t="shared" si="2"/>
        <v>11095.4</v>
      </c>
      <c r="AH52" s="530" t="s">
        <v>2481</v>
      </c>
      <c r="AI52" s="537"/>
      <c r="AJ52" s="174" t="s">
        <v>2495</v>
      </c>
      <c r="AK52" s="174" t="s">
        <v>1539</v>
      </c>
      <c r="AL52" s="174">
        <v>80</v>
      </c>
      <c r="AM52" s="509">
        <f t="shared" si="3"/>
        <v>5626.4</v>
      </c>
      <c r="AN52" s="274"/>
      <c r="AO52" s="174"/>
      <c r="AP52" s="174"/>
      <c r="AQ52" s="174"/>
      <c r="AR52" s="174"/>
      <c r="AS52" s="174"/>
      <c r="AT52" s="174"/>
      <c r="AU52" s="174"/>
      <c r="AV52" s="174"/>
      <c r="AW52" s="498" t="s">
        <v>536</v>
      </c>
      <c r="AX52" s="174"/>
      <c r="AY52" s="174"/>
      <c r="AZ52" s="174"/>
      <c r="BA52" s="136" t="s">
        <v>2486</v>
      </c>
      <c r="BB52" s="108" t="s">
        <v>2322</v>
      </c>
    </row>
    <row r="53" spans="1:54" ht="225" x14ac:dyDescent="0.25">
      <c r="A53" s="108" t="s">
        <v>438</v>
      </c>
      <c r="B53" s="108" t="s">
        <v>1423</v>
      </c>
      <c r="C53" s="924"/>
      <c r="D53" s="924"/>
      <c r="E53" s="1031"/>
      <c r="F53" s="495" t="s">
        <v>2496</v>
      </c>
      <c r="G53" s="924"/>
      <c r="H53" s="184" t="s">
        <v>2497</v>
      </c>
      <c r="I53" s="184" t="s">
        <v>2498</v>
      </c>
      <c r="J53" s="174">
        <v>0</v>
      </c>
      <c r="K53" s="174" t="s">
        <v>526</v>
      </c>
      <c r="L53" s="174">
        <v>3</v>
      </c>
      <c r="M53" s="498">
        <v>1</v>
      </c>
      <c r="N53" s="184" t="s">
        <v>2498</v>
      </c>
      <c r="O53" s="498">
        <v>2</v>
      </c>
      <c r="P53" s="535">
        <v>108748</v>
      </c>
      <c r="Q53" s="535">
        <f>7700000/1000</f>
        <v>7700</v>
      </c>
      <c r="R53" s="136"/>
      <c r="S53" s="136"/>
      <c r="T53" s="136"/>
      <c r="U53" s="136"/>
      <c r="V53" s="520"/>
      <c r="W53" s="536">
        <v>0</v>
      </c>
      <c r="X53" s="536">
        <v>0</v>
      </c>
      <c r="Y53" s="390"/>
      <c r="Z53" s="536"/>
      <c r="AA53" s="536"/>
      <c r="AB53" s="536"/>
      <c r="AC53" s="536"/>
      <c r="AD53" s="536">
        <v>2344</v>
      </c>
      <c r="AE53" s="390"/>
      <c r="AF53" s="533"/>
      <c r="AG53" s="533">
        <f t="shared" si="2"/>
        <v>10044</v>
      </c>
      <c r="AH53" s="530" t="s">
        <v>2481</v>
      </c>
      <c r="AI53" s="537"/>
      <c r="AJ53" s="136" t="s">
        <v>2483</v>
      </c>
      <c r="AK53" s="108" t="s">
        <v>2484</v>
      </c>
      <c r="AL53" s="174">
        <v>40</v>
      </c>
      <c r="AM53" s="507">
        <f t="shared" si="3"/>
        <v>7700</v>
      </c>
      <c r="AN53" s="531" t="s">
        <v>2485</v>
      </c>
      <c r="AO53" s="498" t="s">
        <v>536</v>
      </c>
      <c r="AP53" s="498" t="s">
        <v>536</v>
      </c>
      <c r="AQ53" s="498" t="s">
        <v>536</v>
      </c>
      <c r="AR53" s="498" t="s">
        <v>536</v>
      </c>
      <c r="AS53" s="498" t="s">
        <v>536</v>
      </c>
      <c r="AT53" s="498" t="s">
        <v>536</v>
      </c>
      <c r="AU53" s="498" t="s">
        <v>536</v>
      </c>
      <c r="AV53" s="498" t="s">
        <v>536</v>
      </c>
      <c r="AW53" s="498" t="s">
        <v>536</v>
      </c>
      <c r="AX53" s="498" t="s">
        <v>536</v>
      </c>
      <c r="AY53" s="498" t="s">
        <v>536</v>
      </c>
      <c r="AZ53" s="498" t="s">
        <v>536</v>
      </c>
      <c r="BA53" s="136" t="s">
        <v>2486</v>
      </c>
      <c r="BB53" s="108" t="s">
        <v>2322</v>
      </c>
    </row>
  </sheetData>
  <sheetProtection password="DFEF" sheet="1" objects="1" scenarios="1"/>
  <mergeCells count="65">
    <mergeCell ref="C48:C53"/>
    <mergeCell ref="D48:D53"/>
    <mergeCell ref="E48:E53"/>
    <mergeCell ref="G48:G53"/>
    <mergeCell ref="C38:C43"/>
    <mergeCell ref="D38:D43"/>
    <mergeCell ref="E38:E43"/>
    <mergeCell ref="G38:G41"/>
    <mergeCell ref="G42:G47"/>
    <mergeCell ref="C44:C47"/>
    <mergeCell ref="D44:D47"/>
    <mergeCell ref="E44:E47"/>
    <mergeCell ref="C31:C33"/>
    <mergeCell ref="D31:D33"/>
    <mergeCell ref="E31:E33"/>
    <mergeCell ref="G31:G37"/>
    <mergeCell ref="C34:C37"/>
    <mergeCell ref="D34:D37"/>
    <mergeCell ref="E34:E37"/>
    <mergeCell ref="C26:C27"/>
    <mergeCell ref="D26:D27"/>
    <mergeCell ref="E26:E27"/>
    <mergeCell ref="G26:G30"/>
    <mergeCell ref="C28:C30"/>
    <mergeCell ref="D28:D30"/>
    <mergeCell ref="E28:E30"/>
    <mergeCell ref="BA14:BA15"/>
    <mergeCell ref="BB14:BB15"/>
    <mergeCell ref="C16:C18"/>
    <mergeCell ref="D16:D18"/>
    <mergeCell ref="E16:E18"/>
    <mergeCell ref="G16:G25"/>
    <mergeCell ref="C19:C24"/>
    <mergeCell ref="D19:D24"/>
    <mergeCell ref="E19:E24"/>
    <mergeCell ref="AJ14:AJ15"/>
    <mergeCell ref="AK14:AK15"/>
    <mergeCell ref="AL14:AL15"/>
    <mergeCell ref="AM14:AM15"/>
    <mergeCell ref="AN14:AN15"/>
    <mergeCell ref="AO14:AZ14"/>
    <mergeCell ref="M14:M15"/>
    <mergeCell ref="N14:O14"/>
    <mergeCell ref="P14:P15"/>
    <mergeCell ref="Q14:AF14"/>
    <mergeCell ref="AH14:AH15"/>
    <mergeCell ref="AI14:AI15"/>
    <mergeCell ref="L14:L15"/>
    <mergeCell ref="A14:A15"/>
    <mergeCell ref="B14:B15"/>
    <mergeCell ref="C14:C15"/>
    <mergeCell ref="D14:D15"/>
    <mergeCell ref="E14:E15"/>
    <mergeCell ref="F14:F15"/>
    <mergeCell ref="G14:G15"/>
    <mergeCell ref="H14:H15"/>
    <mergeCell ref="I14:I15"/>
    <mergeCell ref="J14:J15"/>
    <mergeCell ref="K14:K15"/>
    <mergeCell ref="A11:M11"/>
    <mergeCell ref="A2:L2"/>
    <mergeCell ref="A3:L3"/>
    <mergeCell ref="A5:L5"/>
    <mergeCell ref="A6:L6"/>
    <mergeCell ref="A9:M9"/>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7"/>
  <sheetViews>
    <sheetView zoomScale="90" zoomScaleNormal="90" workbookViewId="0">
      <selection activeCell="G16" sqref="G16:G19"/>
    </sheetView>
  </sheetViews>
  <sheetFormatPr baseColWidth="10" defaultRowHeight="15" x14ac:dyDescent="0.25"/>
  <cols>
    <col min="4" max="4" width="16" customWidth="1"/>
    <col min="7" max="7" width="14.85546875" customWidth="1"/>
    <col min="8" max="8" width="17.28515625" customWidth="1"/>
    <col min="9" max="9" width="13.7109375" customWidth="1"/>
    <col min="10" max="10" width="16.5703125" customWidth="1"/>
    <col min="14" max="14" width="14.28515625" customWidth="1"/>
    <col min="33" max="33" width="16.85546875" customWidth="1"/>
    <col min="35" max="35" width="17.28515625" customWidth="1"/>
    <col min="37" max="37" width="17.42578125" customWidth="1"/>
    <col min="38" max="38" width="12.5703125" customWidth="1"/>
    <col min="39" max="39" width="69.140625" customWidth="1"/>
    <col min="40" max="51" width="6.7109375" customWidth="1"/>
  </cols>
  <sheetData>
    <row r="1" spans="1:53" x14ac:dyDescent="0.25">
      <c r="A1" s="574"/>
      <c r="B1" s="574"/>
      <c r="C1" s="574"/>
      <c r="D1" s="574"/>
      <c r="E1" s="574"/>
      <c r="F1" s="574"/>
      <c r="G1" s="574"/>
      <c r="H1" s="574"/>
      <c r="I1" s="574"/>
      <c r="J1" s="574"/>
      <c r="K1" s="574"/>
      <c r="L1" s="574"/>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row>
    <row r="2" spans="1:53" x14ac:dyDescent="0.25">
      <c r="A2" s="1032" t="s">
        <v>481</v>
      </c>
      <c r="B2" s="1032"/>
      <c r="C2" s="1032"/>
      <c r="D2" s="1032"/>
      <c r="E2" s="1032"/>
      <c r="F2" s="1032"/>
      <c r="G2" s="1032"/>
      <c r="H2" s="1032"/>
      <c r="I2" s="1032"/>
      <c r="J2" s="1032"/>
      <c r="K2" s="1032"/>
      <c r="L2" s="1032"/>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row>
    <row r="3" spans="1:53" x14ac:dyDescent="0.25">
      <c r="A3" s="1033" t="s">
        <v>482</v>
      </c>
      <c r="B3" s="1033"/>
      <c r="C3" s="1033"/>
      <c r="D3" s="1033"/>
      <c r="E3" s="1033"/>
      <c r="F3" s="1033"/>
      <c r="G3" s="1033"/>
      <c r="H3" s="1033"/>
      <c r="I3" s="1033"/>
      <c r="J3" s="1033"/>
      <c r="K3" s="1033"/>
      <c r="L3" s="1033"/>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row>
    <row r="4" spans="1:53" x14ac:dyDescent="0.25">
      <c r="A4" s="576"/>
      <c r="B4" s="574"/>
      <c r="C4" s="574"/>
      <c r="D4" s="574"/>
      <c r="E4" s="574"/>
      <c r="F4" s="574"/>
      <c r="G4" s="574"/>
      <c r="H4" s="574"/>
      <c r="I4" s="574"/>
      <c r="J4" s="574"/>
      <c r="K4" s="574"/>
      <c r="L4" s="574"/>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row>
    <row r="5" spans="1:53" x14ac:dyDescent="0.25">
      <c r="A5" s="1034" t="s">
        <v>483</v>
      </c>
      <c r="B5" s="1034"/>
      <c r="C5" s="1034"/>
      <c r="D5" s="1034"/>
      <c r="E5" s="1034"/>
      <c r="F5" s="1034"/>
      <c r="G5" s="1034"/>
      <c r="H5" s="1034"/>
      <c r="I5" s="1034"/>
      <c r="J5" s="1034"/>
      <c r="K5" s="1034"/>
      <c r="L5" s="1034"/>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row>
    <row r="6" spans="1:53" x14ac:dyDescent="0.25">
      <c r="A6" s="1035" t="s">
        <v>528</v>
      </c>
      <c r="B6" s="1035"/>
      <c r="C6" s="1035"/>
      <c r="D6" s="1035"/>
      <c r="E6" s="1035"/>
      <c r="F6" s="1035"/>
      <c r="G6" s="1035"/>
      <c r="H6" s="1035"/>
      <c r="I6" s="1035"/>
      <c r="J6" s="1035"/>
      <c r="K6" s="1035"/>
      <c r="L6" s="103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row>
    <row r="7" spans="1:53" x14ac:dyDescent="0.25">
      <c r="A7" s="577"/>
      <c r="B7" s="577"/>
      <c r="C7" s="577"/>
      <c r="D7" s="577"/>
      <c r="E7" s="577"/>
      <c r="F7" s="577"/>
      <c r="G7" s="577"/>
      <c r="H7" s="577"/>
      <c r="I7" s="577"/>
      <c r="J7" s="577"/>
      <c r="K7" s="577"/>
      <c r="L7" s="577"/>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row>
    <row r="8" spans="1:53" x14ac:dyDescent="0.25">
      <c r="A8" s="577"/>
      <c r="B8" s="577"/>
      <c r="C8" s="577"/>
      <c r="D8" s="577"/>
      <c r="E8" s="577"/>
      <c r="F8" s="577"/>
      <c r="G8" s="577"/>
      <c r="H8" s="577"/>
      <c r="I8" s="577"/>
      <c r="J8" s="577"/>
      <c r="K8" s="577"/>
      <c r="L8" s="577"/>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row>
    <row r="9" spans="1:53" x14ac:dyDescent="0.25">
      <c r="A9" s="1036" t="s">
        <v>3098</v>
      </c>
      <c r="B9" s="1036"/>
      <c r="C9" s="1036"/>
      <c r="D9" s="1036"/>
      <c r="E9" s="1036"/>
      <c r="F9" s="1036"/>
      <c r="G9" s="1036"/>
      <c r="H9" s="1036"/>
      <c r="I9" s="1036"/>
      <c r="J9" s="1036"/>
      <c r="K9" s="1036"/>
      <c r="L9" s="1036"/>
      <c r="M9" s="1036"/>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row>
    <row r="10" spans="1:53" x14ac:dyDescent="0.25">
      <c r="A10" s="577"/>
      <c r="B10" s="577"/>
      <c r="C10" s="577"/>
      <c r="D10" s="577"/>
      <c r="E10" s="577"/>
      <c r="F10" s="577"/>
      <c r="G10" s="577"/>
      <c r="H10" s="577"/>
      <c r="I10" s="577"/>
      <c r="J10" s="577"/>
      <c r="K10" s="577"/>
      <c r="L10" s="577"/>
      <c r="M10" s="577"/>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row>
    <row r="11" spans="1:53" x14ac:dyDescent="0.25">
      <c r="A11" s="1036" t="s">
        <v>951</v>
      </c>
      <c r="B11" s="1036"/>
      <c r="C11" s="1036"/>
      <c r="D11" s="1036"/>
      <c r="E11" s="1036"/>
      <c r="F11" s="1036"/>
      <c r="G11" s="1036"/>
      <c r="H11" s="1036"/>
      <c r="I11" s="1036"/>
      <c r="J11" s="1036"/>
      <c r="K11" s="1036"/>
      <c r="L11" s="1036"/>
      <c r="M11" s="1036"/>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row>
    <row r="12" spans="1:53" x14ac:dyDescent="0.25">
      <c r="A12" s="577"/>
      <c r="B12" s="577"/>
      <c r="C12" s="577"/>
      <c r="D12" s="577"/>
      <c r="E12" s="577"/>
      <c r="F12" s="577"/>
      <c r="G12" s="577"/>
      <c r="H12" s="577"/>
      <c r="I12" s="577"/>
      <c r="J12" s="577"/>
      <c r="K12" s="577"/>
      <c r="L12" s="577"/>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row>
    <row r="13" spans="1:53" x14ac:dyDescent="0.25">
      <c r="A13" s="574"/>
      <c r="B13" s="574"/>
      <c r="C13" s="574"/>
      <c r="D13" s="574"/>
      <c r="E13" s="574"/>
      <c r="F13" s="574"/>
      <c r="G13" s="574"/>
      <c r="H13" s="574"/>
      <c r="I13" s="574"/>
      <c r="J13" s="574"/>
      <c r="K13" s="574"/>
      <c r="L13" s="574"/>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row>
    <row r="14" spans="1:53" ht="36.75" customHeight="1" x14ac:dyDescent="0.25">
      <c r="A14" s="1037" t="s">
        <v>62</v>
      </c>
      <c r="B14" s="1037" t="s">
        <v>63</v>
      </c>
      <c r="C14" s="970" t="s">
        <v>0</v>
      </c>
      <c r="D14" s="970" t="s">
        <v>1</v>
      </c>
      <c r="E14" s="970" t="s">
        <v>2</v>
      </c>
      <c r="F14" s="970" t="s">
        <v>3</v>
      </c>
      <c r="G14" s="970" t="s">
        <v>64</v>
      </c>
      <c r="H14" s="970" t="s">
        <v>65</v>
      </c>
      <c r="I14" s="970" t="s">
        <v>66</v>
      </c>
      <c r="J14" s="970" t="s">
        <v>67</v>
      </c>
      <c r="K14" s="970" t="s">
        <v>480</v>
      </c>
      <c r="L14" s="970" t="s">
        <v>521</v>
      </c>
      <c r="M14" s="1042" t="s">
        <v>529</v>
      </c>
      <c r="N14" s="1039" t="s">
        <v>66</v>
      </c>
      <c r="O14" s="1041"/>
      <c r="P14" s="1042" t="s">
        <v>532</v>
      </c>
      <c r="Q14" s="1039" t="s">
        <v>484</v>
      </c>
      <c r="R14" s="1040"/>
      <c r="S14" s="1040"/>
      <c r="T14" s="1040"/>
      <c r="U14" s="1040"/>
      <c r="V14" s="1040"/>
      <c r="W14" s="1040"/>
      <c r="X14" s="1040"/>
      <c r="Y14" s="1040"/>
      <c r="Z14" s="1040"/>
      <c r="AA14" s="1040"/>
      <c r="AB14" s="1040"/>
      <c r="AC14" s="1040"/>
      <c r="AD14" s="1040"/>
      <c r="AE14" s="1040"/>
      <c r="AF14" s="1041"/>
      <c r="AG14" s="1042" t="s">
        <v>485</v>
      </c>
      <c r="AH14" s="1042" t="s">
        <v>531</v>
      </c>
      <c r="AI14" s="1042" t="s">
        <v>952</v>
      </c>
      <c r="AJ14" s="1042" t="s">
        <v>511</v>
      </c>
      <c r="AK14" s="1042" t="s">
        <v>486</v>
      </c>
      <c r="AL14" s="1042" t="s">
        <v>535</v>
      </c>
      <c r="AM14" s="1042" t="s">
        <v>487</v>
      </c>
      <c r="AN14" s="1052" t="s">
        <v>524</v>
      </c>
      <c r="AO14" s="1053"/>
      <c r="AP14" s="1053"/>
      <c r="AQ14" s="1053"/>
      <c r="AR14" s="1053"/>
      <c r="AS14" s="1053"/>
      <c r="AT14" s="1053"/>
      <c r="AU14" s="1053"/>
      <c r="AV14" s="1053"/>
      <c r="AW14" s="1053"/>
      <c r="AX14" s="1053"/>
      <c r="AY14" s="1054"/>
      <c r="AZ14" s="1044" t="s">
        <v>512</v>
      </c>
      <c r="BA14" s="1046" t="s">
        <v>488</v>
      </c>
    </row>
    <row r="15" spans="1:53" ht="48" x14ac:dyDescent="0.25">
      <c r="A15" s="1038"/>
      <c r="B15" s="1038"/>
      <c r="C15" s="972"/>
      <c r="D15" s="972"/>
      <c r="E15" s="972"/>
      <c r="F15" s="972"/>
      <c r="G15" s="972"/>
      <c r="H15" s="972"/>
      <c r="I15" s="972"/>
      <c r="J15" s="972"/>
      <c r="K15" s="972"/>
      <c r="L15" s="972"/>
      <c r="M15" s="1043"/>
      <c r="N15" s="612" t="s">
        <v>489</v>
      </c>
      <c r="O15" s="612" t="s">
        <v>530</v>
      </c>
      <c r="P15" s="1043"/>
      <c r="Q15" s="613" t="s">
        <v>490</v>
      </c>
      <c r="R15" s="613" t="s">
        <v>533</v>
      </c>
      <c r="S15" s="613" t="s">
        <v>491</v>
      </c>
      <c r="T15" s="613" t="s">
        <v>492</v>
      </c>
      <c r="U15" s="613" t="s">
        <v>522</v>
      </c>
      <c r="V15" s="613" t="s">
        <v>493</v>
      </c>
      <c r="W15" s="613" t="s">
        <v>2783</v>
      </c>
      <c r="X15" s="613" t="s">
        <v>2784</v>
      </c>
      <c r="Y15" s="613" t="s">
        <v>496</v>
      </c>
      <c r="Z15" s="613" t="s">
        <v>497</v>
      </c>
      <c r="AA15" s="613" t="s">
        <v>523</v>
      </c>
      <c r="AB15" s="613" t="s">
        <v>534</v>
      </c>
      <c r="AC15" s="613" t="s">
        <v>498</v>
      </c>
      <c r="AD15" s="613" t="s">
        <v>499</v>
      </c>
      <c r="AE15" s="613" t="s">
        <v>500</v>
      </c>
      <c r="AF15" s="613" t="s">
        <v>501</v>
      </c>
      <c r="AG15" s="1043"/>
      <c r="AH15" s="1043"/>
      <c r="AI15" s="1043"/>
      <c r="AJ15" s="1043"/>
      <c r="AK15" s="1043"/>
      <c r="AL15" s="1043"/>
      <c r="AM15" s="1043"/>
      <c r="AN15" s="611" t="s">
        <v>502</v>
      </c>
      <c r="AO15" s="611" t="s">
        <v>503</v>
      </c>
      <c r="AP15" s="611" t="s">
        <v>504</v>
      </c>
      <c r="AQ15" s="611" t="s">
        <v>505</v>
      </c>
      <c r="AR15" s="611" t="s">
        <v>504</v>
      </c>
      <c r="AS15" s="611" t="s">
        <v>506</v>
      </c>
      <c r="AT15" s="611" t="s">
        <v>506</v>
      </c>
      <c r="AU15" s="611" t="s">
        <v>505</v>
      </c>
      <c r="AV15" s="611" t="s">
        <v>507</v>
      </c>
      <c r="AW15" s="611" t="s">
        <v>508</v>
      </c>
      <c r="AX15" s="611" t="s">
        <v>509</v>
      </c>
      <c r="AY15" s="611" t="s">
        <v>510</v>
      </c>
      <c r="AZ15" s="1045"/>
      <c r="BA15" s="1047"/>
    </row>
    <row r="16" spans="1:53" ht="216.75" customHeight="1" thickBot="1" x14ac:dyDescent="0.3">
      <c r="A16" s="578" t="s">
        <v>438</v>
      </c>
      <c r="B16" s="579" t="s">
        <v>1325</v>
      </c>
      <c r="C16" s="1048" t="s">
        <v>2785</v>
      </c>
      <c r="D16" s="1048" t="s">
        <v>2786</v>
      </c>
      <c r="E16" s="1048" t="s">
        <v>2787</v>
      </c>
      <c r="F16" s="579" t="s">
        <v>2788</v>
      </c>
      <c r="G16" s="1051" t="s">
        <v>2789</v>
      </c>
      <c r="H16" s="578" t="s">
        <v>2790</v>
      </c>
      <c r="I16" s="578" t="s">
        <v>2791</v>
      </c>
      <c r="J16" s="580">
        <v>0</v>
      </c>
      <c r="K16" s="581" t="s">
        <v>526</v>
      </c>
      <c r="L16" s="580">
        <v>4</v>
      </c>
      <c r="M16" s="581">
        <v>1.5</v>
      </c>
      <c r="N16" s="578" t="s">
        <v>2792</v>
      </c>
      <c r="O16" s="582">
        <v>10000</v>
      </c>
      <c r="P16" s="582">
        <v>10000</v>
      </c>
      <c r="Q16" s="583">
        <v>10000</v>
      </c>
      <c r="R16" s="584"/>
      <c r="S16" s="584"/>
      <c r="T16" s="584"/>
      <c r="U16" s="584"/>
      <c r="V16" s="584"/>
      <c r="W16" s="584"/>
      <c r="X16" s="584"/>
      <c r="Y16" s="584"/>
      <c r="Z16" s="584"/>
      <c r="AA16" s="584"/>
      <c r="AB16" s="584"/>
      <c r="AC16" s="584"/>
      <c r="AD16" s="584"/>
      <c r="AE16" s="584"/>
      <c r="AF16" s="584"/>
      <c r="AG16" s="585" t="s">
        <v>2793</v>
      </c>
      <c r="AH16" s="584" t="s">
        <v>2794</v>
      </c>
      <c r="AI16" s="586" t="s">
        <v>2795</v>
      </c>
      <c r="AJ16" s="584" t="s">
        <v>856</v>
      </c>
      <c r="AK16" s="587" t="s">
        <v>2796</v>
      </c>
      <c r="AL16" s="588">
        <v>108500</v>
      </c>
      <c r="AM16" s="585" t="s">
        <v>2797</v>
      </c>
      <c r="AN16" s="583"/>
      <c r="AO16" s="583" t="s">
        <v>536</v>
      </c>
      <c r="AP16" s="583" t="s">
        <v>536</v>
      </c>
      <c r="AQ16" s="583" t="s">
        <v>536</v>
      </c>
      <c r="AR16" s="583" t="s">
        <v>536</v>
      </c>
      <c r="AS16" s="583" t="s">
        <v>536</v>
      </c>
      <c r="AT16" s="583" t="s">
        <v>536</v>
      </c>
      <c r="AU16" s="583" t="s">
        <v>536</v>
      </c>
      <c r="AV16" s="583" t="s">
        <v>536</v>
      </c>
      <c r="AW16" s="583" t="s">
        <v>536</v>
      </c>
      <c r="AX16" s="583" t="s">
        <v>536</v>
      </c>
      <c r="AY16" s="583" t="s">
        <v>536</v>
      </c>
      <c r="AZ16" s="585" t="s">
        <v>2798</v>
      </c>
      <c r="BA16" s="585" t="s">
        <v>2799</v>
      </c>
    </row>
    <row r="17" spans="1:53" ht="156.75" thickBot="1" x14ac:dyDescent="0.3">
      <c r="A17" s="578" t="s">
        <v>438</v>
      </c>
      <c r="B17" s="579" t="s">
        <v>1325</v>
      </c>
      <c r="C17" s="1049"/>
      <c r="D17" s="1049"/>
      <c r="E17" s="1049"/>
      <c r="F17" s="579" t="s">
        <v>2788</v>
      </c>
      <c r="G17" s="1051"/>
      <c r="H17" s="578" t="s">
        <v>2800</v>
      </c>
      <c r="I17" s="578" t="s">
        <v>2801</v>
      </c>
      <c r="J17" s="578">
        <v>0</v>
      </c>
      <c r="K17" s="587" t="s">
        <v>526</v>
      </c>
      <c r="L17" s="578">
        <v>1</v>
      </c>
      <c r="M17" s="589">
        <v>0.1</v>
      </c>
      <c r="N17" s="578" t="s">
        <v>2801</v>
      </c>
      <c r="O17" s="582">
        <v>10000</v>
      </c>
      <c r="P17" s="582">
        <v>10000</v>
      </c>
      <c r="Q17" s="583">
        <v>10000</v>
      </c>
      <c r="R17" s="584"/>
      <c r="S17" s="584"/>
      <c r="T17" s="584"/>
      <c r="U17" s="584"/>
      <c r="V17" s="584"/>
      <c r="W17" s="584"/>
      <c r="X17" s="584"/>
      <c r="Y17" s="584"/>
      <c r="Z17" s="584"/>
      <c r="AA17" s="584"/>
      <c r="AB17" s="584"/>
      <c r="AC17" s="584"/>
      <c r="AD17" s="584"/>
      <c r="AE17" s="584"/>
      <c r="AF17" s="584"/>
      <c r="AG17" s="585" t="s">
        <v>2793</v>
      </c>
      <c r="AH17" s="584" t="s">
        <v>2794</v>
      </c>
      <c r="AI17" s="584" t="s">
        <v>618</v>
      </c>
      <c r="AJ17" s="584" t="s">
        <v>856</v>
      </c>
      <c r="AK17" s="587" t="s">
        <v>2802</v>
      </c>
      <c r="AL17" s="588">
        <v>77960</v>
      </c>
      <c r="AM17" s="585" t="s">
        <v>2803</v>
      </c>
      <c r="AN17" s="583"/>
      <c r="AO17" s="583" t="s">
        <v>536</v>
      </c>
      <c r="AP17" s="583" t="s">
        <v>536</v>
      </c>
      <c r="AQ17" s="583" t="s">
        <v>536</v>
      </c>
      <c r="AR17" s="583" t="s">
        <v>536</v>
      </c>
      <c r="AS17" s="583" t="s">
        <v>536</v>
      </c>
      <c r="AT17" s="583" t="s">
        <v>536</v>
      </c>
      <c r="AU17" s="583" t="s">
        <v>536</v>
      </c>
      <c r="AV17" s="583" t="s">
        <v>536</v>
      </c>
      <c r="AW17" s="583" t="s">
        <v>536</v>
      </c>
      <c r="AX17" s="583" t="s">
        <v>536</v>
      </c>
      <c r="AY17" s="583" t="s">
        <v>536</v>
      </c>
      <c r="AZ17" s="585" t="s">
        <v>2798</v>
      </c>
      <c r="BA17" s="585" t="s">
        <v>2799</v>
      </c>
    </row>
    <row r="18" spans="1:53" ht="144.75" thickBot="1" x14ac:dyDescent="0.3">
      <c r="A18" s="578" t="s">
        <v>438</v>
      </c>
      <c r="B18" s="579" t="s">
        <v>1325</v>
      </c>
      <c r="C18" s="1049"/>
      <c r="D18" s="1049"/>
      <c r="E18" s="1049"/>
      <c r="F18" s="579" t="s">
        <v>2788</v>
      </c>
      <c r="G18" s="1051"/>
      <c r="H18" s="578" t="s">
        <v>2804</v>
      </c>
      <c r="I18" s="578" t="s">
        <v>2805</v>
      </c>
      <c r="J18" s="578" t="s">
        <v>2806</v>
      </c>
      <c r="K18" s="587" t="s">
        <v>526</v>
      </c>
      <c r="L18" s="590">
        <v>0.6</v>
      </c>
      <c r="M18" s="591">
        <v>0.06</v>
      </c>
      <c r="N18" s="578" t="s">
        <v>2805</v>
      </c>
      <c r="O18" s="582">
        <v>42000</v>
      </c>
      <c r="P18" s="582">
        <v>16950</v>
      </c>
      <c r="Q18" s="583">
        <v>16950</v>
      </c>
      <c r="R18" s="584"/>
      <c r="S18" s="584"/>
      <c r="T18" s="584"/>
      <c r="U18" s="584"/>
      <c r="V18" s="584"/>
      <c r="W18" s="584"/>
      <c r="X18" s="584"/>
      <c r="Y18" s="584"/>
      <c r="Z18" s="584"/>
      <c r="AA18" s="584"/>
      <c r="AB18" s="584"/>
      <c r="AC18" s="584"/>
      <c r="AD18" s="584"/>
      <c r="AE18" s="584"/>
      <c r="AF18" s="584"/>
      <c r="AG18" s="585" t="s">
        <v>2793</v>
      </c>
      <c r="AH18" s="584" t="s">
        <v>2794</v>
      </c>
      <c r="AI18" s="586" t="s">
        <v>2807</v>
      </c>
      <c r="AJ18" s="584" t="s">
        <v>856</v>
      </c>
      <c r="AK18" s="585" t="s">
        <v>2808</v>
      </c>
      <c r="AL18" s="588">
        <v>42000</v>
      </c>
      <c r="AM18" s="585" t="s">
        <v>2809</v>
      </c>
      <c r="AN18" s="583"/>
      <c r="AO18" s="583" t="s">
        <v>536</v>
      </c>
      <c r="AP18" s="583"/>
      <c r="AQ18" s="583"/>
      <c r="AR18" s="583"/>
      <c r="AS18" s="583"/>
      <c r="AT18" s="583"/>
      <c r="AU18" s="583"/>
      <c r="AV18" s="583"/>
      <c r="AW18" s="583"/>
      <c r="AX18" s="583"/>
      <c r="AY18" s="583"/>
      <c r="AZ18" s="585" t="s">
        <v>2798</v>
      </c>
      <c r="BA18" s="585" t="s">
        <v>2799</v>
      </c>
    </row>
    <row r="19" spans="1:53" ht="163.5" customHeight="1" thickBot="1" x14ac:dyDescent="0.3">
      <c r="A19" s="578" t="s">
        <v>438</v>
      </c>
      <c r="B19" s="579" t="s">
        <v>1325</v>
      </c>
      <c r="C19" s="1049"/>
      <c r="D19" s="1049"/>
      <c r="E19" s="1049"/>
      <c r="F19" s="579" t="s">
        <v>2788</v>
      </c>
      <c r="G19" s="1051"/>
      <c r="H19" s="578" t="s">
        <v>2810</v>
      </c>
      <c r="I19" s="578" t="s">
        <v>2811</v>
      </c>
      <c r="J19" s="578">
        <v>0</v>
      </c>
      <c r="K19" s="587" t="s">
        <v>526</v>
      </c>
      <c r="L19" s="578">
        <v>1</v>
      </c>
      <c r="M19" s="587" t="s">
        <v>2812</v>
      </c>
      <c r="N19" s="578" t="s">
        <v>2811</v>
      </c>
      <c r="O19" s="582">
        <v>10400</v>
      </c>
      <c r="P19" s="582">
        <v>10400</v>
      </c>
      <c r="Q19" s="583">
        <v>10400</v>
      </c>
      <c r="R19" s="584"/>
      <c r="S19" s="584"/>
      <c r="T19" s="584"/>
      <c r="U19" s="584"/>
      <c r="V19" s="584"/>
      <c r="W19" s="584"/>
      <c r="X19" s="584"/>
      <c r="Y19" s="584"/>
      <c r="Z19" s="584"/>
      <c r="AA19" s="584"/>
      <c r="AB19" s="584"/>
      <c r="AC19" s="584"/>
      <c r="AD19" s="584"/>
      <c r="AE19" s="584"/>
      <c r="AF19" s="584"/>
      <c r="AG19" s="585" t="s">
        <v>2793</v>
      </c>
      <c r="AH19" s="584" t="s">
        <v>2794</v>
      </c>
      <c r="AI19" s="584" t="s">
        <v>1694</v>
      </c>
      <c r="AJ19" s="584" t="s">
        <v>2813</v>
      </c>
      <c r="AK19" s="587" t="s">
        <v>2814</v>
      </c>
      <c r="AL19" s="588">
        <v>20000</v>
      </c>
      <c r="AM19" s="585" t="s">
        <v>2815</v>
      </c>
      <c r="AN19" s="583"/>
      <c r="AO19" s="583" t="s">
        <v>536</v>
      </c>
      <c r="AP19" s="583" t="s">
        <v>536</v>
      </c>
      <c r="AQ19" s="583" t="s">
        <v>536</v>
      </c>
      <c r="AR19" s="583" t="s">
        <v>536</v>
      </c>
      <c r="AS19" s="583" t="s">
        <v>536</v>
      </c>
      <c r="AT19" s="583" t="s">
        <v>536</v>
      </c>
      <c r="AU19" s="583" t="s">
        <v>536</v>
      </c>
      <c r="AV19" s="583" t="s">
        <v>536</v>
      </c>
      <c r="AW19" s="583" t="s">
        <v>536</v>
      </c>
      <c r="AX19" s="583" t="s">
        <v>536</v>
      </c>
      <c r="AY19" s="583" t="s">
        <v>536</v>
      </c>
      <c r="AZ19" s="585" t="s">
        <v>2798</v>
      </c>
      <c r="BA19" s="585" t="s">
        <v>2799</v>
      </c>
    </row>
    <row r="20" spans="1:53" ht="144.75" thickBot="1" x14ac:dyDescent="0.3">
      <c r="A20" s="578" t="s">
        <v>438</v>
      </c>
      <c r="B20" s="579" t="s">
        <v>1325</v>
      </c>
      <c r="C20" s="1049"/>
      <c r="D20" s="1049"/>
      <c r="E20" s="1049"/>
      <c r="F20" s="579" t="s">
        <v>2816</v>
      </c>
      <c r="G20" s="1048" t="s">
        <v>2817</v>
      </c>
      <c r="H20" s="579" t="s">
        <v>2818</v>
      </c>
      <c r="I20" s="579" t="s">
        <v>2819</v>
      </c>
      <c r="J20" s="579">
        <v>2</v>
      </c>
      <c r="K20" s="587" t="s">
        <v>526</v>
      </c>
      <c r="L20" s="579">
        <v>42</v>
      </c>
      <c r="M20" s="578">
        <v>10</v>
      </c>
      <c r="N20" s="579" t="s">
        <v>2819</v>
      </c>
      <c r="O20" s="582">
        <v>42000</v>
      </c>
      <c r="P20" s="582">
        <v>42000</v>
      </c>
      <c r="Q20" s="583">
        <v>42000</v>
      </c>
      <c r="R20" s="584"/>
      <c r="S20" s="584"/>
      <c r="T20" s="584"/>
      <c r="U20" s="584"/>
      <c r="V20" s="584"/>
      <c r="W20" s="584"/>
      <c r="X20" s="584"/>
      <c r="Y20" s="584"/>
      <c r="Z20" s="584"/>
      <c r="AA20" s="584"/>
      <c r="AB20" s="584"/>
      <c r="AC20" s="584"/>
      <c r="AD20" s="584"/>
      <c r="AE20" s="584"/>
      <c r="AF20" s="584"/>
      <c r="AG20" s="585" t="s">
        <v>2793</v>
      </c>
      <c r="AH20" s="584" t="s">
        <v>2794</v>
      </c>
      <c r="AI20" s="256" t="s">
        <v>2820</v>
      </c>
      <c r="AJ20" s="585" t="s">
        <v>2821</v>
      </c>
      <c r="AK20" s="585" t="s">
        <v>2822</v>
      </c>
      <c r="AL20" s="588">
        <v>61030</v>
      </c>
      <c r="AM20" s="585" t="s">
        <v>2823</v>
      </c>
      <c r="AN20" s="583"/>
      <c r="AO20" s="583" t="s">
        <v>536</v>
      </c>
      <c r="AP20" s="583" t="s">
        <v>536</v>
      </c>
      <c r="AQ20" s="583" t="s">
        <v>536</v>
      </c>
      <c r="AR20" s="583" t="s">
        <v>536</v>
      </c>
      <c r="AS20" s="583" t="s">
        <v>536</v>
      </c>
      <c r="AT20" s="583" t="s">
        <v>536</v>
      </c>
      <c r="AU20" s="583" t="s">
        <v>536</v>
      </c>
      <c r="AV20" s="583" t="s">
        <v>536</v>
      </c>
      <c r="AW20" s="583" t="s">
        <v>536</v>
      </c>
      <c r="AX20" s="583" t="s">
        <v>536</v>
      </c>
      <c r="AY20" s="583" t="s">
        <v>536</v>
      </c>
      <c r="AZ20" s="585" t="s">
        <v>2824</v>
      </c>
      <c r="BA20" s="585" t="s">
        <v>2799</v>
      </c>
    </row>
    <row r="21" spans="1:53" ht="150.75" thickBot="1" x14ac:dyDescent="0.3">
      <c r="A21" s="578" t="s">
        <v>438</v>
      </c>
      <c r="B21" s="579" t="s">
        <v>1325</v>
      </c>
      <c r="C21" s="1049"/>
      <c r="D21" s="1049"/>
      <c r="E21" s="1049"/>
      <c r="F21" s="579" t="s">
        <v>2816</v>
      </c>
      <c r="G21" s="1049"/>
      <c r="H21" s="578" t="s">
        <v>2825</v>
      </c>
      <c r="I21" s="578" t="s">
        <v>2826</v>
      </c>
      <c r="J21" s="580">
        <v>0</v>
      </c>
      <c r="K21" s="581" t="s">
        <v>526</v>
      </c>
      <c r="L21" s="592">
        <v>0.1</v>
      </c>
      <c r="M21" s="593">
        <v>2.3E-2</v>
      </c>
      <c r="N21" s="578" t="s">
        <v>2826</v>
      </c>
      <c r="O21" s="582">
        <v>40000</v>
      </c>
      <c r="P21" s="582">
        <v>40000</v>
      </c>
      <c r="Q21" s="583">
        <v>40000</v>
      </c>
      <c r="R21" s="584"/>
      <c r="S21" s="584"/>
      <c r="T21" s="584"/>
      <c r="U21" s="584"/>
      <c r="V21" s="584"/>
      <c r="W21" s="584"/>
      <c r="X21" s="584"/>
      <c r="Y21" s="584"/>
      <c r="Z21" s="584"/>
      <c r="AA21" s="584"/>
      <c r="AB21" s="584"/>
      <c r="AC21" s="584"/>
      <c r="AD21" s="584"/>
      <c r="AE21" s="584"/>
      <c r="AF21" s="584"/>
      <c r="AG21" s="585" t="s">
        <v>2793</v>
      </c>
      <c r="AH21" s="584" t="s">
        <v>2794</v>
      </c>
      <c r="AI21" s="256" t="s">
        <v>2827</v>
      </c>
      <c r="AJ21" s="585" t="s">
        <v>2828</v>
      </c>
      <c r="AK21" s="585" t="s">
        <v>2822</v>
      </c>
      <c r="AL21" s="588">
        <v>141745</v>
      </c>
      <c r="AM21" s="585" t="s">
        <v>2829</v>
      </c>
      <c r="AN21" s="583"/>
      <c r="AO21" s="583" t="s">
        <v>536</v>
      </c>
      <c r="AP21" s="583" t="s">
        <v>536</v>
      </c>
      <c r="AQ21" s="583" t="s">
        <v>536</v>
      </c>
      <c r="AR21" s="583" t="s">
        <v>536</v>
      </c>
      <c r="AS21" s="583" t="s">
        <v>536</v>
      </c>
      <c r="AT21" s="583" t="s">
        <v>536</v>
      </c>
      <c r="AU21" s="583" t="s">
        <v>536</v>
      </c>
      <c r="AV21" s="583" t="s">
        <v>536</v>
      </c>
      <c r="AW21" s="583" t="s">
        <v>536</v>
      </c>
      <c r="AX21" s="583" t="s">
        <v>536</v>
      </c>
      <c r="AY21" s="583" t="s">
        <v>536</v>
      </c>
      <c r="AZ21" s="585" t="s">
        <v>2824</v>
      </c>
      <c r="BA21" s="585" t="s">
        <v>2799</v>
      </c>
    </row>
    <row r="22" spans="1:53" ht="132.75" thickBot="1" x14ac:dyDescent="0.3">
      <c r="A22" s="578" t="s">
        <v>438</v>
      </c>
      <c r="B22" s="579" t="s">
        <v>1325</v>
      </c>
      <c r="C22" s="1049"/>
      <c r="D22" s="1049"/>
      <c r="E22" s="1049"/>
      <c r="F22" s="579" t="s">
        <v>2816</v>
      </c>
      <c r="G22" s="1049"/>
      <c r="H22" s="578" t="s">
        <v>2830</v>
      </c>
      <c r="I22" s="578" t="s">
        <v>2831</v>
      </c>
      <c r="J22" s="580">
        <v>0</v>
      </c>
      <c r="K22" s="581" t="s">
        <v>526</v>
      </c>
      <c r="L22" s="592">
        <v>0.1</v>
      </c>
      <c r="M22" s="592">
        <v>0.05</v>
      </c>
      <c r="N22" s="578" t="s">
        <v>2831</v>
      </c>
      <c r="O22" s="582">
        <v>100000</v>
      </c>
      <c r="P22" s="582">
        <v>100000</v>
      </c>
      <c r="Q22" s="583"/>
      <c r="R22" s="584"/>
      <c r="S22" s="584"/>
      <c r="T22" s="584"/>
      <c r="U22" s="584"/>
      <c r="V22" s="584"/>
      <c r="W22" s="584"/>
      <c r="X22" s="584"/>
      <c r="Y22" s="584"/>
      <c r="Z22" s="584">
        <v>100000</v>
      </c>
      <c r="AA22" s="584"/>
      <c r="AB22" s="584"/>
      <c r="AC22" s="584"/>
      <c r="AD22" s="584"/>
      <c r="AE22" s="584"/>
      <c r="AF22" s="584"/>
      <c r="AG22" s="585" t="s">
        <v>2793</v>
      </c>
      <c r="AH22" s="584" t="s">
        <v>2794</v>
      </c>
      <c r="AI22" s="256" t="s">
        <v>2832</v>
      </c>
      <c r="AJ22" s="585" t="s">
        <v>2833</v>
      </c>
      <c r="AK22" s="585" t="s">
        <v>2822</v>
      </c>
      <c r="AL22" s="588">
        <v>0</v>
      </c>
      <c r="AM22" s="585" t="s">
        <v>2834</v>
      </c>
      <c r="AN22" s="583"/>
      <c r="AO22" s="583" t="s">
        <v>536</v>
      </c>
      <c r="AP22" s="583" t="s">
        <v>536</v>
      </c>
      <c r="AQ22" s="583" t="s">
        <v>536</v>
      </c>
      <c r="AR22" s="583" t="s">
        <v>536</v>
      </c>
      <c r="AS22" s="583" t="s">
        <v>536</v>
      </c>
      <c r="AT22" s="583" t="s">
        <v>536</v>
      </c>
      <c r="AU22" s="583" t="s">
        <v>536</v>
      </c>
      <c r="AV22" s="583" t="s">
        <v>536</v>
      </c>
      <c r="AW22" s="583" t="s">
        <v>536</v>
      </c>
      <c r="AX22" s="583" t="s">
        <v>536</v>
      </c>
      <c r="AY22" s="583" t="s">
        <v>536</v>
      </c>
      <c r="AZ22" s="585" t="s">
        <v>2824</v>
      </c>
      <c r="BA22" s="585" t="s">
        <v>2799</v>
      </c>
    </row>
    <row r="23" spans="1:53" ht="135.75" thickBot="1" x14ac:dyDescent="0.3">
      <c r="A23" s="578" t="s">
        <v>438</v>
      </c>
      <c r="B23" s="579" t="s">
        <v>1325</v>
      </c>
      <c r="C23" s="1049"/>
      <c r="D23" s="1049"/>
      <c r="E23" s="1049"/>
      <c r="F23" s="579" t="s">
        <v>2816</v>
      </c>
      <c r="G23" s="1049"/>
      <c r="H23" s="578" t="s">
        <v>2835</v>
      </c>
      <c r="I23" s="578" t="s">
        <v>2836</v>
      </c>
      <c r="J23" s="578" t="s">
        <v>2837</v>
      </c>
      <c r="K23" s="587" t="s">
        <v>526</v>
      </c>
      <c r="L23" s="578">
        <v>200</v>
      </c>
      <c r="M23" s="587">
        <v>92</v>
      </c>
      <c r="N23" s="578" t="s">
        <v>2836</v>
      </c>
      <c r="O23" s="582">
        <v>90400</v>
      </c>
      <c r="P23" s="582">
        <v>90400</v>
      </c>
      <c r="Q23" s="583">
        <v>10400</v>
      </c>
      <c r="R23" s="584"/>
      <c r="S23" s="584"/>
      <c r="T23" s="584"/>
      <c r="U23" s="584"/>
      <c r="V23" s="584"/>
      <c r="W23" s="584"/>
      <c r="X23" s="584"/>
      <c r="Y23" s="584"/>
      <c r="Z23" s="584">
        <v>80000</v>
      </c>
      <c r="AA23" s="584"/>
      <c r="AB23" s="584"/>
      <c r="AC23" s="584"/>
      <c r="AD23" s="584"/>
      <c r="AE23" s="584"/>
      <c r="AF23" s="584"/>
      <c r="AG23" s="585" t="s">
        <v>2793</v>
      </c>
      <c r="AH23" s="584" t="s">
        <v>2794</v>
      </c>
      <c r="AI23" s="256" t="s">
        <v>2838</v>
      </c>
      <c r="AJ23" s="584"/>
      <c r="AK23" s="585" t="s">
        <v>2822</v>
      </c>
      <c r="AL23" s="588">
        <v>52271000</v>
      </c>
      <c r="AM23" s="585" t="s">
        <v>2839</v>
      </c>
      <c r="AN23" s="583"/>
      <c r="AO23" s="583" t="s">
        <v>536</v>
      </c>
      <c r="AP23" s="583" t="s">
        <v>536</v>
      </c>
      <c r="AQ23" s="583" t="s">
        <v>536</v>
      </c>
      <c r="AR23" s="583" t="s">
        <v>536</v>
      </c>
      <c r="AS23" s="583" t="s">
        <v>536</v>
      </c>
      <c r="AT23" s="583" t="s">
        <v>536</v>
      </c>
      <c r="AU23" s="583" t="s">
        <v>536</v>
      </c>
      <c r="AV23" s="583" t="s">
        <v>536</v>
      </c>
      <c r="AW23" s="583" t="s">
        <v>536</v>
      </c>
      <c r="AX23" s="583" t="s">
        <v>536</v>
      </c>
      <c r="AY23" s="583" t="s">
        <v>536</v>
      </c>
      <c r="AZ23" s="585" t="s">
        <v>2824</v>
      </c>
      <c r="BA23" s="585" t="s">
        <v>2799</v>
      </c>
    </row>
    <row r="24" spans="1:53" ht="96.75" customHeight="1" thickBot="1" x14ac:dyDescent="0.3">
      <c r="A24" s="578" t="s">
        <v>438</v>
      </c>
      <c r="B24" s="579" t="s">
        <v>1325</v>
      </c>
      <c r="C24" s="1049"/>
      <c r="D24" s="1049"/>
      <c r="E24" s="1049"/>
      <c r="F24" s="579" t="s">
        <v>2816</v>
      </c>
      <c r="G24" s="1049"/>
      <c r="H24" s="579" t="s">
        <v>2840</v>
      </c>
      <c r="I24" s="579" t="s">
        <v>2841</v>
      </c>
      <c r="J24" s="579" t="s">
        <v>2842</v>
      </c>
      <c r="K24" s="587" t="s">
        <v>526</v>
      </c>
      <c r="L24" s="579">
        <v>39</v>
      </c>
      <c r="M24" s="578">
        <v>14</v>
      </c>
      <c r="N24" s="579" t="s">
        <v>2841</v>
      </c>
      <c r="O24" s="582">
        <v>90200</v>
      </c>
      <c r="P24" s="582">
        <v>90200</v>
      </c>
      <c r="Q24" s="583">
        <v>10200</v>
      </c>
      <c r="R24" s="584"/>
      <c r="S24" s="584"/>
      <c r="T24" s="584"/>
      <c r="U24" s="584"/>
      <c r="V24" s="584"/>
      <c r="W24" s="584"/>
      <c r="X24" s="584"/>
      <c r="Y24" s="584"/>
      <c r="Z24" s="584">
        <v>80000</v>
      </c>
      <c r="AA24" s="584"/>
      <c r="AB24" s="584"/>
      <c r="AC24" s="584"/>
      <c r="AD24" s="584"/>
      <c r="AE24" s="584"/>
      <c r="AF24" s="584"/>
      <c r="AG24" s="585" t="s">
        <v>2793</v>
      </c>
      <c r="AH24" s="584" t="s">
        <v>2794</v>
      </c>
      <c r="AI24" s="632" t="s">
        <v>2843</v>
      </c>
      <c r="AJ24" s="585" t="s">
        <v>2844</v>
      </c>
      <c r="AK24" s="585" t="s">
        <v>2822</v>
      </c>
      <c r="AL24" s="588">
        <v>60869000</v>
      </c>
      <c r="AM24" s="585" t="s">
        <v>2845</v>
      </c>
      <c r="AN24" s="583"/>
      <c r="AO24" s="583" t="s">
        <v>536</v>
      </c>
      <c r="AP24" s="583" t="s">
        <v>536</v>
      </c>
      <c r="AQ24" s="583" t="s">
        <v>536</v>
      </c>
      <c r="AR24" s="583" t="s">
        <v>536</v>
      </c>
      <c r="AS24" s="583" t="s">
        <v>536</v>
      </c>
      <c r="AT24" s="583" t="s">
        <v>536</v>
      </c>
      <c r="AU24" s="583" t="s">
        <v>536</v>
      </c>
      <c r="AV24" s="583" t="s">
        <v>536</v>
      </c>
      <c r="AW24" s="583" t="s">
        <v>536</v>
      </c>
      <c r="AX24" s="583" t="s">
        <v>536</v>
      </c>
      <c r="AY24" s="583" t="s">
        <v>536</v>
      </c>
      <c r="AZ24" s="585" t="s">
        <v>2824</v>
      </c>
      <c r="BA24" s="585" t="s">
        <v>2799</v>
      </c>
    </row>
    <row r="25" spans="1:53" ht="152.25" customHeight="1" thickBot="1" x14ac:dyDescent="0.3">
      <c r="A25" s="578" t="s">
        <v>438</v>
      </c>
      <c r="B25" s="579" t="s">
        <v>1325</v>
      </c>
      <c r="C25" s="1049"/>
      <c r="D25" s="1049"/>
      <c r="E25" s="1049"/>
      <c r="F25" s="579" t="s">
        <v>2816</v>
      </c>
      <c r="G25" s="1049"/>
      <c r="H25" s="578" t="s">
        <v>2846</v>
      </c>
      <c r="I25" s="578" t="s">
        <v>2847</v>
      </c>
      <c r="J25" s="578">
        <v>0</v>
      </c>
      <c r="K25" s="587" t="s">
        <v>526</v>
      </c>
      <c r="L25" s="578">
        <v>42</v>
      </c>
      <c r="M25" s="578">
        <v>18</v>
      </c>
      <c r="N25" s="578" t="s">
        <v>2847</v>
      </c>
      <c r="O25" s="582">
        <v>162500</v>
      </c>
      <c r="P25" s="582">
        <v>162500</v>
      </c>
      <c r="Q25" s="583">
        <v>37500</v>
      </c>
      <c r="R25" s="584"/>
      <c r="S25" s="584"/>
      <c r="T25" s="584"/>
      <c r="U25" s="584"/>
      <c r="V25" s="584"/>
      <c r="W25" s="584"/>
      <c r="X25" s="584"/>
      <c r="Y25" s="584"/>
      <c r="Z25" s="584"/>
      <c r="AA25" s="584"/>
      <c r="AB25" s="584"/>
      <c r="AC25" s="584"/>
      <c r="AD25" s="584">
        <v>125000</v>
      </c>
      <c r="AE25" s="584"/>
      <c r="AF25" s="584"/>
      <c r="AG25" s="585" t="s">
        <v>2793</v>
      </c>
      <c r="AH25" s="584" t="s">
        <v>2794</v>
      </c>
      <c r="AI25" s="256" t="s">
        <v>2848</v>
      </c>
      <c r="AJ25" s="585" t="s">
        <v>2844</v>
      </c>
      <c r="AK25" s="585" t="s">
        <v>2822</v>
      </c>
      <c r="AL25" s="588">
        <v>175328000</v>
      </c>
      <c r="AM25" s="585" t="s">
        <v>2849</v>
      </c>
      <c r="AN25" s="583"/>
      <c r="AO25" s="583" t="s">
        <v>536</v>
      </c>
      <c r="AP25" s="583" t="s">
        <v>536</v>
      </c>
      <c r="AQ25" s="583" t="s">
        <v>536</v>
      </c>
      <c r="AR25" s="583" t="s">
        <v>536</v>
      </c>
      <c r="AS25" s="583" t="s">
        <v>536</v>
      </c>
      <c r="AT25" s="583" t="s">
        <v>536</v>
      </c>
      <c r="AU25" s="583" t="s">
        <v>536</v>
      </c>
      <c r="AV25" s="583" t="s">
        <v>536</v>
      </c>
      <c r="AW25" s="583" t="s">
        <v>536</v>
      </c>
      <c r="AX25" s="583" t="s">
        <v>536</v>
      </c>
      <c r="AY25" s="583" t="s">
        <v>536</v>
      </c>
      <c r="AZ25" s="585" t="s">
        <v>2824</v>
      </c>
      <c r="BA25" s="585" t="s">
        <v>2799</v>
      </c>
    </row>
    <row r="26" spans="1:53" ht="81.75" customHeight="1" thickBot="1" x14ac:dyDescent="0.3">
      <c r="A26" s="578" t="s">
        <v>438</v>
      </c>
      <c r="B26" s="579" t="s">
        <v>1325</v>
      </c>
      <c r="C26" s="1050"/>
      <c r="D26" s="1050"/>
      <c r="E26" s="1050"/>
      <c r="F26" s="579" t="s">
        <v>2816</v>
      </c>
      <c r="G26" s="1050"/>
      <c r="H26" s="578" t="s">
        <v>2850</v>
      </c>
      <c r="I26" s="578" t="s">
        <v>2851</v>
      </c>
      <c r="J26" s="578">
        <v>3</v>
      </c>
      <c r="K26" s="587" t="s">
        <v>526</v>
      </c>
      <c r="L26" s="578">
        <v>8</v>
      </c>
      <c r="M26" s="578">
        <v>3</v>
      </c>
      <c r="N26" s="578" t="s">
        <v>2851</v>
      </c>
      <c r="O26" s="582">
        <v>92500</v>
      </c>
      <c r="P26" s="582">
        <v>92500</v>
      </c>
      <c r="Q26" s="583">
        <v>37500</v>
      </c>
      <c r="R26" s="584"/>
      <c r="S26" s="584"/>
      <c r="T26" s="584"/>
      <c r="U26" s="584"/>
      <c r="V26" s="584"/>
      <c r="W26" s="584"/>
      <c r="X26" s="584"/>
      <c r="Y26" s="584"/>
      <c r="Z26" s="584"/>
      <c r="AA26" s="584"/>
      <c r="AB26" s="584"/>
      <c r="AC26" s="584"/>
      <c r="AD26" s="584">
        <v>55000</v>
      </c>
      <c r="AE26" s="584"/>
      <c r="AF26" s="584"/>
      <c r="AG26" s="585" t="s">
        <v>2793</v>
      </c>
      <c r="AH26" s="584" t="s">
        <v>2794</v>
      </c>
      <c r="AI26" s="256" t="s">
        <v>2852</v>
      </c>
      <c r="AJ26" s="585" t="s">
        <v>2853</v>
      </c>
      <c r="AK26" s="585" t="s">
        <v>2822</v>
      </c>
      <c r="AL26" s="588">
        <v>41033000</v>
      </c>
      <c r="AM26" s="585" t="s">
        <v>2854</v>
      </c>
      <c r="AN26" s="583"/>
      <c r="AO26" s="583" t="s">
        <v>536</v>
      </c>
      <c r="AP26" s="583" t="s">
        <v>536</v>
      </c>
      <c r="AQ26" s="583" t="s">
        <v>536</v>
      </c>
      <c r="AR26" s="583" t="s">
        <v>536</v>
      </c>
      <c r="AS26" s="583" t="s">
        <v>536</v>
      </c>
      <c r="AT26" s="583" t="s">
        <v>536</v>
      </c>
      <c r="AU26" s="583" t="s">
        <v>536</v>
      </c>
      <c r="AV26" s="583" t="s">
        <v>536</v>
      </c>
      <c r="AW26" s="583" t="s">
        <v>536</v>
      </c>
      <c r="AX26" s="583" t="s">
        <v>536</v>
      </c>
      <c r="AY26" s="583" t="s">
        <v>536</v>
      </c>
      <c r="AZ26" s="585" t="s">
        <v>2824</v>
      </c>
      <c r="BA26" s="585" t="s">
        <v>2799</v>
      </c>
    </row>
    <row r="27" spans="1:53" ht="120" customHeight="1" thickBot="1" x14ac:dyDescent="0.3">
      <c r="A27" s="578" t="s">
        <v>438</v>
      </c>
      <c r="B27" s="579" t="s">
        <v>1325</v>
      </c>
      <c r="C27" s="1048" t="s">
        <v>2855</v>
      </c>
      <c r="D27" s="1048" t="s">
        <v>2856</v>
      </c>
      <c r="E27" s="1048">
        <v>11016</v>
      </c>
      <c r="F27" s="579" t="s">
        <v>2857</v>
      </c>
      <c r="G27" s="1048" t="s">
        <v>2858</v>
      </c>
      <c r="H27" s="578" t="s">
        <v>2859</v>
      </c>
      <c r="I27" s="578" t="s">
        <v>2860</v>
      </c>
      <c r="J27" s="578">
        <v>0</v>
      </c>
      <c r="K27" s="594" t="s">
        <v>526</v>
      </c>
      <c r="L27" s="578">
        <v>1</v>
      </c>
      <c r="M27" s="595">
        <v>0.15</v>
      </c>
      <c r="N27" s="578" t="s">
        <v>2860</v>
      </c>
      <c r="O27" s="582">
        <v>20080</v>
      </c>
      <c r="P27" s="582">
        <v>20080</v>
      </c>
      <c r="Q27" s="583">
        <v>13080</v>
      </c>
      <c r="R27" s="584"/>
      <c r="S27" s="584"/>
      <c r="T27" s="584"/>
      <c r="U27" s="584"/>
      <c r="V27" s="584"/>
      <c r="W27" s="584"/>
      <c r="X27" s="584"/>
      <c r="Y27" s="584"/>
      <c r="Z27" s="584"/>
      <c r="AA27" s="584"/>
      <c r="AB27" s="584"/>
      <c r="AC27" s="584"/>
      <c r="AD27" s="584">
        <v>7000</v>
      </c>
      <c r="AE27" s="584"/>
      <c r="AF27" s="584"/>
      <c r="AG27" s="585" t="s">
        <v>2861</v>
      </c>
      <c r="AH27" s="584"/>
      <c r="AI27" s="584">
        <v>42</v>
      </c>
      <c r="AJ27" s="584" t="s">
        <v>2862</v>
      </c>
      <c r="AK27" s="584" t="s">
        <v>2863</v>
      </c>
      <c r="AL27" s="588">
        <v>20080</v>
      </c>
      <c r="AM27" s="578" t="s">
        <v>2864</v>
      </c>
      <c r="AN27" s="583"/>
      <c r="AO27" s="583"/>
      <c r="AP27" s="583"/>
      <c r="AQ27" s="583"/>
      <c r="AR27" s="583"/>
      <c r="AS27" s="583"/>
      <c r="AT27" s="583"/>
      <c r="AU27" s="583"/>
      <c r="AV27" s="583"/>
      <c r="AW27" s="583"/>
      <c r="AX27" s="583"/>
      <c r="AY27" s="583"/>
      <c r="AZ27" s="585" t="s">
        <v>2865</v>
      </c>
      <c r="BA27" s="585" t="s">
        <v>2799</v>
      </c>
    </row>
    <row r="28" spans="1:53" ht="102" customHeight="1" thickBot="1" x14ac:dyDescent="0.3">
      <c r="A28" s="578" t="s">
        <v>438</v>
      </c>
      <c r="B28" s="579" t="s">
        <v>1325</v>
      </c>
      <c r="C28" s="1049"/>
      <c r="D28" s="1049"/>
      <c r="E28" s="1049"/>
      <c r="F28" s="579" t="s">
        <v>2857</v>
      </c>
      <c r="G28" s="1049"/>
      <c r="H28" s="596" t="s">
        <v>2866</v>
      </c>
      <c r="I28" s="578" t="s">
        <v>2867</v>
      </c>
      <c r="J28" s="578">
        <v>0</v>
      </c>
      <c r="K28" s="594" t="s">
        <v>526</v>
      </c>
      <c r="L28" s="578">
        <v>126</v>
      </c>
      <c r="M28" s="597">
        <f>25+34</f>
        <v>59</v>
      </c>
      <c r="N28" s="578" t="s">
        <v>2867</v>
      </c>
      <c r="O28" s="582">
        <v>20080</v>
      </c>
      <c r="P28" s="582">
        <v>20080</v>
      </c>
      <c r="Q28" s="583">
        <v>13080</v>
      </c>
      <c r="R28" s="584"/>
      <c r="S28" s="584"/>
      <c r="T28" s="584"/>
      <c r="U28" s="584"/>
      <c r="V28" s="584"/>
      <c r="W28" s="584"/>
      <c r="X28" s="584"/>
      <c r="Y28" s="584"/>
      <c r="Z28" s="584"/>
      <c r="AA28" s="584"/>
      <c r="AB28" s="584"/>
      <c r="AC28" s="584"/>
      <c r="AD28" s="584">
        <v>7000</v>
      </c>
      <c r="AE28" s="584"/>
      <c r="AF28" s="584"/>
      <c r="AG28" s="585" t="s">
        <v>2861</v>
      </c>
      <c r="AH28" s="584"/>
      <c r="AI28" s="584">
        <v>42</v>
      </c>
      <c r="AJ28" s="584" t="s">
        <v>2862</v>
      </c>
      <c r="AK28" s="584" t="s">
        <v>2863</v>
      </c>
      <c r="AL28" s="588">
        <v>20080</v>
      </c>
      <c r="AM28" s="578" t="s">
        <v>2868</v>
      </c>
      <c r="AN28" s="583" t="s">
        <v>536</v>
      </c>
      <c r="AO28" s="583" t="s">
        <v>536</v>
      </c>
      <c r="AP28" s="583" t="s">
        <v>536</v>
      </c>
      <c r="AQ28" s="583" t="s">
        <v>536</v>
      </c>
      <c r="AR28" s="583" t="s">
        <v>536</v>
      </c>
      <c r="AS28" s="583" t="s">
        <v>536</v>
      </c>
      <c r="AT28" s="583" t="s">
        <v>536</v>
      </c>
      <c r="AU28" s="583" t="s">
        <v>536</v>
      </c>
      <c r="AV28" s="583" t="s">
        <v>536</v>
      </c>
      <c r="AW28" s="583" t="s">
        <v>536</v>
      </c>
      <c r="AX28" s="583" t="s">
        <v>536</v>
      </c>
      <c r="AY28" s="583" t="s">
        <v>536</v>
      </c>
      <c r="AZ28" s="585" t="s">
        <v>2865</v>
      </c>
      <c r="BA28" s="585" t="s">
        <v>2799</v>
      </c>
    </row>
    <row r="29" spans="1:53" ht="89.25" customHeight="1" thickBot="1" x14ac:dyDescent="0.3">
      <c r="A29" s="578" t="s">
        <v>438</v>
      </c>
      <c r="B29" s="579" t="s">
        <v>1325</v>
      </c>
      <c r="C29" s="1049"/>
      <c r="D29" s="1049"/>
      <c r="E29" s="1049"/>
      <c r="F29" s="579" t="s">
        <v>2857</v>
      </c>
      <c r="G29" s="1049"/>
      <c r="H29" s="578" t="s">
        <v>2869</v>
      </c>
      <c r="I29" s="578" t="s">
        <v>2870</v>
      </c>
      <c r="J29" s="580">
        <v>0</v>
      </c>
      <c r="K29" s="594" t="s">
        <v>527</v>
      </c>
      <c r="L29" s="592">
        <v>1</v>
      </c>
      <c r="M29" s="598">
        <v>1</v>
      </c>
      <c r="N29" s="578" t="s">
        <v>2870</v>
      </c>
      <c r="O29" s="582">
        <v>112300</v>
      </c>
      <c r="P29" s="582">
        <v>112300</v>
      </c>
      <c r="Q29" s="583">
        <v>56300</v>
      </c>
      <c r="R29" s="584"/>
      <c r="S29" s="584"/>
      <c r="T29" s="584"/>
      <c r="U29" s="584"/>
      <c r="V29" s="584"/>
      <c r="W29" s="584"/>
      <c r="X29" s="584"/>
      <c r="Y29" s="584"/>
      <c r="Z29" s="584"/>
      <c r="AA29" s="584"/>
      <c r="AB29" s="584"/>
      <c r="AC29" s="584"/>
      <c r="AD29" s="584">
        <v>56000</v>
      </c>
      <c r="AE29" s="584"/>
      <c r="AF29" s="584"/>
      <c r="AG29" s="585" t="s">
        <v>2861</v>
      </c>
      <c r="AH29" s="584"/>
      <c r="AI29" s="584">
        <v>42</v>
      </c>
      <c r="AJ29" s="584" t="s">
        <v>2862</v>
      </c>
      <c r="AK29" s="584" t="s">
        <v>2863</v>
      </c>
      <c r="AL29" s="588">
        <v>112300</v>
      </c>
      <c r="AM29" s="578" t="s">
        <v>2871</v>
      </c>
      <c r="AN29" s="583" t="s">
        <v>536</v>
      </c>
      <c r="AO29" s="583" t="s">
        <v>536</v>
      </c>
      <c r="AP29" s="583" t="s">
        <v>536</v>
      </c>
      <c r="AQ29" s="583" t="s">
        <v>536</v>
      </c>
      <c r="AR29" s="583" t="s">
        <v>536</v>
      </c>
      <c r="AS29" s="583" t="s">
        <v>536</v>
      </c>
      <c r="AT29" s="583" t="s">
        <v>536</v>
      </c>
      <c r="AU29" s="583" t="s">
        <v>536</v>
      </c>
      <c r="AV29" s="583" t="s">
        <v>536</v>
      </c>
      <c r="AW29" s="583" t="s">
        <v>536</v>
      </c>
      <c r="AX29" s="583" t="s">
        <v>536</v>
      </c>
      <c r="AY29" s="583" t="s">
        <v>536</v>
      </c>
      <c r="AZ29" s="585" t="s">
        <v>2865</v>
      </c>
      <c r="BA29" s="585" t="s">
        <v>2799</v>
      </c>
    </row>
    <row r="30" spans="1:53" ht="93.75" customHeight="1" thickBot="1" x14ac:dyDescent="0.3">
      <c r="A30" s="578" t="s">
        <v>438</v>
      </c>
      <c r="B30" s="579" t="s">
        <v>1325</v>
      </c>
      <c r="C30" s="1049"/>
      <c r="D30" s="1049"/>
      <c r="E30" s="1049"/>
      <c r="F30" s="579" t="s">
        <v>2857</v>
      </c>
      <c r="G30" s="1049"/>
      <c r="H30" s="578" t="s">
        <v>2872</v>
      </c>
      <c r="I30" s="578" t="s">
        <v>2873</v>
      </c>
      <c r="J30" s="578">
        <v>0</v>
      </c>
      <c r="K30" s="594" t="s">
        <v>526</v>
      </c>
      <c r="L30" s="578">
        <v>42</v>
      </c>
      <c r="M30" s="595">
        <v>13</v>
      </c>
      <c r="N30" s="578" t="s">
        <v>2873</v>
      </c>
      <c r="O30" s="582">
        <v>124540</v>
      </c>
      <c r="P30" s="582">
        <v>124540</v>
      </c>
      <c r="Q30" s="583">
        <v>68540</v>
      </c>
      <c r="R30" s="584"/>
      <c r="S30" s="584"/>
      <c r="T30" s="584"/>
      <c r="U30" s="584"/>
      <c r="V30" s="584"/>
      <c r="W30" s="584"/>
      <c r="X30" s="584"/>
      <c r="Y30" s="584"/>
      <c r="Z30" s="584"/>
      <c r="AA30" s="584"/>
      <c r="AB30" s="584"/>
      <c r="AC30" s="584"/>
      <c r="AD30" s="584">
        <v>56000</v>
      </c>
      <c r="AE30" s="584"/>
      <c r="AF30" s="584"/>
      <c r="AG30" s="585" t="s">
        <v>2861</v>
      </c>
      <c r="AH30" s="584"/>
      <c r="AI30" s="584">
        <v>42</v>
      </c>
      <c r="AJ30" s="584" t="s">
        <v>2862</v>
      </c>
      <c r="AK30" s="584" t="s">
        <v>2863</v>
      </c>
      <c r="AL30" s="588">
        <v>124540</v>
      </c>
      <c r="AM30" s="578" t="s">
        <v>2874</v>
      </c>
      <c r="AN30" s="583" t="s">
        <v>536</v>
      </c>
      <c r="AO30" s="583" t="s">
        <v>536</v>
      </c>
      <c r="AP30" s="583" t="s">
        <v>536</v>
      </c>
      <c r="AQ30" s="583" t="s">
        <v>536</v>
      </c>
      <c r="AR30" s="583" t="s">
        <v>536</v>
      </c>
      <c r="AS30" s="583" t="s">
        <v>536</v>
      </c>
      <c r="AT30" s="583" t="s">
        <v>536</v>
      </c>
      <c r="AU30" s="583" t="s">
        <v>536</v>
      </c>
      <c r="AV30" s="583" t="s">
        <v>536</v>
      </c>
      <c r="AW30" s="583" t="s">
        <v>536</v>
      </c>
      <c r="AX30" s="583" t="s">
        <v>536</v>
      </c>
      <c r="AY30" s="583" t="s">
        <v>536</v>
      </c>
      <c r="AZ30" s="585" t="s">
        <v>2865</v>
      </c>
      <c r="BA30" s="585" t="s">
        <v>2799</v>
      </c>
    </row>
    <row r="31" spans="1:53" ht="91.5" customHeight="1" thickBot="1" x14ac:dyDescent="0.3">
      <c r="A31" s="578" t="s">
        <v>438</v>
      </c>
      <c r="B31" s="579" t="s">
        <v>1325</v>
      </c>
      <c r="C31" s="1049"/>
      <c r="D31" s="1049"/>
      <c r="E31" s="1049"/>
      <c r="F31" s="579" t="s">
        <v>2857</v>
      </c>
      <c r="G31" s="1049"/>
      <c r="H31" s="578" t="s">
        <v>2875</v>
      </c>
      <c r="I31" s="578" t="s">
        <v>2876</v>
      </c>
      <c r="J31" s="578">
        <v>0</v>
      </c>
      <c r="K31" s="594" t="s">
        <v>526</v>
      </c>
      <c r="L31" s="578">
        <v>28</v>
      </c>
      <c r="M31" s="597">
        <v>0</v>
      </c>
      <c r="N31" s="578" t="s">
        <v>2876</v>
      </c>
      <c r="O31" s="582">
        <v>0</v>
      </c>
      <c r="P31" s="599">
        <v>0</v>
      </c>
      <c r="Q31" s="600" t="s">
        <v>536</v>
      </c>
      <c r="R31" s="584"/>
      <c r="S31" s="584"/>
      <c r="T31" s="584"/>
      <c r="U31" s="584"/>
      <c r="V31" s="584"/>
      <c r="W31" s="584"/>
      <c r="X31" s="584"/>
      <c r="Y31" s="584"/>
      <c r="Z31" s="584"/>
      <c r="AA31" s="584"/>
      <c r="AB31" s="584"/>
      <c r="AC31" s="584"/>
      <c r="AD31" s="584"/>
      <c r="AE31" s="584"/>
      <c r="AF31" s="584"/>
      <c r="AG31" s="585" t="s">
        <v>2861</v>
      </c>
      <c r="AH31" s="584"/>
      <c r="AI31" s="584">
        <v>42</v>
      </c>
      <c r="AJ31" s="584" t="s">
        <v>2862</v>
      </c>
      <c r="AK31" s="584" t="s">
        <v>2863</v>
      </c>
      <c r="AL31" s="588">
        <v>0</v>
      </c>
      <c r="AM31" s="578"/>
      <c r="AN31" s="583"/>
      <c r="AO31" s="583"/>
      <c r="AP31" s="583"/>
      <c r="AQ31" s="583"/>
      <c r="AR31" s="583"/>
      <c r="AS31" s="583"/>
      <c r="AT31" s="583"/>
      <c r="AU31" s="583"/>
      <c r="AV31" s="583"/>
      <c r="AW31" s="583"/>
      <c r="AX31" s="583"/>
      <c r="AY31" s="583"/>
      <c r="AZ31" s="585" t="s">
        <v>2865</v>
      </c>
      <c r="BA31" s="585" t="s">
        <v>2799</v>
      </c>
    </row>
    <row r="32" spans="1:53" ht="110.25" customHeight="1" thickBot="1" x14ac:dyDescent="0.3">
      <c r="A32" s="578" t="s">
        <v>438</v>
      </c>
      <c r="B32" s="579" t="s">
        <v>1325</v>
      </c>
      <c r="C32" s="1048" t="s">
        <v>2877</v>
      </c>
      <c r="D32" s="1048" t="s">
        <v>2878</v>
      </c>
      <c r="E32" s="1048" t="s">
        <v>2879</v>
      </c>
      <c r="F32" s="579" t="s">
        <v>2880</v>
      </c>
      <c r="G32" s="1048" t="s">
        <v>2881</v>
      </c>
      <c r="H32" s="578" t="s">
        <v>2882</v>
      </c>
      <c r="I32" s="578" t="s">
        <v>2883</v>
      </c>
      <c r="J32" s="580">
        <v>0</v>
      </c>
      <c r="K32" s="581" t="s">
        <v>526</v>
      </c>
      <c r="L32" s="580">
        <v>1</v>
      </c>
      <c r="M32" s="580">
        <v>0.05</v>
      </c>
      <c r="N32" s="578" t="s">
        <v>2883</v>
      </c>
      <c r="O32" s="582">
        <v>6000</v>
      </c>
      <c r="P32" s="582">
        <v>6000</v>
      </c>
      <c r="Q32" s="583" t="s">
        <v>536</v>
      </c>
      <c r="R32" s="584"/>
      <c r="S32" s="584"/>
      <c r="T32" s="584"/>
      <c r="U32" s="584"/>
      <c r="V32" s="584"/>
      <c r="W32" s="584"/>
      <c r="X32" s="584"/>
      <c r="Y32" s="584"/>
      <c r="Z32" s="584"/>
      <c r="AA32" s="584"/>
      <c r="AB32" s="584"/>
      <c r="AC32" s="584"/>
      <c r="AD32" s="584"/>
      <c r="AE32" s="584"/>
      <c r="AF32" s="584"/>
      <c r="AG32" s="585" t="s">
        <v>2884</v>
      </c>
      <c r="AH32" s="584" t="s">
        <v>2885</v>
      </c>
      <c r="AI32" s="584">
        <v>42</v>
      </c>
      <c r="AJ32" s="584">
        <v>7</v>
      </c>
      <c r="AK32" s="601">
        <v>5000</v>
      </c>
      <c r="AL32" s="588">
        <v>6000</v>
      </c>
      <c r="AM32" s="578" t="s">
        <v>2882</v>
      </c>
      <c r="AN32" s="583" t="s">
        <v>536</v>
      </c>
      <c r="AO32" s="583" t="s">
        <v>536</v>
      </c>
      <c r="AP32" s="583" t="s">
        <v>536</v>
      </c>
      <c r="AQ32" s="583" t="s">
        <v>536</v>
      </c>
      <c r="AR32" s="583" t="s">
        <v>536</v>
      </c>
      <c r="AS32" s="583" t="s">
        <v>536</v>
      </c>
      <c r="AT32" s="583" t="s">
        <v>536</v>
      </c>
      <c r="AU32" s="583" t="s">
        <v>536</v>
      </c>
      <c r="AV32" s="583" t="s">
        <v>536</v>
      </c>
      <c r="AW32" s="583" t="s">
        <v>536</v>
      </c>
      <c r="AX32" s="583" t="s">
        <v>536</v>
      </c>
      <c r="AY32" s="583" t="s">
        <v>536</v>
      </c>
      <c r="AZ32" s="585" t="s">
        <v>2886</v>
      </c>
      <c r="BA32" s="585" t="s">
        <v>2887</v>
      </c>
    </row>
    <row r="33" spans="1:53" ht="130.5" customHeight="1" thickBot="1" x14ac:dyDescent="0.3">
      <c r="A33" s="578" t="s">
        <v>438</v>
      </c>
      <c r="B33" s="579" t="s">
        <v>1325</v>
      </c>
      <c r="C33" s="1049"/>
      <c r="D33" s="1049"/>
      <c r="E33" s="1049"/>
      <c r="F33" s="579" t="s">
        <v>2880</v>
      </c>
      <c r="G33" s="1049"/>
      <c r="H33" s="602" t="s">
        <v>2888</v>
      </c>
      <c r="I33" s="578" t="s">
        <v>2889</v>
      </c>
      <c r="J33" s="578" t="s">
        <v>2890</v>
      </c>
      <c r="K33" s="581" t="s">
        <v>526</v>
      </c>
      <c r="L33" s="578">
        <v>1</v>
      </c>
      <c r="M33" s="578">
        <v>0.4</v>
      </c>
      <c r="N33" s="578" t="s">
        <v>2889</v>
      </c>
      <c r="O33" s="582">
        <v>36000</v>
      </c>
      <c r="P33" s="582">
        <v>36000</v>
      </c>
      <c r="Q33" s="600">
        <v>9000</v>
      </c>
      <c r="R33" s="584"/>
      <c r="S33" s="584"/>
      <c r="T33" s="584"/>
      <c r="U33" s="584"/>
      <c r="V33" s="584"/>
      <c r="W33" s="584"/>
      <c r="X33" s="584"/>
      <c r="Y33" s="584"/>
      <c r="Z33" s="584">
        <v>27000</v>
      </c>
      <c r="AA33" s="584"/>
      <c r="AB33" s="584"/>
      <c r="AC33" s="584"/>
      <c r="AD33" s="584"/>
      <c r="AE33" s="584"/>
      <c r="AF33" s="584"/>
      <c r="AG33" s="585" t="s">
        <v>2884</v>
      </c>
      <c r="AH33" s="584" t="s">
        <v>2885</v>
      </c>
      <c r="AI33" s="584">
        <v>42</v>
      </c>
      <c r="AJ33" s="584"/>
      <c r="AK33" s="601">
        <v>5000</v>
      </c>
      <c r="AL33" s="588">
        <v>36000</v>
      </c>
      <c r="AM33" s="602" t="s">
        <v>2888</v>
      </c>
      <c r="AN33" s="583" t="s">
        <v>536</v>
      </c>
      <c r="AO33" s="583" t="s">
        <v>536</v>
      </c>
      <c r="AP33" s="583" t="s">
        <v>536</v>
      </c>
      <c r="AQ33" s="583" t="s">
        <v>536</v>
      </c>
      <c r="AR33" s="583" t="s">
        <v>536</v>
      </c>
      <c r="AS33" s="583" t="s">
        <v>536</v>
      </c>
      <c r="AT33" s="583" t="s">
        <v>536</v>
      </c>
      <c r="AU33" s="583" t="s">
        <v>536</v>
      </c>
      <c r="AV33" s="583" t="s">
        <v>536</v>
      </c>
      <c r="AW33" s="583" t="s">
        <v>536</v>
      </c>
      <c r="AX33" s="583" t="s">
        <v>536</v>
      </c>
      <c r="AY33" s="583" t="s">
        <v>536</v>
      </c>
      <c r="AZ33" s="585" t="s">
        <v>2886</v>
      </c>
      <c r="BA33" s="585" t="s">
        <v>2891</v>
      </c>
    </row>
    <row r="34" spans="1:53" ht="128.25" customHeight="1" thickBot="1" x14ac:dyDescent="0.3">
      <c r="A34" s="578" t="s">
        <v>438</v>
      </c>
      <c r="B34" s="579" t="s">
        <v>1325</v>
      </c>
      <c r="C34" s="1049"/>
      <c r="D34" s="1049"/>
      <c r="E34" s="1049"/>
      <c r="F34" s="579" t="s">
        <v>2880</v>
      </c>
      <c r="G34" s="1049"/>
      <c r="H34" s="578" t="s">
        <v>2892</v>
      </c>
      <c r="I34" s="578" t="s">
        <v>2893</v>
      </c>
      <c r="J34" s="578">
        <v>0</v>
      </c>
      <c r="K34" s="581" t="s">
        <v>526</v>
      </c>
      <c r="L34" s="578">
        <v>16</v>
      </c>
      <c r="M34" s="603">
        <v>16</v>
      </c>
      <c r="N34" s="578" t="s">
        <v>2893</v>
      </c>
      <c r="O34" s="582">
        <v>0</v>
      </c>
      <c r="P34" s="582">
        <v>34000</v>
      </c>
      <c r="Q34" s="600" t="s">
        <v>536</v>
      </c>
      <c r="R34" s="584"/>
      <c r="S34" s="584"/>
      <c r="T34" s="584"/>
      <c r="U34" s="584"/>
      <c r="V34" s="584"/>
      <c r="W34" s="584"/>
      <c r="X34" s="584"/>
      <c r="Y34" s="584"/>
      <c r="Z34" s="584">
        <v>34000</v>
      </c>
      <c r="AA34" s="584"/>
      <c r="AB34" s="584"/>
      <c r="AC34" s="584"/>
      <c r="AD34" s="584"/>
      <c r="AE34" s="584"/>
      <c r="AF34" s="584"/>
      <c r="AG34" s="585">
        <v>0</v>
      </c>
      <c r="AH34" s="584">
        <v>0</v>
      </c>
      <c r="AI34" s="584">
        <v>0</v>
      </c>
      <c r="AJ34" s="584">
        <v>0</v>
      </c>
      <c r="AK34" s="584">
        <v>0</v>
      </c>
      <c r="AL34" s="588">
        <v>0</v>
      </c>
      <c r="AM34" s="578">
        <v>0</v>
      </c>
      <c r="AN34" s="583"/>
      <c r="AO34" s="583"/>
      <c r="AP34" s="583"/>
      <c r="AQ34" s="583"/>
      <c r="AR34" s="583"/>
      <c r="AS34" s="583"/>
      <c r="AT34" s="583"/>
      <c r="AU34" s="583"/>
      <c r="AV34" s="583"/>
      <c r="AW34" s="583"/>
      <c r="AX34" s="583"/>
      <c r="AY34" s="583"/>
      <c r="AZ34" s="585" t="s">
        <v>2886</v>
      </c>
      <c r="BA34" s="585" t="s">
        <v>2799</v>
      </c>
    </row>
    <row r="35" spans="1:53" ht="131.25" customHeight="1" thickBot="1" x14ac:dyDescent="0.3">
      <c r="A35" s="578" t="s">
        <v>438</v>
      </c>
      <c r="B35" s="579" t="s">
        <v>1325</v>
      </c>
      <c r="C35" s="1050"/>
      <c r="D35" s="1050"/>
      <c r="E35" s="1050"/>
      <c r="F35" s="579" t="s">
        <v>2880</v>
      </c>
      <c r="G35" s="1050"/>
      <c r="H35" s="578" t="s">
        <v>2894</v>
      </c>
      <c r="I35" s="578" t="s">
        <v>2895</v>
      </c>
      <c r="J35" s="578" t="s">
        <v>2896</v>
      </c>
      <c r="K35" s="581" t="s">
        <v>526</v>
      </c>
      <c r="L35" s="578">
        <v>20</v>
      </c>
      <c r="M35" s="587">
        <v>4</v>
      </c>
      <c r="N35" s="578" t="s">
        <v>2895</v>
      </c>
      <c r="O35" s="582">
        <v>40000</v>
      </c>
      <c r="P35" s="582">
        <v>40000</v>
      </c>
      <c r="Q35" s="583">
        <v>40000</v>
      </c>
      <c r="R35" s="584"/>
      <c r="S35" s="584"/>
      <c r="T35" s="584"/>
      <c r="U35" s="584"/>
      <c r="V35" s="584"/>
      <c r="W35" s="584"/>
      <c r="X35" s="584"/>
      <c r="Y35" s="584"/>
      <c r="Z35" s="584"/>
      <c r="AA35" s="584"/>
      <c r="AB35" s="584"/>
      <c r="AC35" s="584"/>
      <c r="AD35" s="584"/>
      <c r="AE35" s="584"/>
      <c r="AF35" s="584"/>
      <c r="AG35" s="585" t="s">
        <v>2884</v>
      </c>
      <c r="AH35" s="584" t="s">
        <v>2885</v>
      </c>
      <c r="AI35" s="584">
        <v>42</v>
      </c>
      <c r="AJ35" s="584">
        <v>7</v>
      </c>
      <c r="AK35" s="601">
        <v>5000</v>
      </c>
      <c r="AL35" s="588">
        <v>40000</v>
      </c>
      <c r="AM35" s="578" t="s">
        <v>2897</v>
      </c>
      <c r="AN35" s="583" t="s">
        <v>536</v>
      </c>
      <c r="AO35" s="583" t="s">
        <v>536</v>
      </c>
      <c r="AP35" s="583" t="s">
        <v>536</v>
      </c>
      <c r="AQ35" s="583" t="s">
        <v>536</v>
      </c>
      <c r="AR35" s="583" t="s">
        <v>536</v>
      </c>
      <c r="AS35" s="583" t="s">
        <v>536</v>
      </c>
      <c r="AT35" s="583" t="s">
        <v>536</v>
      </c>
      <c r="AU35" s="583" t="s">
        <v>536</v>
      </c>
      <c r="AV35" s="583" t="s">
        <v>536</v>
      </c>
      <c r="AW35" s="583" t="s">
        <v>536</v>
      </c>
      <c r="AX35" s="583" t="s">
        <v>536</v>
      </c>
      <c r="AY35" s="583" t="s">
        <v>536</v>
      </c>
      <c r="AZ35" s="585" t="s">
        <v>2898</v>
      </c>
      <c r="BA35" s="585" t="s">
        <v>2799</v>
      </c>
    </row>
    <row r="36" spans="1:53" ht="177.75" customHeight="1" x14ac:dyDescent="0.25">
      <c r="A36" s="578" t="s">
        <v>438</v>
      </c>
      <c r="B36" s="579" t="s">
        <v>1325</v>
      </c>
      <c r="C36" s="1048" t="s">
        <v>2899</v>
      </c>
      <c r="D36" s="1048" t="s">
        <v>2900</v>
      </c>
      <c r="E36" s="1055">
        <v>0</v>
      </c>
      <c r="F36" s="579" t="s">
        <v>2901</v>
      </c>
      <c r="G36" s="1048" t="s">
        <v>2902</v>
      </c>
      <c r="H36" s="579" t="s">
        <v>2903</v>
      </c>
      <c r="I36" s="578" t="s">
        <v>2904</v>
      </c>
      <c r="J36" s="578" t="s">
        <v>2905</v>
      </c>
      <c r="K36" s="587" t="s">
        <v>2565</v>
      </c>
      <c r="L36" s="578">
        <v>1</v>
      </c>
      <c r="M36" s="136">
        <v>1</v>
      </c>
      <c r="N36" s="245" t="s">
        <v>2906</v>
      </c>
      <c r="O36" s="582">
        <v>21000</v>
      </c>
      <c r="P36" s="582">
        <v>21000</v>
      </c>
      <c r="Q36" s="583">
        <v>21000</v>
      </c>
      <c r="R36" s="225"/>
      <c r="S36" s="225"/>
      <c r="T36" s="225"/>
      <c r="U36" s="225"/>
      <c r="V36" s="225"/>
      <c r="W36" s="225"/>
      <c r="X36" s="225"/>
      <c r="Y36" s="225"/>
      <c r="Z36" s="225"/>
      <c r="AA36" s="225"/>
      <c r="AB36" s="225"/>
      <c r="AC36" s="225"/>
      <c r="AD36" s="225"/>
      <c r="AE36" s="225"/>
      <c r="AF36" s="225"/>
      <c r="AG36" s="630" t="s">
        <v>2907</v>
      </c>
      <c r="AH36" s="236"/>
      <c r="AI36" s="236">
        <v>42</v>
      </c>
      <c r="AJ36" s="236">
        <v>7</v>
      </c>
      <c r="AK36" s="245" t="s">
        <v>2908</v>
      </c>
      <c r="AL36" s="236">
        <v>14500</v>
      </c>
      <c r="AM36" s="562" t="s">
        <v>2909</v>
      </c>
      <c r="AN36" s="583" t="s">
        <v>536</v>
      </c>
      <c r="AO36" s="583" t="s">
        <v>536</v>
      </c>
      <c r="AP36" s="583" t="s">
        <v>536</v>
      </c>
      <c r="AQ36" s="583" t="s">
        <v>536</v>
      </c>
      <c r="AR36" s="583" t="s">
        <v>536</v>
      </c>
      <c r="AS36" s="583" t="s">
        <v>536</v>
      </c>
      <c r="AT36" s="583" t="s">
        <v>536</v>
      </c>
      <c r="AU36" s="583" t="s">
        <v>536</v>
      </c>
      <c r="AV36" s="583" t="s">
        <v>536</v>
      </c>
      <c r="AW36" s="583" t="s">
        <v>536</v>
      </c>
      <c r="AX36" s="583" t="s">
        <v>536</v>
      </c>
      <c r="AY36" s="583" t="s">
        <v>536</v>
      </c>
      <c r="AZ36" s="245" t="s">
        <v>2910</v>
      </c>
      <c r="BA36" s="585" t="s">
        <v>2799</v>
      </c>
    </row>
    <row r="37" spans="1:53" ht="201.75" customHeight="1" x14ac:dyDescent="0.25">
      <c r="A37" s="578" t="s">
        <v>438</v>
      </c>
      <c r="B37" s="579" t="s">
        <v>1325</v>
      </c>
      <c r="C37" s="1049"/>
      <c r="D37" s="1049"/>
      <c r="E37" s="1056"/>
      <c r="F37" s="579" t="s">
        <v>2901</v>
      </c>
      <c r="G37" s="1049"/>
      <c r="H37" s="578" t="s">
        <v>2911</v>
      </c>
      <c r="I37" s="578" t="s">
        <v>2912</v>
      </c>
      <c r="J37" s="580">
        <v>0</v>
      </c>
      <c r="K37" s="587" t="s">
        <v>526</v>
      </c>
      <c r="L37" s="580">
        <v>42</v>
      </c>
      <c r="M37" s="174">
        <v>6</v>
      </c>
      <c r="N37" s="136" t="s">
        <v>2912</v>
      </c>
      <c r="O37" s="582">
        <v>21000</v>
      </c>
      <c r="P37" s="582">
        <v>21000</v>
      </c>
      <c r="Q37" s="583">
        <v>21000</v>
      </c>
      <c r="R37" s="225"/>
      <c r="S37" s="225"/>
      <c r="T37" s="225"/>
      <c r="U37" s="225"/>
      <c r="V37" s="225"/>
      <c r="W37" s="225"/>
      <c r="X37" s="225"/>
      <c r="Y37" s="225"/>
      <c r="Z37" s="225"/>
      <c r="AA37" s="225"/>
      <c r="AB37" s="225"/>
      <c r="AC37" s="225"/>
      <c r="AD37" s="225"/>
      <c r="AE37" s="225"/>
      <c r="AF37" s="225"/>
      <c r="AG37" s="631" t="s">
        <v>2907</v>
      </c>
      <c r="AH37" s="236"/>
      <c r="AI37" s="245" t="s">
        <v>2913</v>
      </c>
      <c r="AJ37" s="236">
        <v>7</v>
      </c>
      <c r="AK37" s="245" t="s">
        <v>2914</v>
      </c>
      <c r="AL37" s="616">
        <v>39325</v>
      </c>
      <c r="AM37" s="245" t="s">
        <v>2915</v>
      </c>
      <c r="AN37" s="583" t="s">
        <v>536</v>
      </c>
      <c r="AO37" s="583" t="s">
        <v>536</v>
      </c>
      <c r="AP37" s="583" t="s">
        <v>536</v>
      </c>
      <c r="AQ37" s="583" t="s">
        <v>536</v>
      </c>
      <c r="AR37" s="583" t="s">
        <v>536</v>
      </c>
      <c r="AS37" s="583" t="s">
        <v>536</v>
      </c>
      <c r="AT37" s="583" t="s">
        <v>536</v>
      </c>
      <c r="AU37" s="583" t="s">
        <v>536</v>
      </c>
      <c r="AV37" s="583" t="s">
        <v>536</v>
      </c>
      <c r="AW37" s="583" t="s">
        <v>536</v>
      </c>
      <c r="AX37" s="583" t="s">
        <v>536</v>
      </c>
      <c r="AY37" s="583" t="s">
        <v>536</v>
      </c>
      <c r="AZ37" s="245" t="s">
        <v>2910</v>
      </c>
      <c r="BA37" s="585" t="s">
        <v>2799</v>
      </c>
    </row>
    <row r="38" spans="1:53" ht="150" x14ac:dyDescent="0.25">
      <c r="A38" s="578" t="s">
        <v>438</v>
      </c>
      <c r="B38" s="579" t="s">
        <v>1325</v>
      </c>
      <c r="C38" s="1049"/>
      <c r="D38" s="1049"/>
      <c r="E38" s="1056"/>
      <c r="F38" s="579" t="s">
        <v>2901</v>
      </c>
      <c r="G38" s="1049"/>
      <c r="H38" s="578" t="s">
        <v>2916</v>
      </c>
      <c r="I38" s="578" t="s">
        <v>2917</v>
      </c>
      <c r="J38" s="580">
        <v>0</v>
      </c>
      <c r="K38" s="587" t="s">
        <v>526</v>
      </c>
      <c r="L38" s="580">
        <v>1</v>
      </c>
      <c r="M38" s="174">
        <v>0.03</v>
      </c>
      <c r="N38" s="136" t="s">
        <v>2917</v>
      </c>
      <c r="O38" s="582">
        <v>42000</v>
      </c>
      <c r="P38" s="582">
        <v>42000</v>
      </c>
      <c r="Q38" s="583">
        <v>42000</v>
      </c>
      <c r="R38" s="225"/>
      <c r="S38" s="225"/>
      <c r="T38" s="225"/>
      <c r="U38" s="225"/>
      <c r="V38" s="225"/>
      <c r="W38" s="225"/>
      <c r="X38" s="225"/>
      <c r="Y38" s="225"/>
      <c r="Z38" s="225"/>
      <c r="AA38" s="225"/>
      <c r="AB38" s="225"/>
      <c r="AC38" s="225"/>
      <c r="AD38" s="225"/>
      <c r="AE38" s="225"/>
      <c r="AF38" s="225"/>
      <c r="AG38" s="631" t="s">
        <v>2907</v>
      </c>
      <c r="AH38" s="243"/>
      <c r="AI38" s="614" t="s">
        <v>2918</v>
      </c>
      <c r="AJ38" s="128" t="s">
        <v>2919</v>
      </c>
      <c r="AK38" s="245" t="s">
        <v>2920</v>
      </c>
      <c r="AL38" s="236">
        <v>1735</v>
      </c>
      <c r="AM38" s="128" t="s">
        <v>2921</v>
      </c>
      <c r="AN38" s="583" t="s">
        <v>536</v>
      </c>
      <c r="AO38" s="583" t="s">
        <v>536</v>
      </c>
      <c r="AP38" s="583" t="s">
        <v>536</v>
      </c>
      <c r="AQ38" s="583" t="s">
        <v>536</v>
      </c>
      <c r="AR38" s="583" t="s">
        <v>536</v>
      </c>
      <c r="AS38" s="583" t="s">
        <v>536</v>
      </c>
      <c r="AT38" s="583" t="s">
        <v>536</v>
      </c>
      <c r="AU38" s="583" t="s">
        <v>536</v>
      </c>
      <c r="AV38" s="583" t="s">
        <v>536</v>
      </c>
      <c r="AW38" s="583" t="s">
        <v>536</v>
      </c>
      <c r="AX38" s="583" t="s">
        <v>536</v>
      </c>
      <c r="AY38" s="583" t="s">
        <v>536</v>
      </c>
      <c r="AZ38" s="245" t="s">
        <v>2910</v>
      </c>
      <c r="BA38" s="585" t="s">
        <v>2799</v>
      </c>
    </row>
    <row r="39" spans="1:53" ht="109.5" customHeight="1" x14ac:dyDescent="0.25">
      <c r="A39" s="578" t="s">
        <v>438</v>
      </c>
      <c r="B39" s="579" t="s">
        <v>1325</v>
      </c>
      <c r="C39" s="1050"/>
      <c r="D39" s="1050"/>
      <c r="E39" s="1057"/>
      <c r="F39" s="579" t="s">
        <v>2901</v>
      </c>
      <c r="G39" s="1050"/>
      <c r="H39" s="578" t="s">
        <v>2922</v>
      </c>
      <c r="I39" s="578" t="s">
        <v>2923</v>
      </c>
      <c r="J39" s="580">
        <v>0</v>
      </c>
      <c r="K39" s="581" t="s">
        <v>526</v>
      </c>
      <c r="L39" s="580">
        <v>1</v>
      </c>
      <c r="M39" s="174">
        <v>0.03</v>
      </c>
      <c r="N39" s="136" t="s">
        <v>2924</v>
      </c>
      <c r="O39" s="582">
        <v>11125</v>
      </c>
      <c r="P39" s="582">
        <v>11125</v>
      </c>
      <c r="Q39" s="583">
        <v>11125</v>
      </c>
      <c r="R39" s="225"/>
      <c r="S39" s="225"/>
      <c r="T39" s="225"/>
      <c r="U39" s="225"/>
      <c r="V39" s="225"/>
      <c r="W39" s="225"/>
      <c r="X39" s="225"/>
      <c r="Y39" s="225"/>
      <c r="Z39" s="225"/>
      <c r="AA39" s="225"/>
      <c r="AB39" s="225"/>
      <c r="AC39" s="225"/>
      <c r="AD39" s="225"/>
      <c r="AE39" s="225"/>
      <c r="AF39" s="225"/>
      <c r="AG39" s="631" t="s">
        <v>2907</v>
      </c>
      <c r="AH39" s="243"/>
      <c r="AI39" s="617" t="s">
        <v>2925</v>
      </c>
      <c r="AJ39" s="245" t="s">
        <v>2926</v>
      </c>
      <c r="AK39" s="245" t="s">
        <v>2914</v>
      </c>
      <c r="AL39" s="236">
        <v>94219</v>
      </c>
      <c r="AM39" s="618" t="s">
        <v>2927</v>
      </c>
      <c r="AN39" s="583" t="s">
        <v>536</v>
      </c>
      <c r="AO39" s="583" t="s">
        <v>536</v>
      </c>
      <c r="AP39" s="583" t="s">
        <v>536</v>
      </c>
      <c r="AQ39" s="583" t="s">
        <v>536</v>
      </c>
      <c r="AR39" s="583" t="s">
        <v>536</v>
      </c>
      <c r="AS39" s="583" t="s">
        <v>536</v>
      </c>
      <c r="AT39" s="583" t="s">
        <v>536</v>
      </c>
      <c r="AU39" s="583" t="s">
        <v>536</v>
      </c>
      <c r="AV39" s="583" t="s">
        <v>536</v>
      </c>
      <c r="AW39" s="583" t="s">
        <v>536</v>
      </c>
      <c r="AX39" s="583" t="s">
        <v>536</v>
      </c>
      <c r="AY39" s="583" t="s">
        <v>536</v>
      </c>
      <c r="AZ39" s="245" t="s">
        <v>2910</v>
      </c>
      <c r="BA39" s="585" t="s">
        <v>2799</v>
      </c>
    </row>
    <row r="40" spans="1:53" ht="238.5" customHeight="1" x14ac:dyDescent="0.25">
      <c r="A40" s="578" t="s">
        <v>438</v>
      </c>
      <c r="B40" s="579" t="s">
        <v>1325</v>
      </c>
      <c r="C40" s="1048" t="s">
        <v>2928</v>
      </c>
      <c r="D40" s="1048" t="s">
        <v>2929</v>
      </c>
      <c r="E40" s="1048" t="s">
        <v>2930</v>
      </c>
      <c r="F40" s="579" t="s">
        <v>2931</v>
      </c>
      <c r="G40" s="1048" t="s">
        <v>2932</v>
      </c>
      <c r="H40" s="578" t="s">
        <v>2933</v>
      </c>
      <c r="I40" s="578" t="s">
        <v>2934</v>
      </c>
      <c r="J40" s="580">
        <v>0</v>
      </c>
      <c r="K40" s="587" t="s">
        <v>526</v>
      </c>
      <c r="L40" s="580">
        <v>42</v>
      </c>
      <c r="M40" s="105">
        <v>14</v>
      </c>
      <c r="N40" s="136" t="s">
        <v>2934</v>
      </c>
      <c r="O40" s="582">
        <v>22250</v>
      </c>
      <c r="P40" s="582">
        <v>22250</v>
      </c>
      <c r="Q40" s="583">
        <v>22250</v>
      </c>
      <c r="R40" s="225"/>
      <c r="S40" s="225"/>
      <c r="T40" s="225"/>
      <c r="U40" s="225"/>
      <c r="V40" s="225"/>
      <c r="W40" s="225"/>
      <c r="X40" s="225"/>
      <c r="Y40" s="225"/>
      <c r="Z40" s="225"/>
      <c r="AA40" s="225"/>
      <c r="AB40" s="225"/>
      <c r="AC40" s="225"/>
      <c r="AD40" s="225"/>
      <c r="AE40" s="225"/>
      <c r="AF40" s="225"/>
      <c r="AG40" s="630" t="s">
        <v>2935</v>
      </c>
      <c r="AH40" s="243"/>
      <c r="AI40" s="614" t="s">
        <v>2936</v>
      </c>
      <c r="AJ40" s="245" t="s">
        <v>2937</v>
      </c>
      <c r="AK40" s="128" t="s">
        <v>2938</v>
      </c>
      <c r="AL40" s="236">
        <v>2652</v>
      </c>
      <c r="AM40" s="618" t="s">
        <v>2939</v>
      </c>
      <c r="AN40" s="583" t="s">
        <v>536</v>
      </c>
      <c r="AO40" s="583" t="s">
        <v>536</v>
      </c>
      <c r="AP40" s="583" t="s">
        <v>536</v>
      </c>
      <c r="AQ40" s="583" t="s">
        <v>536</v>
      </c>
      <c r="AR40" s="583" t="s">
        <v>536</v>
      </c>
      <c r="AS40" s="583" t="s">
        <v>536</v>
      </c>
      <c r="AT40" s="583" t="s">
        <v>536</v>
      </c>
      <c r="AU40" s="583" t="s">
        <v>536</v>
      </c>
      <c r="AV40" s="583" t="s">
        <v>536</v>
      </c>
      <c r="AW40" s="583" t="s">
        <v>536</v>
      </c>
      <c r="AX40" s="583" t="s">
        <v>536</v>
      </c>
      <c r="AY40" s="583" t="s">
        <v>536</v>
      </c>
      <c r="AZ40" s="245" t="s">
        <v>2910</v>
      </c>
      <c r="BA40" s="585" t="s">
        <v>2799</v>
      </c>
    </row>
    <row r="41" spans="1:53" ht="195" x14ac:dyDescent="0.25">
      <c r="A41" s="578" t="s">
        <v>438</v>
      </c>
      <c r="B41" s="579" t="s">
        <v>1325</v>
      </c>
      <c r="C41" s="1049"/>
      <c r="D41" s="1049"/>
      <c r="E41" s="1049"/>
      <c r="F41" s="579" t="s">
        <v>2931</v>
      </c>
      <c r="G41" s="1049"/>
      <c r="H41" s="578" t="s">
        <v>2940</v>
      </c>
      <c r="I41" s="578" t="s">
        <v>2941</v>
      </c>
      <c r="J41" s="580">
        <v>0</v>
      </c>
      <c r="K41" s="587" t="s">
        <v>526</v>
      </c>
      <c r="L41" s="580">
        <v>42</v>
      </c>
      <c r="M41" s="105">
        <v>10</v>
      </c>
      <c r="N41" s="136" t="s">
        <v>2941</v>
      </c>
      <c r="O41" s="582">
        <v>22250</v>
      </c>
      <c r="P41" s="582">
        <v>22250</v>
      </c>
      <c r="Q41" s="583">
        <v>22250</v>
      </c>
      <c r="R41" s="225"/>
      <c r="S41" s="225"/>
      <c r="T41" s="225"/>
      <c r="U41" s="225"/>
      <c r="V41" s="225"/>
      <c r="W41" s="225"/>
      <c r="X41" s="225"/>
      <c r="Y41" s="225"/>
      <c r="Z41" s="225"/>
      <c r="AA41" s="225"/>
      <c r="AB41" s="225"/>
      <c r="AC41" s="225"/>
      <c r="AD41" s="225"/>
      <c r="AE41" s="225"/>
      <c r="AF41" s="225"/>
      <c r="AG41" s="631" t="s">
        <v>2935</v>
      </c>
      <c r="AH41" s="243"/>
      <c r="AI41" s="619" t="s">
        <v>2942</v>
      </c>
      <c r="AJ41" s="245" t="s">
        <v>2943</v>
      </c>
      <c r="AK41" s="128" t="s">
        <v>2944</v>
      </c>
      <c r="AL41" s="236">
        <v>66300</v>
      </c>
      <c r="AM41" s="128" t="s">
        <v>2945</v>
      </c>
      <c r="AN41" s="583" t="s">
        <v>536</v>
      </c>
      <c r="AO41" s="583" t="s">
        <v>536</v>
      </c>
      <c r="AP41" s="583" t="s">
        <v>536</v>
      </c>
      <c r="AQ41" s="583" t="s">
        <v>536</v>
      </c>
      <c r="AR41" s="583" t="s">
        <v>536</v>
      </c>
      <c r="AS41" s="583" t="s">
        <v>536</v>
      </c>
      <c r="AT41" s="583" t="s">
        <v>536</v>
      </c>
      <c r="AU41" s="583" t="s">
        <v>536</v>
      </c>
      <c r="AV41" s="583" t="s">
        <v>536</v>
      </c>
      <c r="AW41" s="583" t="s">
        <v>536</v>
      </c>
      <c r="AX41" s="583" t="s">
        <v>536</v>
      </c>
      <c r="AY41" s="583" t="s">
        <v>536</v>
      </c>
      <c r="AZ41" s="245" t="s">
        <v>2910</v>
      </c>
      <c r="BA41" s="585" t="s">
        <v>2799</v>
      </c>
    </row>
    <row r="42" spans="1:53" ht="144" x14ac:dyDescent="0.25">
      <c r="A42" s="578" t="s">
        <v>438</v>
      </c>
      <c r="B42" s="579" t="s">
        <v>1325</v>
      </c>
      <c r="C42" s="1050"/>
      <c r="D42" s="1050"/>
      <c r="E42" s="1050"/>
      <c r="F42" s="579" t="s">
        <v>2931</v>
      </c>
      <c r="G42" s="1050"/>
      <c r="H42" s="578" t="s">
        <v>2946</v>
      </c>
      <c r="I42" s="578" t="s">
        <v>2947</v>
      </c>
      <c r="J42" s="578">
        <v>0</v>
      </c>
      <c r="K42" s="581" t="s">
        <v>2565</v>
      </c>
      <c r="L42" s="578">
        <v>1</v>
      </c>
      <c r="M42" s="106">
        <v>1</v>
      </c>
      <c r="N42" s="136" t="s">
        <v>2947</v>
      </c>
      <c r="O42" s="582">
        <v>10000</v>
      </c>
      <c r="P42" s="582">
        <v>10000</v>
      </c>
      <c r="Q42" s="583">
        <v>10000</v>
      </c>
      <c r="R42" s="225"/>
      <c r="S42" s="225"/>
      <c r="T42" s="225"/>
      <c r="U42" s="225"/>
      <c r="V42" s="225"/>
      <c r="W42" s="225"/>
      <c r="X42" s="225"/>
      <c r="Y42" s="225"/>
      <c r="Z42" s="225"/>
      <c r="AA42" s="225"/>
      <c r="AB42" s="225"/>
      <c r="AC42" s="225"/>
      <c r="AD42" s="225"/>
      <c r="AE42" s="225"/>
      <c r="AF42" s="225"/>
      <c r="AG42" s="630" t="s">
        <v>2935</v>
      </c>
      <c r="AH42" s="243"/>
      <c r="AI42" s="619" t="s">
        <v>2948</v>
      </c>
      <c r="AJ42" s="245" t="s">
        <v>2949</v>
      </c>
      <c r="AK42" s="128" t="s">
        <v>2950</v>
      </c>
      <c r="AL42" s="236">
        <v>53410</v>
      </c>
      <c r="AM42" s="618" t="s">
        <v>2951</v>
      </c>
      <c r="AN42" s="583" t="s">
        <v>536</v>
      </c>
      <c r="AO42" s="583" t="s">
        <v>536</v>
      </c>
      <c r="AP42" s="583" t="s">
        <v>536</v>
      </c>
      <c r="AQ42" s="583" t="s">
        <v>536</v>
      </c>
      <c r="AR42" s="583" t="s">
        <v>536</v>
      </c>
      <c r="AS42" s="583" t="s">
        <v>536</v>
      </c>
      <c r="AT42" s="583" t="s">
        <v>536</v>
      </c>
      <c r="AU42" s="583" t="s">
        <v>536</v>
      </c>
      <c r="AV42" s="583" t="s">
        <v>536</v>
      </c>
      <c r="AW42" s="583" t="s">
        <v>536</v>
      </c>
      <c r="AX42" s="583" t="s">
        <v>536</v>
      </c>
      <c r="AY42" s="583" t="s">
        <v>536</v>
      </c>
      <c r="AZ42" s="245" t="s">
        <v>2910</v>
      </c>
      <c r="BA42" s="585" t="s">
        <v>2799</v>
      </c>
    </row>
    <row r="43" spans="1:53" ht="195" x14ac:dyDescent="0.25">
      <c r="A43" s="578" t="s">
        <v>438</v>
      </c>
      <c r="B43" s="579" t="s">
        <v>1325</v>
      </c>
      <c r="C43" s="1048" t="s">
        <v>2952</v>
      </c>
      <c r="D43" s="1048" t="s">
        <v>2953</v>
      </c>
      <c r="E43" s="1048" t="s">
        <v>2954</v>
      </c>
      <c r="F43" s="579" t="s">
        <v>2955</v>
      </c>
      <c r="G43" s="1051" t="s">
        <v>2956</v>
      </c>
      <c r="H43" s="578" t="s">
        <v>2957</v>
      </c>
      <c r="I43" s="578" t="s">
        <v>2958</v>
      </c>
      <c r="J43" s="580">
        <v>0</v>
      </c>
      <c r="K43" s="587" t="s">
        <v>526</v>
      </c>
      <c r="L43" s="580">
        <v>1</v>
      </c>
      <c r="M43" s="174">
        <v>0.15</v>
      </c>
      <c r="N43" s="136" t="s">
        <v>2958</v>
      </c>
      <c r="O43" s="582">
        <v>10000</v>
      </c>
      <c r="P43" s="582">
        <v>10000</v>
      </c>
      <c r="Q43" s="583">
        <v>10000</v>
      </c>
      <c r="R43" s="584"/>
      <c r="S43" s="584"/>
      <c r="T43" s="584"/>
      <c r="U43" s="584"/>
      <c r="V43" s="584"/>
      <c r="W43" s="584"/>
      <c r="X43" s="584"/>
      <c r="Y43" s="584"/>
      <c r="Z43" s="584"/>
      <c r="AA43" s="584"/>
      <c r="AB43" s="584"/>
      <c r="AC43" s="584"/>
      <c r="AD43" s="584"/>
      <c r="AE43" s="584"/>
      <c r="AF43" s="584"/>
      <c r="AG43" s="497" t="s">
        <v>2959</v>
      </c>
      <c r="AH43" s="243"/>
      <c r="AI43" s="620" t="s">
        <v>2960</v>
      </c>
      <c r="AJ43" s="245" t="s">
        <v>2961</v>
      </c>
      <c r="AK43" s="128" t="s">
        <v>2962</v>
      </c>
      <c r="AL43" s="236">
        <v>55812</v>
      </c>
      <c r="AM43" s="562" t="s">
        <v>2963</v>
      </c>
      <c r="AN43" s="583" t="s">
        <v>536</v>
      </c>
      <c r="AO43" s="583" t="s">
        <v>536</v>
      </c>
      <c r="AP43" s="583" t="s">
        <v>536</v>
      </c>
      <c r="AQ43" s="583" t="s">
        <v>536</v>
      </c>
      <c r="AR43" s="583" t="s">
        <v>536</v>
      </c>
      <c r="AS43" s="583" t="s">
        <v>536</v>
      </c>
      <c r="AT43" s="583" t="s">
        <v>536</v>
      </c>
      <c r="AU43" s="583" t="s">
        <v>536</v>
      </c>
      <c r="AV43" s="583" t="s">
        <v>536</v>
      </c>
      <c r="AW43" s="583" t="s">
        <v>536</v>
      </c>
      <c r="AX43" s="583" t="s">
        <v>536</v>
      </c>
      <c r="AY43" s="583" t="s">
        <v>536</v>
      </c>
      <c r="AZ43" s="245" t="s">
        <v>2910</v>
      </c>
      <c r="BA43" s="585" t="s">
        <v>2799</v>
      </c>
    </row>
    <row r="44" spans="1:53" ht="210" x14ac:dyDescent="0.25">
      <c r="A44" s="578" t="s">
        <v>438</v>
      </c>
      <c r="B44" s="579" t="s">
        <v>1325</v>
      </c>
      <c r="C44" s="1049"/>
      <c r="D44" s="1049"/>
      <c r="E44" s="1049"/>
      <c r="F44" s="579" t="s">
        <v>2955</v>
      </c>
      <c r="G44" s="1051"/>
      <c r="H44" s="578" t="s">
        <v>2964</v>
      </c>
      <c r="I44" s="578" t="s">
        <v>2965</v>
      </c>
      <c r="J44" s="580">
        <v>0</v>
      </c>
      <c r="K44" s="587" t="s">
        <v>526</v>
      </c>
      <c r="L44" s="580">
        <v>42</v>
      </c>
      <c r="M44" s="174">
        <v>15</v>
      </c>
      <c r="N44" s="136" t="s">
        <v>2965</v>
      </c>
      <c r="O44" s="582">
        <v>21000</v>
      </c>
      <c r="P44" s="582">
        <v>21000</v>
      </c>
      <c r="Q44" s="583">
        <v>21000</v>
      </c>
      <c r="R44" s="584"/>
      <c r="S44" s="584"/>
      <c r="T44" s="584"/>
      <c r="U44" s="584"/>
      <c r="V44" s="584"/>
      <c r="W44" s="584"/>
      <c r="X44" s="584"/>
      <c r="Y44" s="584"/>
      <c r="Z44" s="584"/>
      <c r="AA44" s="584"/>
      <c r="AB44" s="584"/>
      <c r="AC44" s="584"/>
      <c r="AD44" s="584"/>
      <c r="AE44" s="584"/>
      <c r="AF44" s="584"/>
      <c r="AG44" s="497" t="s">
        <v>2959</v>
      </c>
      <c r="AH44" s="243"/>
      <c r="AI44" s="621" t="s">
        <v>2966</v>
      </c>
      <c r="AJ44" s="245" t="s">
        <v>2967</v>
      </c>
      <c r="AK44" s="128" t="s">
        <v>2968</v>
      </c>
      <c r="AL44" s="236">
        <v>20033</v>
      </c>
      <c r="AM44" s="622" t="s">
        <v>2969</v>
      </c>
      <c r="AN44" s="583" t="s">
        <v>536</v>
      </c>
      <c r="AO44" s="583" t="s">
        <v>536</v>
      </c>
      <c r="AP44" s="583" t="s">
        <v>536</v>
      </c>
      <c r="AQ44" s="583" t="s">
        <v>536</v>
      </c>
      <c r="AR44" s="583" t="s">
        <v>536</v>
      </c>
      <c r="AS44" s="583" t="s">
        <v>536</v>
      </c>
      <c r="AT44" s="583" t="s">
        <v>536</v>
      </c>
      <c r="AU44" s="583" t="s">
        <v>536</v>
      </c>
      <c r="AV44" s="583" t="s">
        <v>536</v>
      </c>
      <c r="AW44" s="583" t="s">
        <v>536</v>
      </c>
      <c r="AX44" s="583" t="s">
        <v>536</v>
      </c>
      <c r="AY44" s="583" t="s">
        <v>536</v>
      </c>
      <c r="AZ44" s="245" t="s">
        <v>2910</v>
      </c>
      <c r="BA44" s="585" t="s">
        <v>2799</v>
      </c>
    </row>
    <row r="45" spans="1:53" ht="180" x14ac:dyDescent="0.25">
      <c r="A45" s="578" t="s">
        <v>438</v>
      </c>
      <c r="B45" s="579" t="s">
        <v>1325</v>
      </c>
      <c r="C45" s="1049"/>
      <c r="D45" s="1049"/>
      <c r="E45" s="1049"/>
      <c r="F45" s="579" t="s">
        <v>2955</v>
      </c>
      <c r="G45" s="1051"/>
      <c r="H45" s="578" t="s">
        <v>2970</v>
      </c>
      <c r="I45" s="578" t="s">
        <v>2971</v>
      </c>
      <c r="J45" s="578"/>
      <c r="K45" s="587" t="s">
        <v>2565</v>
      </c>
      <c r="L45" s="578">
        <v>1</v>
      </c>
      <c r="M45" s="136">
        <v>1</v>
      </c>
      <c r="N45" s="136" t="s">
        <v>2971</v>
      </c>
      <c r="O45" s="582">
        <v>5000</v>
      </c>
      <c r="P45" s="582">
        <v>5000</v>
      </c>
      <c r="Q45" s="583">
        <v>5000</v>
      </c>
      <c r="R45" s="584"/>
      <c r="S45" s="584"/>
      <c r="T45" s="584"/>
      <c r="U45" s="584"/>
      <c r="V45" s="584"/>
      <c r="W45" s="584"/>
      <c r="X45" s="584"/>
      <c r="Y45" s="584"/>
      <c r="Z45" s="584"/>
      <c r="AA45" s="584"/>
      <c r="AB45" s="584"/>
      <c r="AC45" s="584"/>
      <c r="AD45" s="584"/>
      <c r="AE45" s="584"/>
      <c r="AF45" s="584"/>
      <c r="AG45" s="497" t="s">
        <v>2959</v>
      </c>
      <c r="AH45" s="243"/>
      <c r="AI45" s="623" t="s">
        <v>2972</v>
      </c>
      <c r="AJ45" s="245" t="s">
        <v>2973</v>
      </c>
      <c r="AK45" s="245" t="s">
        <v>2974</v>
      </c>
      <c r="AL45" s="236">
        <v>20033</v>
      </c>
      <c r="AM45" s="624" t="s">
        <v>2975</v>
      </c>
      <c r="AN45" s="583" t="s">
        <v>536</v>
      </c>
      <c r="AO45" s="583" t="s">
        <v>536</v>
      </c>
      <c r="AP45" s="583" t="s">
        <v>536</v>
      </c>
      <c r="AQ45" s="583" t="s">
        <v>536</v>
      </c>
      <c r="AR45" s="583" t="s">
        <v>536</v>
      </c>
      <c r="AS45" s="583" t="s">
        <v>536</v>
      </c>
      <c r="AT45" s="583" t="s">
        <v>536</v>
      </c>
      <c r="AU45" s="583" t="s">
        <v>536</v>
      </c>
      <c r="AV45" s="583" t="s">
        <v>536</v>
      </c>
      <c r="AW45" s="583" t="s">
        <v>536</v>
      </c>
      <c r="AX45" s="583" t="s">
        <v>536</v>
      </c>
      <c r="AY45" s="583" t="s">
        <v>536</v>
      </c>
      <c r="AZ45" s="245" t="s">
        <v>2910</v>
      </c>
      <c r="BA45" s="585" t="s">
        <v>2799</v>
      </c>
    </row>
    <row r="46" spans="1:53" ht="195" x14ac:dyDescent="0.25">
      <c r="A46" s="578" t="s">
        <v>438</v>
      </c>
      <c r="B46" s="579" t="s">
        <v>1325</v>
      </c>
      <c r="C46" s="1050"/>
      <c r="D46" s="1050"/>
      <c r="E46" s="1050"/>
      <c r="F46" s="579" t="s">
        <v>2955</v>
      </c>
      <c r="G46" s="1051"/>
      <c r="H46" s="578" t="s">
        <v>2976</v>
      </c>
      <c r="I46" s="578" t="s">
        <v>2977</v>
      </c>
      <c r="J46" s="578" t="s">
        <v>2978</v>
      </c>
      <c r="K46" s="587" t="s">
        <v>1441</v>
      </c>
      <c r="L46" s="578">
        <v>4</v>
      </c>
      <c r="M46" s="136">
        <v>1</v>
      </c>
      <c r="N46" s="136" t="s">
        <v>2977</v>
      </c>
      <c r="O46" s="582">
        <v>25000</v>
      </c>
      <c r="P46" s="582">
        <v>25000</v>
      </c>
      <c r="Q46" s="600">
        <v>5000</v>
      </c>
      <c r="R46" s="584"/>
      <c r="S46" s="584"/>
      <c r="T46" s="584"/>
      <c r="U46" s="584"/>
      <c r="V46" s="584"/>
      <c r="W46" s="584"/>
      <c r="X46" s="584"/>
      <c r="Y46" s="584"/>
      <c r="Z46" s="584"/>
      <c r="AA46" s="584">
        <v>20000</v>
      </c>
      <c r="AB46" s="584"/>
      <c r="AC46" s="584"/>
      <c r="AD46" s="584"/>
      <c r="AE46" s="584"/>
      <c r="AF46" s="584"/>
      <c r="AG46" s="497" t="s">
        <v>2959</v>
      </c>
      <c r="AH46" s="243"/>
      <c r="AI46" s="236" t="s">
        <v>1543</v>
      </c>
      <c r="AJ46" s="236" t="s">
        <v>1471</v>
      </c>
      <c r="AK46" s="245" t="s">
        <v>2979</v>
      </c>
      <c r="AL46" s="236">
        <v>7500</v>
      </c>
      <c r="AM46" s="128" t="s">
        <v>2980</v>
      </c>
      <c r="AN46" s="583"/>
      <c r="AO46" s="583"/>
      <c r="AP46" s="583"/>
      <c r="AQ46" s="583"/>
      <c r="AR46" s="583"/>
      <c r="AS46" s="583"/>
      <c r="AT46" s="583"/>
      <c r="AU46" s="583"/>
      <c r="AV46" s="583" t="s">
        <v>536</v>
      </c>
      <c r="AW46" s="583"/>
      <c r="AX46" s="583"/>
      <c r="AY46" s="583"/>
      <c r="AZ46" s="245" t="s">
        <v>2910</v>
      </c>
      <c r="BA46" s="585" t="s">
        <v>2799</v>
      </c>
    </row>
    <row r="47" spans="1:53" ht="195" x14ac:dyDescent="0.25">
      <c r="A47" s="578" t="s">
        <v>438</v>
      </c>
      <c r="B47" s="579" t="s">
        <v>1325</v>
      </c>
      <c r="C47" s="1048" t="s">
        <v>2981</v>
      </c>
      <c r="D47" s="1048" t="s">
        <v>2982</v>
      </c>
      <c r="E47" s="1055">
        <v>0</v>
      </c>
      <c r="F47" s="579" t="s">
        <v>2955</v>
      </c>
      <c r="G47" s="1051"/>
      <c r="H47" s="604" t="s">
        <v>2983</v>
      </c>
      <c r="I47" s="604" t="s">
        <v>2984</v>
      </c>
      <c r="J47" s="605">
        <v>0</v>
      </c>
      <c r="K47" s="587" t="s">
        <v>2565</v>
      </c>
      <c r="L47" s="605">
        <v>1</v>
      </c>
      <c r="M47" s="174">
        <v>1</v>
      </c>
      <c r="N47" s="154" t="s">
        <v>2984</v>
      </c>
      <c r="O47" s="582">
        <v>22500</v>
      </c>
      <c r="P47" s="582">
        <v>22500</v>
      </c>
      <c r="Q47" s="583">
        <v>22500</v>
      </c>
      <c r="R47" s="584"/>
      <c r="S47" s="584"/>
      <c r="T47" s="584"/>
      <c r="U47" s="584"/>
      <c r="V47" s="584"/>
      <c r="W47" s="584"/>
      <c r="X47" s="584"/>
      <c r="Y47" s="584"/>
      <c r="Z47" s="584"/>
      <c r="AA47" s="584"/>
      <c r="AB47" s="584"/>
      <c r="AC47" s="584"/>
      <c r="AD47" s="584"/>
      <c r="AE47" s="584"/>
      <c r="AF47" s="584"/>
      <c r="AG47" s="497" t="s">
        <v>2959</v>
      </c>
      <c r="AH47" s="243"/>
      <c r="AI47" s="623" t="s">
        <v>2985</v>
      </c>
      <c r="AJ47" s="245" t="s">
        <v>2986</v>
      </c>
      <c r="AK47" s="245" t="s">
        <v>2987</v>
      </c>
      <c r="AL47" s="236">
        <v>42335</v>
      </c>
      <c r="AM47" s="128" t="s">
        <v>2988</v>
      </c>
      <c r="AN47" s="583"/>
      <c r="AO47" s="583"/>
      <c r="AP47" s="583"/>
      <c r="AQ47" s="583" t="s">
        <v>536</v>
      </c>
      <c r="AR47" s="583" t="s">
        <v>536</v>
      </c>
      <c r="AS47" s="583" t="s">
        <v>536</v>
      </c>
      <c r="AT47" s="583" t="s">
        <v>536</v>
      </c>
      <c r="AU47" s="583" t="s">
        <v>536</v>
      </c>
      <c r="AV47" s="583"/>
      <c r="AW47" s="583"/>
      <c r="AX47" s="583"/>
      <c r="AY47" s="583"/>
      <c r="AZ47" s="245" t="s">
        <v>2910</v>
      </c>
      <c r="BA47" s="585" t="s">
        <v>2799</v>
      </c>
    </row>
    <row r="48" spans="1:53" ht="157.5" x14ac:dyDescent="0.25">
      <c r="A48" s="578" t="s">
        <v>438</v>
      </c>
      <c r="B48" s="579" t="s">
        <v>1325</v>
      </c>
      <c r="C48" s="1049"/>
      <c r="D48" s="1049"/>
      <c r="E48" s="1056"/>
      <c r="F48" s="579" t="s">
        <v>2955</v>
      </c>
      <c r="G48" s="1051"/>
      <c r="H48" s="578" t="s">
        <v>2989</v>
      </c>
      <c r="I48" s="578" t="s">
        <v>2990</v>
      </c>
      <c r="J48" s="580">
        <v>0</v>
      </c>
      <c r="K48" s="587" t="s">
        <v>526</v>
      </c>
      <c r="L48" s="580">
        <v>4</v>
      </c>
      <c r="M48" s="174">
        <v>1</v>
      </c>
      <c r="N48" s="136" t="s">
        <v>2990</v>
      </c>
      <c r="O48" s="582">
        <v>5000</v>
      </c>
      <c r="P48" s="582">
        <v>5000</v>
      </c>
      <c r="Q48" s="583">
        <v>5000</v>
      </c>
      <c r="R48" s="584"/>
      <c r="S48" s="584"/>
      <c r="T48" s="584"/>
      <c r="U48" s="584"/>
      <c r="V48" s="584"/>
      <c r="W48" s="584"/>
      <c r="X48" s="584"/>
      <c r="Y48" s="584"/>
      <c r="Z48" s="584"/>
      <c r="AA48" s="584"/>
      <c r="AB48" s="584"/>
      <c r="AC48" s="584"/>
      <c r="AD48" s="584"/>
      <c r="AE48" s="584"/>
      <c r="AF48" s="584"/>
      <c r="AG48" s="497" t="s">
        <v>2959</v>
      </c>
      <c r="AH48" s="243"/>
      <c r="AI48" s="625" t="s">
        <v>2991</v>
      </c>
      <c r="AJ48" s="245" t="s">
        <v>2992</v>
      </c>
      <c r="AK48" s="245" t="s">
        <v>2993</v>
      </c>
      <c r="AL48" s="236">
        <v>22575</v>
      </c>
      <c r="AM48" s="128" t="s">
        <v>2988</v>
      </c>
      <c r="AN48" s="583" t="s">
        <v>536</v>
      </c>
      <c r="AO48" s="583" t="s">
        <v>536</v>
      </c>
      <c r="AP48" s="583" t="s">
        <v>536</v>
      </c>
      <c r="AQ48" s="583" t="s">
        <v>536</v>
      </c>
      <c r="AR48" s="583" t="s">
        <v>536</v>
      </c>
      <c r="AS48" s="583" t="s">
        <v>536</v>
      </c>
      <c r="AT48" s="583" t="s">
        <v>536</v>
      </c>
      <c r="AU48" s="583" t="s">
        <v>536</v>
      </c>
      <c r="AV48" s="583" t="s">
        <v>536</v>
      </c>
      <c r="AW48" s="583" t="s">
        <v>536</v>
      </c>
      <c r="AX48" s="583" t="s">
        <v>536</v>
      </c>
      <c r="AY48" s="583" t="s">
        <v>536</v>
      </c>
      <c r="AZ48" s="245" t="s">
        <v>2910</v>
      </c>
      <c r="BA48" s="585" t="s">
        <v>2799</v>
      </c>
    </row>
    <row r="49" spans="1:53" ht="173.25" x14ac:dyDescent="0.25">
      <c r="A49" s="578" t="s">
        <v>438</v>
      </c>
      <c r="B49" s="579" t="s">
        <v>1325</v>
      </c>
      <c r="C49" s="1049"/>
      <c r="D49" s="1049"/>
      <c r="E49" s="1056"/>
      <c r="F49" s="579" t="s">
        <v>2955</v>
      </c>
      <c r="G49" s="1051"/>
      <c r="H49" s="578" t="s">
        <v>2994</v>
      </c>
      <c r="I49" s="578" t="s">
        <v>2995</v>
      </c>
      <c r="J49" s="580">
        <v>0</v>
      </c>
      <c r="K49" s="587" t="s">
        <v>526</v>
      </c>
      <c r="L49" s="580">
        <v>4</v>
      </c>
      <c r="M49" s="174">
        <v>1</v>
      </c>
      <c r="N49" s="136" t="s">
        <v>2995</v>
      </c>
      <c r="O49" s="582">
        <v>5000</v>
      </c>
      <c r="P49" s="582">
        <v>5000</v>
      </c>
      <c r="Q49" s="583">
        <v>5000</v>
      </c>
      <c r="R49" s="584"/>
      <c r="S49" s="584"/>
      <c r="T49" s="584"/>
      <c r="U49" s="584"/>
      <c r="V49" s="584"/>
      <c r="W49" s="584"/>
      <c r="X49" s="584"/>
      <c r="Y49" s="584"/>
      <c r="Z49" s="584"/>
      <c r="AA49" s="584"/>
      <c r="AB49" s="584"/>
      <c r="AC49" s="584"/>
      <c r="AD49" s="584"/>
      <c r="AE49" s="584"/>
      <c r="AF49" s="584"/>
      <c r="AG49" s="497" t="s">
        <v>2959</v>
      </c>
      <c r="AH49" s="243"/>
      <c r="AI49" s="623" t="s">
        <v>2996</v>
      </c>
      <c r="AJ49" s="236">
        <v>7</v>
      </c>
      <c r="AK49" s="245" t="s">
        <v>2997</v>
      </c>
      <c r="AL49" s="236">
        <v>6800</v>
      </c>
      <c r="AM49" s="562" t="s">
        <v>2998</v>
      </c>
      <c r="AN49" s="583"/>
      <c r="AO49" s="583"/>
      <c r="AP49" s="583"/>
      <c r="AQ49" s="583" t="s">
        <v>536</v>
      </c>
      <c r="AR49" s="583" t="s">
        <v>536</v>
      </c>
      <c r="AS49" s="583" t="s">
        <v>536</v>
      </c>
      <c r="AT49" s="583" t="s">
        <v>536</v>
      </c>
      <c r="AU49" s="583" t="s">
        <v>536</v>
      </c>
      <c r="AV49" s="583" t="s">
        <v>536</v>
      </c>
      <c r="AW49" s="583" t="s">
        <v>536</v>
      </c>
      <c r="AX49" s="583" t="s">
        <v>536</v>
      </c>
      <c r="AY49" s="583" t="s">
        <v>536</v>
      </c>
      <c r="AZ49" s="245" t="s">
        <v>2910</v>
      </c>
      <c r="BA49" s="585" t="s">
        <v>2799</v>
      </c>
    </row>
    <row r="50" spans="1:53" ht="210" x14ac:dyDescent="0.25">
      <c r="A50" s="578" t="s">
        <v>438</v>
      </c>
      <c r="B50" s="579" t="s">
        <v>1325</v>
      </c>
      <c r="C50" s="1050"/>
      <c r="D50" s="1050"/>
      <c r="E50" s="1057"/>
      <c r="F50" s="579" t="s">
        <v>2955</v>
      </c>
      <c r="G50" s="1051"/>
      <c r="H50" s="578" t="s">
        <v>2999</v>
      </c>
      <c r="I50" s="578" t="s">
        <v>3000</v>
      </c>
      <c r="J50" s="580">
        <v>0</v>
      </c>
      <c r="K50" s="587" t="s">
        <v>526</v>
      </c>
      <c r="L50" s="580">
        <v>42</v>
      </c>
      <c r="M50" s="174">
        <v>10</v>
      </c>
      <c r="N50" s="136" t="s">
        <v>3000</v>
      </c>
      <c r="O50" s="582">
        <v>36470</v>
      </c>
      <c r="P50" s="582">
        <v>36470</v>
      </c>
      <c r="Q50" s="583">
        <v>15000</v>
      </c>
      <c r="R50" s="584"/>
      <c r="S50" s="584"/>
      <c r="T50" s="584"/>
      <c r="U50" s="584"/>
      <c r="V50" s="584"/>
      <c r="W50" s="584"/>
      <c r="X50" s="584"/>
      <c r="Y50" s="584"/>
      <c r="Z50" s="584">
        <v>21470</v>
      </c>
      <c r="AA50" s="584"/>
      <c r="AB50" s="584"/>
      <c r="AC50" s="584"/>
      <c r="AD50" s="584"/>
      <c r="AE50" s="584"/>
      <c r="AF50" s="584"/>
      <c r="AG50" s="497" t="s">
        <v>2959</v>
      </c>
      <c r="AH50" s="243"/>
      <c r="AI50" s="626" t="s">
        <v>3001</v>
      </c>
      <c r="AJ50" s="245" t="s">
        <v>3002</v>
      </c>
      <c r="AK50" s="128" t="s">
        <v>3003</v>
      </c>
      <c r="AL50" s="243"/>
      <c r="AM50" s="128" t="s">
        <v>3004</v>
      </c>
      <c r="AN50" s="583" t="s">
        <v>536</v>
      </c>
      <c r="AO50" s="583" t="s">
        <v>536</v>
      </c>
      <c r="AP50" s="583" t="s">
        <v>536</v>
      </c>
      <c r="AQ50" s="583" t="s">
        <v>536</v>
      </c>
      <c r="AR50" s="583" t="s">
        <v>536</v>
      </c>
      <c r="AS50" s="583" t="s">
        <v>536</v>
      </c>
      <c r="AT50" s="583" t="s">
        <v>536</v>
      </c>
      <c r="AU50" s="583" t="s">
        <v>536</v>
      </c>
      <c r="AV50" s="583" t="s">
        <v>536</v>
      </c>
      <c r="AW50" s="583" t="s">
        <v>536</v>
      </c>
      <c r="AX50" s="583" t="s">
        <v>536</v>
      </c>
      <c r="AY50" s="583" t="s">
        <v>536</v>
      </c>
      <c r="AZ50" s="245" t="s">
        <v>2910</v>
      </c>
      <c r="BA50" s="585" t="s">
        <v>2799</v>
      </c>
    </row>
    <row r="51" spans="1:53" ht="225" x14ac:dyDescent="0.25">
      <c r="A51" s="578" t="s">
        <v>438</v>
      </c>
      <c r="B51" s="579" t="s">
        <v>1325</v>
      </c>
      <c r="C51" s="1048" t="s">
        <v>3005</v>
      </c>
      <c r="D51" s="1048" t="s">
        <v>3006</v>
      </c>
      <c r="E51" s="1048">
        <v>2100</v>
      </c>
      <c r="F51" s="578" t="s">
        <v>3007</v>
      </c>
      <c r="G51" s="1051" t="s">
        <v>3008</v>
      </c>
      <c r="H51" s="578" t="s">
        <v>3009</v>
      </c>
      <c r="I51" s="578" t="s">
        <v>3010</v>
      </c>
      <c r="J51" s="578" t="s">
        <v>3011</v>
      </c>
      <c r="K51" s="587" t="s">
        <v>526</v>
      </c>
      <c r="L51" s="578">
        <v>1</v>
      </c>
      <c r="M51" s="136">
        <v>0</v>
      </c>
      <c r="N51" s="136" t="s">
        <v>3010</v>
      </c>
      <c r="O51" s="582">
        <v>0</v>
      </c>
      <c r="P51" s="582">
        <v>0</v>
      </c>
      <c r="Q51" s="583" t="s">
        <v>536</v>
      </c>
      <c r="R51" s="225"/>
      <c r="S51" s="225"/>
      <c r="T51" s="225"/>
      <c r="U51" s="225"/>
      <c r="V51" s="225"/>
      <c r="W51" s="225"/>
      <c r="X51" s="225"/>
      <c r="Y51" s="225"/>
      <c r="Z51" s="225"/>
      <c r="AA51" s="225"/>
      <c r="AB51" s="225"/>
      <c r="AC51" s="225"/>
      <c r="AD51" s="225"/>
      <c r="AE51" s="225"/>
      <c r="AF51" s="225"/>
      <c r="AG51" s="631" t="s">
        <v>2935</v>
      </c>
      <c r="AH51" s="243"/>
      <c r="AI51" s="627" t="s">
        <v>3012</v>
      </c>
      <c r="AJ51" s="245" t="s">
        <v>3013</v>
      </c>
      <c r="AK51" s="128" t="s">
        <v>3014</v>
      </c>
      <c r="AL51" s="236">
        <v>60812</v>
      </c>
      <c r="AM51" s="128" t="s">
        <v>3015</v>
      </c>
      <c r="AN51" s="583" t="s">
        <v>536</v>
      </c>
      <c r="AO51" s="583" t="s">
        <v>536</v>
      </c>
      <c r="AP51" s="583" t="s">
        <v>536</v>
      </c>
      <c r="AQ51" s="583" t="s">
        <v>536</v>
      </c>
      <c r="AR51" s="583" t="s">
        <v>536</v>
      </c>
      <c r="AS51" s="583" t="s">
        <v>536</v>
      </c>
      <c r="AT51" s="583" t="s">
        <v>536</v>
      </c>
      <c r="AU51" s="583" t="s">
        <v>536</v>
      </c>
      <c r="AV51" s="583" t="s">
        <v>536</v>
      </c>
      <c r="AW51" s="583" t="s">
        <v>536</v>
      </c>
      <c r="AX51" s="583" t="s">
        <v>536</v>
      </c>
      <c r="AY51" s="583" t="s">
        <v>536</v>
      </c>
      <c r="AZ51" s="245" t="s">
        <v>2910</v>
      </c>
      <c r="BA51" s="585" t="s">
        <v>2799</v>
      </c>
    </row>
    <row r="52" spans="1:53" ht="144" x14ac:dyDescent="0.25">
      <c r="A52" s="578" t="s">
        <v>438</v>
      </c>
      <c r="B52" s="579" t="s">
        <v>1325</v>
      </c>
      <c r="C52" s="1049"/>
      <c r="D52" s="1049"/>
      <c r="E52" s="1049"/>
      <c r="F52" s="578" t="s">
        <v>3007</v>
      </c>
      <c r="G52" s="1051"/>
      <c r="H52" s="578" t="s">
        <v>3016</v>
      </c>
      <c r="I52" s="578" t="s">
        <v>3017</v>
      </c>
      <c r="J52" s="578">
        <v>0</v>
      </c>
      <c r="K52" s="587" t="s">
        <v>526</v>
      </c>
      <c r="L52" s="578">
        <v>4</v>
      </c>
      <c r="M52" s="136">
        <v>1</v>
      </c>
      <c r="N52" s="136" t="s">
        <v>3017</v>
      </c>
      <c r="O52" s="582">
        <v>5000</v>
      </c>
      <c r="P52" s="582">
        <v>5000</v>
      </c>
      <c r="Q52" s="583">
        <v>5000</v>
      </c>
      <c r="R52" s="225"/>
      <c r="S52" s="225"/>
      <c r="T52" s="225"/>
      <c r="U52" s="225"/>
      <c r="V52" s="225"/>
      <c r="W52" s="225"/>
      <c r="X52" s="225"/>
      <c r="Y52" s="225"/>
      <c r="Z52" s="225"/>
      <c r="AA52" s="225"/>
      <c r="AB52" s="225"/>
      <c r="AC52" s="225"/>
      <c r="AD52" s="225"/>
      <c r="AE52" s="225"/>
      <c r="AF52" s="225"/>
      <c r="AG52" s="631" t="s">
        <v>2935</v>
      </c>
      <c r="AH52" s="243"/>
      <c r="AI52" s="245" t="s">
        <v>3018</v>
      </c>
      <c r="AJ52" s="245" t="s">
        <v>3019</v>
      </c>
      <c r="AK52" s="245" t="s">
        <v>3020</v>
      </c>
      <c r="AL52" s="236">
        <v>6800</v>
      </c>
      <c r="AM52" s="128" t="s">
        <v>3021</v>
      </c>
      <c r="AN52" s="583"/>
      <c r="AO52" s="583"/>
      <c r="AP52" s="583"/>
      <c r="AQ52" s="583"/>
      <c r="AR52" s="583" t="s">
        <v>536</v>
      </c>
      <c r="AS52" s="583" t="s">
        <v>536</v>
      </c>
      <c r="AT52" s="583" t="s">
        <v>536</v>
      </c>
      <c r="AU52" s="583" t="s">
        <v>536</v>
      </c>
      <c r="AV52" s="583" t="s">
        <v>536</v>
      </c>
      <c r="AW52" s="583" t="s">
        <v>536</v>
      </c>
      <c r="AX52" s="583" t="s">
        <v>536</v>
      </c>
      <c r="AY52" s="583" t="s">
        <v>536</v>
      </c>
      <c r="AZ52" s="245" t="s">
        <v>2910</v>
      </c>
      <c r="BA52" s="585" t="s">
        <v>2799</v>
      </c>
    </row>
    <row r="53" spans="1:53" ht="210" x14ac:dyDescent="0.25">
      <c r="A53" s="578" t="s">
        <v>438</v>
      </c>
      <c r="B53" s="579" t="s">
        <v>1325</v>
      </c>
      <c r="C53" s="1049"/>
      <c r="D53" s="1049"/>
      <c r="E53" s="1049"/>
      <c r="F53" s="578" t="s">
        <v>3007</v>
      </c>
      <c r="G53" s="1051"/>
      <c r="H53" s="578" t="s">
        <v>3022</v>
      </c>
      <c r="I53" s="578" t="s">
        <v>3023</v>
      </c>
      <c r="J53" s="578" t="s">
        <v>3024</v>
      </c>
      <c r="K53" s="587" t="s">
        <v>526</v>
      </c>
      <c r="L53" s="606">
        <v>12000</v>
      </c>
      <c r="M53" s="136">
        <v>2500</v>
      </c>
      <c r="N53" s="136" t="s">
        <v>3023</v>
      </c>
      <c r="O53" s="582">
        <v>5000</v>
      </c>
      <c r="P53" s="582">
        <v>5000</v>
      </c>
      <c r="Q53" s="583">
        <v>5000</v>
      </c>
      <c r="R53" s="225"/>
      <c r="S53" s="225"/>
      <c r="T53" s="225"/>
      <c r="U53" s="225"/>
      <c r="V53" s="225"/>
      <c r="W53" s="225"/>
      <c r="X53" s="225"/>
      <c r="Y53" s="225"/>
      <c r="Z53" s="225"/>
      <c r="AA53" s="225"/>
      <c r="AB53" s="225"/>
      <c r="AC53" s="225"/>
      <c r="AD53" s="225"/>
      <c r="AE53" s="225"/>
      <c r="AF53" s="225"/>
      <c r="AG53" s="631" t="s">
        <v>2935</v>
      </c>
      <c r="AH53" s="243"/>
      <c r="AI53" s="614" t="s">
        <v>3025</v>
      </c>
      <c r="AJ53" s="245" t="s">
        <v>3026</v>
      </c>
      <c r="AK53" s="628" t="s">
        <v>2993</v>
      </c>
      <c r="AL53" s="245">
        <v>40500</v>
      </c>
      <c r="AM53" s="128" t="s">
        <v>3027</v>
      </c>
      <c r="AN53" s="583"/>
      <c r="AO53" s="583"/>
      <c r="AP53" s="583"/>
      <c r="AQ53" s="583"/>
      <c r="AR53" s="583" t="s">
        <v>536</v>
      </c>
      <c r="AS53" s="583" t="s">
        <v>536</v>
      </c>
      <c r="AT53" s="583" t="s">
        <v>536</v>
      </c>
      <c r="AU53" s="583" t="s">
        <v>536</v>
      </c>
      <c r="AV53" s="583" t="s">
        <v>536</v>
      </c>
      <c r="AW53" s="583" t="s">
        <v>536</v>
      </c>
      <c r="AX53" s="583" t="s">
        <v>536</v>
      </c>
      <c r="AY53" s="583" t="s">
        <v>536</v>
      </c>
      <c r="AZ53" s="245" t="s">
        <v>2910</v>
      </c>
      <c r="BA53" s="585" t="s">
        <v>2799</v>
      </c>
    </row>
    <row r="54" spans="1:53" ht="240" x14ac:dyDescent="0.25">
      <c r="A54" s="578" t="s">
        <v>438</v>
      </c>
      <c r="B54" s="579" t="s">
        <v>1325</v>
      </c>
      <c r="C54" s="1050"/>
      <c r="D54" s="1050"/>
      <c r="E54" s="1050"/>
      <c r="F54" s="578" t="s">
        <v>3007</v>
      </c>
      <c r="G54" s="1051"/>
      <c r="H54" s="578" t="s">
        <v>3028</v>
      </c>
      <c r="I54" s="578" t="s">
        <v>3029</v>
      </c>
      <c r="J54" s="580">
        <v>0</v>
      </c>
      <c r="K54" s="581" t="s">
        <v>526</v>
      </c>
      <c r="L54" s="580">
        <v>1</v>
      </c>
      <c r="M54" s="174">
        <v>0</v>
      </c>
      <c r="N54" s="136" t="s">
        <v>3029</v>
      </c>
      <c r="O54" s="582">
        <v>0</v>
      </c>
      <c r="P54" s="582">
        <v>0</v>
      </c>
      <c r="Q54" s="583" t="s">
        <v>536</v>
      </c>
      <c r="R54" s="225"/>
      <c r="S54" s="225"/>
      <c r="T54" s="225"/>
      <c r="U54" s="225"/>
      <c r="V54" s="225"/>
      <c r="W54" s="225"/>
      <c r="X54" s="225"/>
      <c r="Y54" s="225"/>
      <c r="Z54" s="225"/>
      <c r="AA54" s="225"/>
      <c r="AB54" s="225"/>
      <c r="AC54" s="225"/>
      <c r="AD54" s="225"/>
      <c r="AE54" s="225"/>
      <c r="AF54" s="225"/>
      <c r="AG54" s="631" t="s">
        <v>2935</v>
      </c>
      <c r="AH54" s="243"/>
      <c r="AI54" s="615" t="s">
        <v>3030</v>
      </c>
      <c r="AJ54" s="128" t="s">
        <v>3031</v>
      </c>
      <c r="AK54" s="128" t="s">
        <v>3032</v>
      </c>
      <c r="AL54" s="128"/>
      <c r="AM54" s="128" t="s">
        <v>3033</v>
      </c>
      <c r="AN54" s="583" t="s">
        <v>536</v>
      </c>
      <c r="AO54" s="583" t="s">
        <v>536</v>
      </c>
      <c r="AP54" s="583" t="s">
        <v>536</v>
      </c>
      <c r="AQ54" s="583" t="s">
        <v>536</v>
      </c>
      <c r="AR54" s="583" t="s">
        <v>536</v>
      </c>
      <c r="AS54" s="583" t="s">
        <v>536</v>
      </c>
      <c r="AT54" s="583" t="s">
        <v>536</v>
      </c>
      <c r="AU54" s="583" t="s">
        <v>536</v>
      </c>
      <c r="AV54" s="583" t="s">
        <v>536</v>
      </c>
      <c r="AW54" s="583" t="s">
        <v>536</v>
      </c>
      <c r="AX54" s="583" t="s">
        <v>536</v>
      </c>
      <c r="AY54" s="583" t="s">
        <v>536</v>
      </c>
      <c r="AZ54" s="245" t="s">
        <v>2910</v>
      </c>
      <c r="BA54" s="585" t="s">
        <v>2799</v>
      </c>
    </row>
    <row r="55" spans="1:53" ht="210" x14ac:dyDescent="0.25">
      <c r="A55" s="578" t="s">
        <v>438</v>
      </c>
      <c r="B55" s="579" t="s">
        <v>1325</v>
      </c>
      <c r="C55" s="1048" t="s">
        <v>3034</v>
      </c>
      <c r="D55" s="1048" t="s">
        <v>3035</v>
      </c>
      <c r="E55" s="1048">
        <v>0</v>
      </c>
      <c r="F55" s="602" t="s">
        <v>3036</v>
      </c>
      <c r="G55" s="1048" t="s">
        <v>3037</v>
      </c>
      <c r="H55" s="578" t="s">
        <v>3038</v>
      </c>
      <c r="I55" s="578" t="s">
        <v>3039</v>
      </c>
      <c r="J55" s="578">
        <v>0</v>
      </c>
      <c r="K55" s="587" t="s">
        <v>526</v>
      </c>
      <c r="L55" s="578">
        <v>42</v>
      </c>
      <c r="M55" s="136">
        <v>5</v>
      </c>
      <c r="N55" s="607" t="s">
        <v>3039</v>
      </c>
      <c r="O55" s="582">
        <v>15000</v>
      </c>
      <c r="P55" s="582">
        <v>15000</v>
      </c>
      <c r="Q55" s="583">
        <v>15000</v>
      </c>
      <c r="R55" s="225"/>
      <c r="S55" s="225"/>
      <c r="T55" s="225"/>
      <c r="U55" s="225"/>
      <c r="V55" s="225"/>
      <c r="W55" s="225"/>
      <c r="X55" s="225"/>
      <c r="Y55" s="225"/>
      <c r="Z55" s="225"/>
      <c r="AA55" s="225"/>
      <c r="AB55" s="225"/>
      <c r="AC55" s="225"/>
      <c r="AD55" s="225"/>
      <c r="AE55" s="225"/>
      <c r="AF55" s="225"/>
      <c r="AG55" s="631" t="s">
        <v>2907</v>
      </c>
      <c r="AH55" s="243"/>
      <c r="AI55" s="627" t="s">
        <v>3040</v>
      </c>
      <c r="AJ55" s="245" t="s">
        <v>3041</v>
      </c>
      <c r="AK55" s="245" t="s">
        <v>3042</v>
      </c>
      <c r="AL55" s="236">
        <v>53619</v>
      </c>
      <c r="AM55" s="618" t="s">
        <v>3043</v>
      </c>
      <c r="AN55" s="583" t="s">
        <v>536</v>
      </c>
      <c r="AO55" s="583" t="s">
        <v>536</v>
      </c>
      <c r="AP55" s="583" t="s">
        <v>536</v>
      </c>
      <c r="AQ55" s="583" t="s">
        <v>536</v>
      </c>
      <c r="AR55" s="583" t="s">
        <v>536</v>
      </c>
      <c r="AS55" s="583" t="s">
        <v>536</v>
      </c>
      <c r="AT55" s="583" t="s">
        <v>536</v>
      </c>
      <c r="AU55" s="583" t="s">
        <v>536</v>
      </c>
      <c r="AV55" s="583" t="s">
        <v>536</v>
      </c>
      <c r="AW55" s="583" t="s">
        <v>536</v>
      </c>
      <c r="AX55" s="583" t="s">
        <v>536</v>
      </c>
      <c r="AY55" s="583" t="s">
        <v>536</v>
      </c>
      <c r="AZ55" s="245" t="s">
        <v>2910</v>
      </c>
      <c r="BA55" s="585" t="s">
        <v>2799</v>
      </c>
    </row>
    <row r="56" spans="1:53" ht="199.5" x14ac:dyDescent="0.25">
      <c r="A56" s="578" t="s">
        <v>438</v>
      </c>
      <c r="B56" s="579" t="s">
        <v>1325</v>
      </c>
      <c r="C56" s="1050"/>
      <c r="D56" s="1050"/>
      <c r="E56" s="1050"/>
      <c r="F56" s="578" t="s">
        <v>3036</v>
      </c>
      <c r="G56" s="1050"/>
      <c r="H56" s="578" t="s">
        <v>3044</v>
      </c>
      <c r="I56" s="578" t="s">
        <v>3045</v>
      </c>
      <c r="J56" s="580">
        <v>0</v>
      </c>
      <c r="K56" s="587" t="s">
        <v>526</v>
      </c>
      <c r="L56" s="580">
        <v>4</v>
      </c>
      <c r="M56" s="174">
        <v>1</v>
      </c>
      <c r="N56" s="136" t="s">
        <v>3045</v>
      </c>
      <c r="O56" s="582">
        <v>14625</v>
      </c>
      <c r="P56" s="582">
        <v>14625</v>
      </c>
      <c r="Q56" s="583">
        <v>14625</v>
      </c>
      <c r="R56" s="225"/>
      <c r="S56" s="225"/>
      <c r="T56" s="225"/>
      <c r="U56" s="225"/>
      <c r="V56" s="225"/>
      <c r="W56" s="225"/>
      <c r="X56" s="225"/>
      <c r="Y56" s="225"/>
      <c r="Z56" s="225"/>
      <c r="AA56" s="225"/>
      <c r="AB56" s="225"/>
      <c r="AC56" s="225"/>
      <c r="AD56" s="225"/>
      <c r="AE56" s="225"/>
      <c r="AF56" s="225"/>
      <c r="AG56" s="631" t="s">
        <v>2907</v>
      </c>
      <c r="AH56" s="243"/>
      <c r="AI56" s="629" t="s">
        <v>3046</v>
      </c>
      <c r="AJ56" s="236">
        <v>7</v>
      </c>
      <c r="AK56" s="128" t="s">
        <v>3047</v>
      </c>
      <c r="AL56" s="236">
        <v>64200</v>
      </c>
      <c r="AM56" s="128" t="s">
        <v>3048</v>
      </c>
      <c r="AN56" s="583" t="s">
        <v>536</v>
      </c>
      <c r="AO56" s="583" t="s">
        <v>536</v>
      </c>
      <c r="AP56" s="583" t="s">
        <v>536</v>
      </c>
      <c r="AQ56" s="583" t="s">
        <v>536</v>
      </c>
      <c r="AR56" s="583" t="s">
        <v>536</v>
      </c>
      <c r="AS56" s="583" t="s">
        <v>536</v>
      </c>
      <c r="AT56" s="583" t="s">
        <v>536</v>
      </c>
      <c r="AU56" s="583" t="s">
        <v>536</v>
      </c>
      <c r="AV56" s="583" t="s">
        <v>536</v>
      </c>
      <c r="AW56" s="583" t="s">
        <v>536</v>
      </c>
      <c r="AX56" s="583" t="s">
        <v>536</v>
      </c>
      <c r="AY56" s="583" t="s">
        <v>536</v>
      </c>
      <c r="AZ56" s="245" t="s">
        <v>2910</v>
      </c>
      <c r="BA56" s="585" t="s">
        <v>2799</v>
      </c>
    </row>
    <row r="57" spans="1:53" ht="120.75" thickBot="1" x14ac:dyDescent="0.3">
      <c r="A57" s="578" t="s">
        <v>438</v>
      </c>
      <c r="B57" s="579" t="s">
        <v>1325</v>
      </c>
      <c r="C57" s="1048" t="s">
        <v>3049</v>
      </c>
      <c r="D57" s="1048" t="s">
        <v>3050</v>
      </c>
      <c r="E57" s="1048" t="s">
        <v>3051</v>
      </c>
      <c r="F57" s="579" t="s">
        <v>3052</v>
      </c>
      <c r="G57" s="1051" t="s">
        <v>3053</v>
      </c>
      <c r="H57" s="578" t="s">
        <v>3054</v>
      </c>
      <c r="I57" s="578" t="s">
        <v>3055</v>
      </c>
      <c r="J57" s="578">
        <v>0</v>
      </c>
      <c r="K57" s="587" t="s">
        <v>526</v>
      </c>
      <c r="L57" s="578">
        <v>1</v>
      </c>
      <c r="M57" s="578">
        <v>0</v>
      </c>
      <c r="N57" s="578" t="s">
        <v>3055</v>
      </c>
      <c r="O57" s="582">
        <v>0</v>
      </c>
      <c r="P57" s="582">
        <v>0</v>
      </c>
      <c r="Q57" s="583" t="s">
        <v>536</v>
      </c>
      <c r="R57" s="584"/>
      <c r="S57" s="584"/>
      <c r="T57" s="584"/>
      <c r="U57" s="584"/>
      <c r="V57" s="584"/>
      <c r="W57" s="584"/>
      <c r="X57" s="584"/>
      <c r="Y57" s="584"/>
      <c r="Z57" s="584"/>
      <c r="AA57" s="584"/>
      <c r="AB57" s="584"/>
      <c r="AC57" s="584"/>
      <c r="AD57" s="584"/>
      <c r="AE57" s="584"/>
      <c r="AF57" s="584"/>
      <c r="AG57" s="584" t="s">
        <v>2885</v>
      </c>
      <c r="AH57" s="584" t="s">
        <v>2885</v>
      </c>
      <c r="AI57" s="584">
        <v>42</v>
      </c>
      <c r="AJ57" s="584">
        <v>7</v>
      </c>
      <c r="AK57" s="584"/>
      <c r="AL57" s="588">
        <v>0</v>
      </c>
      <c r="AM57" s="578" t="s">
        <v>3054</v>
      </c>
      <c r="AN57" s="583" t="s">
        <v>536</v>
      </c>
      <c r="AO57" s="583" t="s">
        <v>536</v>
      </c>
      <c r="AP57" s="583" t="s">
        <v>536</v>
      </c>
      <c r="AQ57" s="583" t="s">
        <v>536</v>
      </c>
      <c r="AR57" s="583" t="s">
        <v>536</v>
      </c>
      <c r="AS57" s="583" t="s">
        <v>536</v>
      </c>
      <c r="AT57" s="583" t="s">
        <v>536</v>
      </c>
      <c r="AU57" s="583" t="s">
        <v>536</v>
      </c>
      <c r="AV57" s="583" t="s">
        <v>536</v>
      </c>
      <c r="AW57" s="583" t="s">
        <v>536</v>
      </c>
      <c r="AX57" s="583" t="s">
        <v>536</v>
      </c>
      <c r="AY57" s="583" t="s">
        <v>536</v>
      </c>
      <c r="AZ57" s="585" t="s">
        <v>2898</v>
      </c>
      <c r="BA57" s="585" t="s">
        <v>2799</v>
      </c>
    </row>
    <row r="58" spans="1:53" ht="120.75" thickBot="1" x14ac:dyDescent="0.3">
      <c r="A58" s="578" t="s">
        <v>438</v>
      </c>
      <c r="B58" s="579" t="s">
        <v>1325</v>
      </c>
      <c r="C58" s="1049"/>
      <c r="D58" s="1049"/>
      <c r="E58" s="1049"/>
      <c r="F58" s="579" t="s">
        <v>3052</v>
      </c>
      <c r="G58" s="1051"/>
      <c r="H58" s="578" t="s">
        <v>3056</v>
      </c>
      <c r="I58" s="578" t="s">
        <v>3057</v>
      </c>
      <c r="J58" s="578">
        <v>0</v>
      </c>
      <c r="K58" s="587" t="s">
        <v>526</v>
      </c>
      <c r="L58" s="578">
        <v>42</v>
      </c>
      <c r="M58" s="578">
        <v>8</v>
      </c>
      <c r="N58" s="578" t="s">
        <v>3057</v>
      </c>
      <c r="O58" s="582">
        <v>64400</v>
      </c>
      <c r="P58" s="582">
        <v>64400</v>
      </c>
      <c r="Q58" s="600">
        <v>38400</v>
      </c>
      <c r="R58" s="584"/>
      <c r="S58" s="584"/>
      <c r="T58" s="584"/>
      <c r="U58" s="584"/>
      <c r="V58" s="584"/>
      <c r="W58" s="584"/>
      <c r="X58" s="584"/>
      <c r="Y58" s="584"/>
      <c r="Z58" s="584"/>
      <c r="AA58" s="584"/>
      <c r="AB58" s="584"/>
      <c r="AC58" s="584"/>
      <c r="AD58" s="584">
        <v>26000</v>
      </c>
      <c r="AE58" s="584"/>
      <c r="AF58" s="584"/>
      <c r="AG58" s="584" t="s">
        <v>2885</v>
      </c>
      <c r="AH58" s="584" t="s">
        <v>2885</v>
      </c>
      <c r="AI58" s="584">
        <v>42</v>
      </c>
      <c r="AJ58" s="584">
        <v>7</v>
      </c>
      <c r="AK58" s="584"/>
      <c r="AL58" s="588">
        <v>64400</v>
      </c>
      <c r="AM58" s="578" t="s">
        <v>3058</v>
      </c>
      <c r="AN58" s="583" t="s">
        <v>536</v>
      </c>
      <c r="AO58" s="583" t="s">
        <v>536</v>
      </c>
      <c r="AP58" s="583" t="s">
        <v>536</v>
      </c>
      <c r="AQ58" s="583" t="s">
        <v>536</v>
      </c>
      <c r="AR58" s="583" t="s">
        <v>536</v>
      </c>
      <c r="AS58" s="583" t="s">
        <v>536</v>
      </c>
      <c r="AT58" s="583" t="s">
        <v>536</v>
      </c>
      <c r="AU58" s="583" t="s">
        <v>536</v>
      </c>
      <c r="AV58" s="583" t="s">
        <v>536</v>
      </c>
      <c r="AW58" s="583" t="s">
        <v>536</v>
      </c>
      <c r="AX58" s="583" t="s">
        <v>536</v>
      </c>
      <c r="AY58" s="583" t="s">
        <v>536</v>
      </c>
      <c r="AZ58" s="585" t="s">
        <v>2898</v>
      </c>
      <c r="BA58" s="585" t="s">
        <v>2799</v>
      </c>
    </row>
    <row r="59" spans="1:53" ht="120.75" thickBot="1" x14ac:dyDescent="0.3">
      <c r="A59" s="578" t="s">
        <v>438</v>
      </c>
      <c r="B59" s="579" t="s">
        <v>1325</v>
      </c>
      <c r="C59" s="1049"/>
      <c r="D59" s="1049"/>
      <c r="E59" s="1049"/>
      <c r="F59" s="579" t="s">
        <v>3052</v>
      </c>
      <c r="G59" s="1051"/>
      <c r="H59" s="578" t="s">
        <v>3059</v>
      </c>
      <c r="I59" s="578" t="s">
        <v>3060</v>
      </c>
      <c r="J59" s="578">
        <v>42</v>
      </c>
      <c r="K59" s="587" t="s">
        <v>526</v>
      </c>
      <c r="L59" s="578">
        <v>84</v>
      </c>
      <c r="M59" s="578">
        <v>28</v>
      </c>
      <c r="N59" s="578" t="s">
        <v>3060</v>
      </c>
      <c r="O59" s="582">
        <v>59800</v>
      </c>
      <c r="P59" s="582">
        <v>59800</v>
      </c>
      <c r="Q59" s="583">
        <v>59800</v>
      </c>
      <c r="R59" s="584"/>
      <c r="S59" s="584"/>
      <c r="T59" s="584"/>
      <c r="U59" s="584"/>
      <c r="V59" s="584"/>
      <c r="W59" s="584"/>
      <c r="X59" s="584"/>
      <c r="Y59" s="584"/>
      <c r="Z59" s="584"/>
      <c r="AA59" s="584"/>
      <c r="AB59" s="584"/>
      <c r="AC59" s="584"/>
      <c r="AD59" s="584"/>
      <c r="AE59" s="584"/>
      <c r="AF59" s="584"/>
      <c r="AG59" s="584" t="s">
        <v>2885</v>
      </c>
      <c r="AH59" s="584" t="s">
        <v>2885</v>
      </c>
      <c r="AI59" s="584">
        <v>42</v>
      </c>
      <c r="AJ59" s="584">
        <v>7</v>
      </c>
      <c r="AK59" s="584"/>
      <c r="AL59" s="588">
        <v>59800</v>
      </c>
      <c r="AM59" s="578" t="s">
        <v>3061</v>
      </c>
      <c r="AN59" s="583" t="s">
        <v>536</v>
      </c>
      <c r="AO59" s="583" t="s">
        <v>536</v>
      </c>
      <c r="AP59" s="583" t="s">
        <v>536</v>
      </c>
      <c r="AQ59" s="583" t="s">
        <v>536</v>
      </c>
      <c r="AR59" s="583" t="s">
        <v>536</v>
      </c>
      <c r="AS59" s="583" t="s">
        <v>536</v>
      </c>
      <c r="AT59" s="583" t="s">
        <v>536</v>
      </c>
      <c r="AU59" s="583" t="s">
        <v>536</v>
      </c>
      <c r="AV59" s="583" t="s">
        <v>536</v>
      </c>
      <c r="AW59" s="583" t="s">
        <v>536</v>
      </c>
      <c r="AX59" s="583" t="s">
        <v>536</v>
      </c>
      <c r="AY59" s="583" t="s">
        <v>536</v>
      </c>
      <c r="AZ59" s="585" t="s">
        <v>2898</v>
      </c>
      <c r="BA59" s="585" t="s">
        <v>2799</v>
      </c>
    </row>
    <row r="60" spans="1:53" ht="132.75" thickBot="1" x14ac:dyDescent="0.3">
      <c r="A60" s="578" t="s">
        <v>438</v>
      </c>
      <c r="B60" s="579" t="s">
        <v>1325</v>
      </c>
      <c r="C60" s="1049"/>
      <c r="D60" s="1049"/>
      <c r="E60" s="1049"/>
      <c r="F60" s="579" t="s">
        <v>3052</v>
      </c>
      <c r="G60" s="1051"/>
      <c r="H60" s="578" t="s">
        <v>3062</v>
      </c>
      <c r="I60" s="578" t="s">
        <v>3063</v>
      </c>
      <c r="J60" s="578" t="s">
        <v>3064</v>
      </c>
      <c r="K60" s="587" t="s">
        <v>526</v>
      </c>
      <c r="L60" s="590">
        <v>1</v>
      </c>
      <c r="M60" s="590">
        <v>0.19</v>
      </c>
      <c r="N60" s="578" t="s">
        <v>3063</v>
      </c>
      <c r="O60" s="582">
        <v>23000</v>
      </c>
      <c r="P60" s="582">
        <v>23000</v>
      </c>
      <c r="Q60" s="583">
        <v>23000</v>
      </c>
      <c r="R60" s="584"/>
      <c r="S60" s="584"/>
      <c r="T60" s="584"/>
      <c r="U60" s="584"/>
      <c r="V60" s="584"/>
      <c r="W60" s="584"/>
      <c r="X60" s="584"/>
      <c r="Y60" s="584"/>
      <c r="Z60" s="584"/>
      <c r="AA60" s="584"/>
      <c r="AB60" s="584"/>
      <c r="AC60" s="584"/>
      <c r="AD60" s="584"/>
      <c r="AE60" s="584"/>
      <c r="AF60" s="584"/>
      <c r="AG60" s="584" t="s">
        <v>2885</v>
      </c>
      <c r="AH60" s="584" t="s">
        <v>2885</v>
      </c>
      <c r="AI60" s="584">
        <v>42</v>
      </c>
      <c r="AJ60" s="584">
        <v>7</v>
      </c>
      <c r="AK60" s="584"/>
      <c r="AL60" s="588">
        <v>23000</v>
      </c>
      <c r="AM60" s="578" t="s">
        <v>3065</v>
      </c>
      <c r="AN60" s="583" t="s">
        <v>536</v>
      </c>
      <c r="AO60" s="583" t="s">
        <v>536</v>
      </c>
      <c r="AP60" s="583" t="s">
        <v>536</v>
      </c>
      <c r="AQ60" s="583" t="s">
        <v>536</v>
      </c>
      <c r="AR60" s="583" t="s">
        <v>536</v>
      </c>
      <c r="AS60" s="583" t="s">
        <v>536</v>
      </c>
      <c r="AT60" s="583" t="s">
        <v>536</v>
      </c>
      <c r="AU60" s="583" t="s">
        <v>536</v>
      </c>
      <c r="AV60" s="583" t="s">
        <v>536</v>
      </c>
      <c r="AW60" s="583" t="s">
        <v>536</v>
      </c>
      <c r="AX60" s="583" t="s">
        <v>536</v>
      </c>
      <c r="AY60" s="583" t="s">
        <v>536</v>
      </c>
      <c r="AZ60" s="585" t="s">
        <v>2898</v>
      </c>
      <c r="BA60" s="585" t="s">
        <v>2799</v>
      </c>
    </row>
    <row r="61" spans="1:53" ht="120.75" thickBot="1" x14ac:dyDescent="0.3">
      <c r="A61" s="578" t="s">
        <v>438</v>
      </c>
      <c r="B61" s="579" t="s">
        <v>1325</v>
      </c>
      <c r="C61" s="1049"/>
      <c r="D61" s="1049"/>
      <c r="E61" s="1049"/>
      <c r="F61" s="580" t="s">
        <v>3066</v>
      </c>
      <c r="G61" s="1051" t="s">
        <v>3067</v>
      </c>
      <c r="H61" s="578" t="s">
        <v>3068</v>
      </c>
      <c r="I61" s="578" t="s">
        <v>3069</v>
      </c>
      <c r="J61" s="578">
        <v>0</v>
      </c>
      <c r="K61" s="587" t="s">
        <v>526</v>
      </c>
      <c r="L61" s="578">
        <v>84</v>
      </c>
      <c r="M61" s="578">
        <v>18</v>
      </c>
      <c r="N61" s="578" t="s">
        <v>3069</v>
      </c>
      <c r="O61" s="582">
        <v>49168</v>
      </c>
      <c r="P61" s="582">
        <v>49168</v>
      </c>
      <c r="Q61" s="600">
        <v>21168</v>
      </c>
      <c r="R61" s="584"/>
      <c r="S61" s="584"/>
      <c r="T61" s="584"/>
      <c r="U61" s="584"/>
      <c r="V61" s="584"/>
      <c r="W61" s="584"/>
      <c r="X61" s="584"/>
      <c r="Y61" s="584"/>
      <c r="Z61" s="584"/>
      <c r="AA61" s="584"/>
      <c r="AB61" s="584"/>
      <c r="AC61" s="584"/>
      <c r="AD61" s="584">
        <v>28000</v>
      </c>
      <c r="AE61" s="584"/>
      <c r="AF61" s="584"/>
      <c r="AG61" s="584" t="s">
        <v>2885</v>
      </c>
      <c r="AH61" s="584" t="s">
        <v>2885</v>
      </c>
      <c r="AI61" s="584">
        <v>42</v>
      </c>
      <c r="AJ61" s="584">
        <v>7</v>
      </c>
      <c r="AK61" s="584"/>
      <c r="AL61" s="588">
        <v>49168</v>
      </c>
      <c r="AM61" s="578" t="s">
        <v>3070</v>
      </c>
      <c r="AN61" s="583" t="s">
        <v>536</v>
      </c>
      <c r="AO61" s="583" t="s">
        <v>536</v>
      </c>
      <c r="AP61" s="583" t="s">
        <v>536</v>
      </c>
      <c r="AQ61" s="583" t="s">
        <v>536</v>
      </c>
      <c r="AR61" s="583" t="s">
        <v>536</v>
      </c>
      <c r="AS61" s="583" t="s">
        <v>536</v>
      </c>
      <c r="AT61" s="583" t="s">
        <v>536</v>
      </c>
      <c r="AU61" s="583" t="s">
        <v>536</v>
      </c>
      <c r="AV61" s="583" t="s">
        <v>536</v>
      </c>
      <c r="AW61" s="583" t="s">
        <v>536</v>
      </c>
      <c r="AX61" s="583" t="s">
        <v>536</v>
      </c>
      <c r="AY61" s="583" t="s">
        <v>536</v>
      </c>
      <c r="AZ61" s="585" t="s">
        <v>2898</v>
      </c>
      <c r="BA61" s="585" t="s">
        <v>2799</v>
      </c>
    </row>
    <row r="62" spans="1:53" ht="84.75" thickBot="1" x14ac:dyDescent="0.3">
      <c r="A62" s="578" t="s">
        <v>438</v>
      </c>
      <c r="B62" s="579" t="s">
        <v>1325</v>
      </c>
      <c r="C62" s="1049"/>
      <c r="D62" s="1049"/>
      <c r="E62" s="1049"/>
      <c r="F62" s="574" t="s">
        <v>3066</v>
      </c>
      <c r="G62" s="1051"/>
      <c r="H62" s="578" t="s">
        <v>3071</v>
      </c>
      <c r="I62" s="578" t="s">
        <v>3072</v>
      </c>
      <c r="J62" s="578">
        <v>12</v>
      </c>
      <c r="K62" s="587" t="s">
        <v>526</v>
      </c>
      <c r="L62" s="578">
        <v>28</v>
      </c>
      <c r="M62" s="578">
        <v>3</v>
      </c>
      <c r="N62" s="578" t="s">
        <v>3072</v>
      </c>
      <c r="O62" s="582">
        <v>35000</v>
      </c>
      <c r="P62" s="582">
        <v>35000</v>
      </c>
      <c r="Q62" s="600" t="s">
        <v>536</v>
      </c>
      <c r="R62" s="584"/>
      <c r="S62" s="584"/>
      <c r="T62" s="584"/>
      <c r="U62" s="584"/>
      <c r="V62" s="584"/>
      <c r="W62" s="584"/>
      <c r="X62" s="584"/>
      <c r="Y62" s="584"/>
      <c r="Z62" s="584"/>
      <c r="AA62" s="584"/>
      <c r="AB62" s="584"/>
      <c r="AC62" s="584"/>
      <c r="AD62" s="584">
        <v>35000</v>
      </c>
      <c r="AE62" s="584"/>
      <c r="AF62" s="584"/>
      <c r="AG62" s="584" t="s">
        <v>2885</v>
      </c>
      <c r="AH62" s="584" t="s">
        <v>2885</v>
      </c>
      <c r="AI62" s="584">
        <v>42</v>
      </c>
      <c r="AJ62" s="584">
        <v>7</v>
      </c>
      <c r="AK62" s="584"/>
      <c r="AL62" s="588">
        <v>35000</v>
      </c>
      <c r="AM62" s="578" t="s">
        <v>3073</v>
      </c>
      <c r="AN62" s="583" t="s">
        <v>536</v>
      </c>
      <c r="AO62" s="583" t="s">
        <v>536</v>
      </c>
      <c r="AP62" s="583" t="s">
        <v>536</v>
      </c>
      <c r="AQ62" s="583" t="s">
        <v>536</v>
      </c>
      <c r="AR62" s="583" t="s">
        <v>536</v>
      </c>
      <c r="AS62" s="583" t="s">
        <v>536</v>
      </c>
      <c r="AT62" s="583" t="s">
        <v>536</v>
      </c>
      <c r="AU62" s="583" t="s">
        <v>536</v>
      </c>
      <c r="AV62" s="583" t="s">
        <v>536</v>
      </c>
      <c r="AW62" s="583" t="s">
        <v>536</v>
      </c>
      <c r="AX62" s="583" t="s">
        <v>536</v>
      </c>
      <c r="AY62" s="583" t="s">
        <v>536</v>
      </c>
      <c r="AZ62" s="585" t="s">
        <v>2898</v>
      </c>
      <c r="BA62" s="585" t="s">
        <v>2799</v>
      </c>
    </row>
    <row r="63" spans="1:53" ht="96.75" thickBot="1" x14ac:dyDescent="0.3">
      <c r="A63" s="578" t="s">
        <v>438</v>
      </c>
      <c r="B63" s="579" t="s">
        <v>1325</v>
      </c>
      <c r="C63" s="1049"/>
      <c r="D63" s="1049"/>
      <c r="E63" s="1049"/>
      <c r="F63" s="579" t="s">
        <v>3074</v>
      </c>
      <c r="G63" s="1051" t="s">
        <v>3075</v>
      </c>
      <c r="H63" s="578" t="s">
        <v>3076</v>
      </c>
      <c r="I63" s="578" t="s">
        <v>3077</v>
      </c>
      <c r="J63" s="578">
        <v>0</v>
      </c>
      <c r="K63" s="587" t="s">
        <v>526</v>
      </c>
      <c r="L63" s="578">
        <v>84</v>
      </c>
      <c r="M63" s="578">
        <v>21</v>
      </c>
      <c r="N63" s="578" t="s">
        <v>3077</v>
      </c>
      <c r="O63" s="582">
        <v>209631</v>
      </c>
      <c r="P63" s="582">
        <v>209631</v>
      </c>
      <c r="Q63" s="600" t="s">
        <v>536</v>
      </c>
      <c r="R63" s="584"/>
      <c r="S63" s="584"/>
      <c r="T63" s="584"/>
      <c r="U63" s="584"/>
      <c r="V63" s="584"/>
      <c r="W63" s="584"/>
      <c r="X63" s="584"/>
      <c r="Y63" s="584"/>
      <c r="Z63" s="584">
        <v>209631</v>
      </c>
      <c r="AA63" s="584"/>
      <c r="AB63" s="584"/>
      <c r="AC63" s="584"/>
      <c r="AD63" s="584"/>
      <c r="AE63" s="584"/>
      <c r="AF63" s="584"/>
      <c r="AG63" s="584" t="s">
        <v>2885</v>
      </c>
      <c r="AH63" s="584" t="s">
        <v>2885</v>
      </c>
      <c r="AI63" s="584">
        <v>42</v>
      </c>
      <c r="AJ63" s="584">
        <v>7</v>
      </c>
      <c r="AK63" s="584"/>
      <c r="AL63" s="588">
        <v>209631</v>
      </c>
      <c r="AM63" s="578" t="s">
        <v>3078</v>
      </c>
      <c r="AN63" s="583" t="s">
        <v>536</v>
      </c>
      <c r="AO63" s="583" t="s">
        <v>536</v>
      </c>
      <c r="AP63" s="583" t="s">
        <v>536</v>
      </c>
      <c r="AQ63" s="583" t="s">
        <v>536</v>
      </c>
      <c r="AR63" s="583" t="s">
        <v>536</v>
      </c>
      <c r="AS63" s="583" t="s">
        <v>536</v>
      </c>
      <c r="AT63" s="583" t="s">
        <v>536</v>
      </c>
      <c r="AU63" s="583" t="s">
        <v>536</v>
      </c>
      <c r="AV63" s="583" t="s">
        <v>536</v>
      </c>
      <c r="AW63" s="583" t="s">
        <v>536</v>
      </c>
      <c r="AX63" s="583" t="s">
        <v>536</v>
      </c>
      <c r="AY63" s="583" t="s">
        <v>536</v>
      </c>
      <c r="AZ63" s="585" t="s">
        <v>2898</v>
      </c>
      <c r="BA63" s="585" t="s">
        <v>2799</v>
      </c>
    </row>
    <row r="64" spans="1:53" ht="132.75" thickBot="1" x14ac:dyDescent="0.3">
      <c r="A64" s="578" t="s">
        <v>438</v>
      </c>
      <c r="B64" s="579" t="s">
        <v>1325</v>
      </c>
      <c r="C64" s="1049"/>
      <c r="D64" s="1049"/>
      <c r="E64" s="1049"/>
      <c r="F64" s="579" t="s">
        <v>3074</v>
      </c>
      <c r="G64" s="1051"/>
      <c r="H64" s="578" t="s">
        <v>3079</v>
      </c>
      <c r="I64" s="578" t="s">
        <v>3080</v>
      </c>
      <c r="J64" s="578" t="s">
        <v>3081</v>
      </c>
      <c r="K64" s="587" t="s">
        <v>526</v>
      </c>
      <c r="L64" s="578">
        <v>20</v>
      </c>
      <c r="M64" s="578">
        <v>0</v>
      </c>
      <c r="N64" s="578" t="s">
        <v>3080</v>
      </c>
      <c r="O64" s="582">
        <v>0</v>
      </c>
      <c r="P64" s="582">
        <v>0</v>
      </c>
      <c r="Q64" s="583" t="s">
        <v>536</v>
      </c>
      <c r="R64" s="584"/>
      <c r="S64" s="584"/>
      <c r="T64" s="584"/>
      <c r="U64" s="584"/>
      <c r="V64" s="584"/>
      <c r="W64" s="584"/>
      <c r="X64" s="584"/>
      <c r="Y64" s="584"/>
      <c r="Z64" s="584"/>
      <c r="AA64" s="584"/>
      <c r="AB64" s="584"/>
      <c r="AC64" s="584"/>
      <c r="AD64" s="584"/>
      <c r="AE64" s="584"/>
      <c r="AF64" s="584"/>
      <c r="AG64" s="584" t="s">
        <v>2885</v>
      </c>
      <c r="AH64" s="584" t="s">
        <v>2885</v>
      </c>
      <c r="AI64" s="584">
        <v>42</v>
      </c>
      <c r="AJ64" s="584">
        <v>7</v>
      </c>
      <c r="AK64" s="584"/>
      <c r="AL64" s="588">
        <v>0</v>
      </c>
      <c r="AM64" s="578"/>
      <c r="AN64" s="583"/>
      <c r="AO64" s="583"/>
      <c r="AP64" s="583"/>
      <c r="AQ64" s="583"/>
      <c r="AR64" s="583"/>
      <c r="AS64" s="583"/>
      <c r="AT64" s="583"/>
      <c r="AU64" s="583"/>
      <c r="AV64" s="583"/>
      <c r="AW64" s="583"/>
      <c r="AX64" s="583"/>
      <c r="AY64" s="583"/>
      <c r="AZ64" s="585" t="s">
        <v>2898</v>
      </c>
      <c r="BA64" s="585" t="s">
        <v>2799</v>
      </c>
    </row>
    <row r="65" spans="1:53" ht="84.75" thickBot="1" x14ac:dyDescent="0.3">
      <c r="A65" s="578" t="s">
        <v>438</v>
      </c>
      <c r="B65" s="579" t="s">
        <v>1325</v>
      </c>
      <c r="C65" s="1049"/>
      <c r="D65" s="1049"/>
      <c r="E65" s="1049"/>
      <c r="F65" s="579" t="s">
        <v>3074</v>
      </c>
      <c r="G65" s="1051"/>
      <c r="H65" s="578" t="s">
        <v>3082</v>
      </c>
      <c r="I65" s="578" t="s">
        <v>3083</v>
      </c>
      <c r="J65" s="578">
        <v>10</v>
      </c>
      <c r="K65" s="587" t="s">
        <v>526</v>
      </c>
      <c r="L65" s="578">
        <v>300</v>
      </c>
      <c r="M65" s="578">
        <v>50</v>
      </c>
      <c r="N65" s="578" t="s">
        <v>3083</v>
      </c>
      <c r="O65" s="582">
        <v>7632</v>
      </c>
      <c r="P65" s="582">
        <v>7632</v>
      </c>
      <c r="Q65" s="583" t="s">
        <v>536</v>
      </c>
      <c r="R65" s="584"/>
      <c r="S65" s="584"/>
      <c r="T65" s="584"/>
      <c r="U65" s="584"/>
      <c r="V65" s="584"/>
      <c r="W65" s="584"/>
      <c r="X65" s="584"/>
      <c r="Y65" s="584"/>
      <c r="Z65" s="584"/>
      <c r="AA65" s="584"/>
      <c r="AB65" s="584"/>
      <c r="AC65" s="584"/>
      <c r="AD65" s="584"/>
      <c r="AE65" s="584"/>
      <c r="AF65" s="584"/>
      <c r="AG65" s="584" t="s">
        <v>2885</v>
      </c>
      <c r="AH65" s="584" t="s">
        <v>2885</v>
      </c>
      <c r="AI65" s="584">
        <v>42</v>
      </c>
      <c r="AJ65" s="584">
        <v>7</v>
      </c>
      <c r="AK65" s="584"/>
      <c r="AL65" s="588">
        <v>7632</v>
      </c>
      <c r="AM65" s="578" t="s">
        <v>3084</v>
      </c>
      <c r="AN65" s="583" t="s">
        <v>536</v>
      </c>
      <c r="AO65" s="583" t="s">
        <v>536</v>
      </c>
      <c r="AP65" s="583" t="s">
        <v>536</v>
      </c>
      <c r="AQ65" s="583" t="s">
        <v>536</v>
      </c>
      <c r="AR65" s="583" t="s">
        <v>536</v>
      </c>
      <c r="AS65" s="583" t="s">
        <v>536</v>
      </c>
      <c r="AT65" s="583" t="s">
        <v>536</v>
      </c>
      <c r="AU65" s="583" t="s">
        <v>536</v>
      </c>
      <c r="AV65" s="583" t="s">
        <v>536</v>
      </c>
      <c r="AW65" s="583" t="s">
        <v>536</v>
      </c>
      <c r="AX65" s="583" t="s">
        <v>536</v>
      </c>
      <c r="AY65" s="583" t="s">
        <v>536</v>
      </c>
      <c r="AZ65" s="585" t="s">
        <v>2898</v>
      </c>
      <c r="BA65" s="585" t="s">
        <v>2799</v>
      </c>
    </row>
    <row r="66" spans="1:53" ht="216.75" thickBot="1" x14ac:dyDescent="0.3">
      <c r="A66" s="578" t="s">
        <v>438</v>
      </c>
      <c r="B66" s="579" t="s">
        <v>1325</v>
      </c>
      <c r="C66" s="1050"/>
      <c r="D66" s="1050"/>
      <c r="E66" s="1050"/>
      <c r="F66" s="579" t="s">
        <v>3074</v>
      </c>
      <c r="G66" s="1051"/>
      <c r="H66" s="578" t="s">
        <v>3085</v>
      </c>
      <c r="I66" s="578" t="s">
        <v>3086</v>
      </c>
      <c r="J66" s="580">
        <v>0</v>
      </c>
      <c r="K66" s="587" t="s">
        <v>526</v>
      </c>
      <c r="L66" s="608">
        <v>2100</v>
      </c>
      <c r="M66" s="580">
        <v>0</v>
      </c>
      <c r="N66" s="578" t="s">
        <v>3086</v>
      </c>
      <c r="O66" s="582">
        <v>0</v>
      </c>
      <c r="P66" s="582">
        <v>0</v>
      </c>
      <c r="Q66" s="583" t="s">
        <v>536</v>
      </c>
      <c r="R66" s="584"/>
      <c r="S66" s="584"/>
      <c r="T66" s="584"/>
      <c r="U66" s="584"/>
      <c r="V66" s="584"/>
      <c r="W66" s="584"/>
      <c r="X66" s="584"/>
      <c r="Y66" s="584"/>
      <c r="Z66" s="584"/>
      <c r="AA66" s="584"/>
      <c r="AB66" s="584"/>
      <c r="AC66" s="584"/>
      <c r="AD66" s="584"/>
      <c r="AE66" s="584"/>
      <c r="AF66" s="584"/>
      <c r="AG66" s="584" t="s">
        <v>2885</v>
      </c>
      <c r="AH66" s="584" t="s">
        <v>2885</v>
      </c>
      <c r="AI66" s="584">
        <v>42</v>
      </c>
      <c r="AJ66" s="584">
        <v>7</v>
      </c>
      <c r="AK66" s="584"/>
      <c r="AL66" s="588">
        <v>0</v>
      </c>
      <c r="AM66" s="578" t="s">
        <v>3085</v>
      </c>
      <c r="AN66" s="583" t="s">
        <v>536</v>
      </c>
      <c r="AO66" s="583" t="s">
        <v>536</v>
      </c>
      <c r="AP66" s="583" t="s">
        <v>536</v>
      </c>
      <c r="AQ66" s="583" t="s">
        <v>536</v>
      </c>
      <c r="AR66" s="583" t="s">
        <v>536</v>
      </c>
      <c r="AS66" s="583" t="s">
        <v>536</v>
      </c>
      <c r="AT66" s="583" t="s">
        <v>536</v>
      </c>
      <c r="AU66" s="583" t="s">
        <v>536</v>
      </c>
      <c r="AV66" s="583" t="s">
        <v>536</v>
      </c>
      <c r="AW66" s="583" t="s">
        <v>536</v>
      </c>
      <c r="AX66" s="583" t="s">
        <v>536</v>
      </c>
      <c r="AY66" s="583" t="s">
        <v>536</v>
      </c>
      <c r="AZ66" s="585" t="s">
        <v>2898</v>
      </c>
      <c r="BA66" s="585" t="s">
        <v>2799</v>
      </c>
    </row>
    <row r="67" spans="1:53" ht="168.75" thickBot="1" x14ac:dyDescent="0.3">
      <c r="A67" s="578" t="s">
        <v>438</v>
      </c>
      <c r="B67" s="578" t="s">
        <v>1325</v>
      </c>
      <c r="C67" s="578" t="s">
        <v>3087</v>
      </c>
      <c r="D67" s="609" t="s">
        <v>3088</v>
      </c>
      <c r="E67" s="578" t="s">
        <v>3089</v>
      </c>
      <c r="F67" s="578" t="s">
        <v>3090</v>
      </c>
      <c r="G67" s="578" t="s">
        <v>3091</v>
      </c>
      <c r="H67" s="578" t="s">
        <v>3092</v>
      </c>
      <c r="I67" s="578" t="s">
        <v>3093</v>
      </c>
      <c r="J67" s="578">
        <v>0</v>
      </c>
      <c r="K67" s="587" t="s">
        <v>527</v>
      </c>
      <c r="L67" s="578">
        <v>1</v>
      </c>
      <c r="M67" s="610">
        <v>1</v>
      </c>
      <c r="N67" s="585" t="s">
        <v>3088</v>
      </c>
      <c r="O67" s="582">
        <v>150000</v>
      </c>
      <c r="P67" s="582">
        <v>11130</v>
      </c>
      <c r="Q67" s="600">
        <v>11130</v>
      </c>
      <c r="R67" s="584"/>
      <c r="S67" s="584"/>
      <c r="T67" s="584"/>
      <c r="U67" s="584"/>
      <c r="V67" s="584"/>
      <c r="W67" s="584"/>
      <c r="X67" s="584"/>
      <c r="Y67" s="584"/>
      <c r="Z67" s="584"/>
      <c r="AA67" s="584"/>
      <c r="AB67" s="584"/>
      <c r="AC67" s="584"/>
      <c r="AD67" s="584"/>
      <c r="AE67" s="584"/>
      <c r="AF67" s="584"/>
      <c r="AG67" s="585" t="s">
        <v>3094</v>
      </c>
      <c r="AH67" s="584"/>
      <c r="AI67" s="584">
        <v>42</v>
      </c>
      <c r="AJ67" s="585" t="s">
        <v>2862</v>
      </c>
      <c r="AK67" s="585" t="s">
        <v>3095</v>
      </c>
      <c r="AL67" s="588">
        <v>150000</v>
      </c>
      <c r="AM67" s="585" t="s">
        <v>3096</v>
      </c>
      <c r="AN67" s="583"/>
      <c r="AO67" s="583"/>
      <c r="AP67" s="583" t="s">
        <v>536</v>
      </c>
      <c r="AQ67" s="583" t="s">
        <v>536</v>
      </c>
      <c r="AR67" s="583" t="s">
        <v>536</v>
      </c>
      <c r="AS67" s="583" t="s">
        <v>536</v>
      </c>
      <c r="AT67" s="583" t="s">
        <v>536</v>
      </c>
      <c r="AU67" s="583" t="s">
        <v>536</v>
      </c>
      <c r="AV67" s="583" t="s">
        <v>536</v>
      </c>
      <c r="AW67" s="583" t="s">
        <v>536</v>
      </c>
      <c r="AX67" s="583" t="s">
        <v>536</v>
      </c>
      <c r="AY67" s="583" t="s">
        <v>536</v>
      </c>
      <c r="AZ67" s="585" t="s">
        <v>3097</v>
      </c>
      <c r="BA67" s="585" t="s">
        <v>2799</v>
      </c>
    </row>
  </sheetData>
  <sheetProtection password="DFEF" sheet="1" objects="1" scenarios="1" autoFilter="0"/>
  <mergeCells count="74">
    <mergeCell ref="C57:C66"/>
    <mergeCell ref="D57:D66"/>
    <mergeCell ref="E57:E66"/>
    <mergeCell ref="G57:G60"/>
    <mergeCell ref="G61:G62"/>
    <mergeCell ref="G63:G66"/>
    <mergeCell ref="C51:C54"/>
    <mergeCell ref="D51:D54"/>
    <mergeCell ref="E51:E54"/>
    <mergeCell ref="G51:G54"/>
    <mergeCell ref="C55:C56"/>
    <mergeCell ref="D55:D56"/>
    <mergeCell ref="E55:E56"/>
    <mergeCell ref="G55:G56"/>
    <mergeCell ref="C43:C46"/>
    <mergeCell ref="D43:D46"/>
    <mergeCell ref="E43:E46"/>
    <mergeCell ref="G43:G50"/>
    <mergeCell ref="C47:C50"/>
    <mergeCell ref="D47:D50"/>
    <mergeCell ref="E47:E50"/>
    <mergeCell ref="C36:C39"/>
    <mergeCell ref="D36:D39"/>
    <mergeCell ref="E36:E39"/>
    <mergeCell ref="G36:G39"/>
    <mergeCell ref="C40:C42"/>
    <mergeCell ref="D40:D42"/>
    <mergeCell ref="E40:E42"/>
    <mergeCell ref="G40:G42"/>
    <mergeCell ref="C27:C31"/>
    <mergeCell ref="D27:D31"/>
    <mergeCell ref="E27:E31"/>
    <mergeCell ref="G27:G31"/>
    <mergeCell ref="C32:C35"/>
    <mergeCell ref="D32:D35"/>
    <mergeCell ref="E32:E35"/>
    <mergeCell ref="G32:G35"/>
    <mergeCell ref="AZ14:AZ15"/>
    <mergeCell ref="BA14:BA15"/>
    <mergeCell ref="C16:C26"/>
    <mergeCell ref="D16:D26"/>
    <mergeCell ref="E16:E26"/>
    <mergeCell ref="G16:G19"/>
    <mergeCell ref="G20:G26"/>
    <mergeCell ref="AI14:AI15"/>
    <mergeCell ref="AJ14:AJ15"/>
    <mergeCell ref="AK14:AK15"/>
    <mergeCell ref="AL14:AL15"/>
    <mergeCell ref="AM14:AM15"/>
    <mergeCell ref="AN14:AY14"/>
    <mergeCell ref="M14:M15"/>
    <mergeCell ref="N14:O14"/>
    <mergeCell ref="P14:P15"/>
    <mergeCell ref="Q14:AF14"/>
    <mergeCell ref="AG14:AG15"/>
    <mergeCell ref="AH14:AH15"/>
    <mergeCell ref="G14:G15"/>
    <mergeCell ref="H14:H15"/>
    <mergeCell ref="I14:I15"/>
    <mergeCell ref="J14:J15"/>
    <mergeCell ref="K14:K15"/>
    <mergeCell ref="L14:L15"/>
    <mergeCell ref="F14:F15"/>
    <mergeCell ref="A2:L2"/>
    <mergeCell ref="A3:L3"/>
    <mergeCell ref="A5:L5"/>
    <mergeCell ref="A6:L6"/>
    <mergeCell ref="A9:M9"/>
    <mergeCell ref="A11:M11"/>
    <mergeCell ref="A14:A15"/>
    <mergeCell ref="B14:B15"/>
    <mergeCell ref="C14:C15"/>
    <mergeCell ref="D14:D15"/>
    <mergeCell ref="E14:E1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SALUD</vt:lpstr>
      <vt:lpstr>EDUCACIÓN Y CULTURA</vt:lpstr>
      <vt:lpstr>INFRAESTRUCTURA</vt:lpstr>
      <vt:lpstr>EMCASERVICIOS</vt:lpstr>
      <vt:lpstr>AGRICULTURA</vt:lpstr>
      <vt:lpstr>DESARROLLO ECONÓMICO</vt:lpstr>
      <vt:lpstr>GOBIERNO Y PARTICIPACIÓN</vt:lpstr>
      <vt:lpstr>MUJER</vt:lpstr>
      <vt:lpstr>GESTIÓN SOCIAL</vt:lpstr>
      <vt:lpstr>GESTIÓN DEL RIESGO</vt:lpstr>
      <vt:lpstr>INDEPORTES</vt:lpstr>
      <vt:lpstr>GENERAL</vt:lpstr>
      <vt:lpstr>PLANEACIÓN</vt:lpstr>
      <vt:lpstr>HACIENDA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Hermanos Campo</dc:creator>
  <cp:lastModifiedBy>JANUS</cp:lastModifiedBy>
  <cp:lastPrinted>2016-05-24T23:49:52Z</cp:lastPrinted>
  <dcterms:created xsi:type="dcterms:W3CDTF">2016-04-01T03:31:50Z</dcterms:created>
  <dcterms:modified xsi:type="dcterms:W3CDTF">2018-12-28T23:19:35Z</dcterms:modified>
</cp:coreProperties>
</file>