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120" windowWidth="24000" windowHeight="9225"/>
  </bookViews>
  <sheets>
    <sheet name="EDUCACIÓN" sheetId="1" r:id="rId1"/>
    <sheet name="SALUD" sheetId="2" r:id="rId2"/>
    <sheet name="INFRAESTRUCTURA" sheetId="5" r:id="rId3"/>
    <sheet name="EMCASERVICIOS" sheetId="4" r:id="rId4"/>
    <sheet name="DESARROLLO ECONÓMICO" sheetId="6" r:id="rId5"/>
    <sheet name="AGRICULTURA" sheetId="11" r:id="rId6"/>
    <sheet name="INDEPORTES" sheetId="7" r:id="rId7"/>
    <sheet name="GOBIERNO" sheetId="3" r:id="rId8"/>
    <sheet name="MUJER" sheetId="13" r:id="rId9"/>
    <sheet name="GESTIÓN SOCIAL" sheetId="14" r:id="rId10"/>
    <sheet name="GESTIÓN DEL RIESGO" sheetId="8" r:id="rId11"/>
    <sheet name="HACIENDA" sheetId="12" r:id="rId12"/>
    <sheet name="PLANEACIÓN" sheetId="9" r:id="rId13"/>
    <sheet name="GENERAL" sheetId="15" r:id="rId14"/>
  </sheets>
  <externalReferences>
    <externalReference r:id="rId15"/>
    <externalReference r:id="rId16"/>
  </externalReferences>
  <definedNames>
    <definedName name="_xlnm._FilterDatabase" localSheetId="0" hidden="1">EDUCACIÓN!$A$14:$AY$107</definedName>
  </definedNames>
  <calcPr calcId="144525"/>
</workbook>
</file>

<file path=xl/calcChain.xml><?xml version="1.0" encoding="utf-8"?>
<calcChain xmlns="http://schemas.openxmlformats.org/spreadsheetml/2006/main">
  <c r="AE47" i="14" l="1"/>
  <c r="Q47" i="14"/>
  <c r="AE46" i="14"/>
  <c r="Q46" i="14"/>
  <c r="AE45" i="14"/>
  <c r="Q45" i="14"/>
  <c r="P46" i="13"/>
  <c r="P45" i="13"/>
  <c r="P44" i="13"/>
  <c r="P43" i="13"/>
  <c r="P42" i="13"/>
  <c r="P41" i="13"/>
  <c r="AI40" i="13"/>
  <c r="P40" i="13"/>
  <c r="AI39" i="13"/>
  <c r="P39" i="13"/>
  <c r="AI38" i="13"/>
  <c r="P38" i="13"/>
  <c r="AI37" i="13"/>
  <c r="P37" i="13"/>
  <c r="AI36" i="13"/>
  <c r="P36" i="13"/>
  <c r="P35" i="13"/>
  <c r="P33" i="13"/>
  <c r="P32" i="13"/>
  <c r="P31" i="13"/>
  <c r="P30" i="13"/>
  <c r="P29" i="13"/>
  <c r="P28" i="13"/>
  <c r="P27" i="13"/>
  <c r="P26" i="13"/>
  <c r="P25" i="13"/>
  <c r="P24" i="13"/>
  <c r="P23" i="13"/>
  <c r="P22" i="13"/>
  <c r="P21" i="13"/>
  <c r="AI20" i="13"/>
  <c r="P20" i="13"/>
  <c r="P19" i="13"/>
  <c r="P18" i="13"/>
  <c r="P17" i="13"/>
  <c r="P16" i="13"/>
  <c r="P15" i="13"/>
  <c r="P14" i="13"/>
  <c r="AI13" i="13"/>
  <c r="P13" i="13"/>
  <c r="P12" i="13"/>
  <c r="AC48" i="11"/>
  <c r="AC47" i="11"/>
  <c r="AC46" i="11"/>
  <c r="AC45" i="11"/>
  <c r="AC44" i="11"/>
  <c r="AC43" i="11"/>
  <c r="AC42" i="11"/>
  <c r="AC41" i="11"/>
  <c r="AC40" i="11"/>
  <c r="AJ39" i="11"/>
  <c r="AC39" i="11"/>
  <c r="AJ38" i="11"/>
  <c r="AC38" i="11"/>
  <c r="AJ37" i="11"/>
  <c r="AC37" i="11"/>
  <c r="AJ36" i="11"/>
  <c r="AC36" i="11"/>
  <c r="AJ35" i="11"/>
  <c r="AC35" i="11"/>
  <c r="AC34" i="11"/>
  <c r="AJ34" i="11"/>
  <c r="AC33" i="11"/>
  <c r="AJ33" i="11"/>
  <c r="AJ32" i="11"/>
  <c r="AC32" i="11"/>
  <c r="AJ31" i="11"/>
  <c r="AC31" i="11"/>
  <c r="AC30" i="11"/>
  <c r="AJ30" i="11"/>
  <c r="AC29" i="11"/>
  <c r="AJ29" i="11"/>
  <c r="AJ28" i="11"/>
  <c r="AC28" i="11"/>
  <c r="AJ27" i="11"/>
  <c r="AC27" i="11"/>
  <c r="AC26" i="11"/>
  <c r="AJ26" i="11"/>
  <c r="AC25" i="11"/>
  <c r="AC24" i="11"/>
  <c r="AJ23" i="11"/>
  <c r="AC23" i="11"/>
  <c r="AJ22" i="11"/>
  <c r="AC22" i="11"/>
  <c r="AC21" i="11"/>
  <c r="AJ21" i="11"/>
  <c r="AC20" i="11"/>
  <c r="AJ20" i="11"/>
  <c r="AJ19" i="11"/>
  <c r="AC19" i="11"/>
  <c r="AJ18" i="11"/>
  <c r="AC18" i="11"/>
  <c r="AJ17" i="11"/>
  <c r="AC17" i="11"/>
  <c r="AJ16" i="11"/>
  <c r="AC16" i="11"/>
  <c r="AJ15" i="11"/>
  <c r="AC15" i="11"/>
  <c r="AJ14" i="11"/>
  <c r="AC14" i="11"/>
  <c r="AJ13" i="11"/>
  <c r="AC13" i="11"/>
  <c r="AJ29" i="7"/>
  <c r="P28" i="7"/>
  <c r="AJ28" i="7"/>
  <c r="AJ27" i="7"/>
  <c r="AJ26" i="7"/>
  <c r="Q26" i="7"/>
  <c r="AJ25" i="7"/>
  <c r="Q25" i="7"/>
  <c r="AJ24" i="7"/>
  <c r="AB24" i="7"/>
  <c r="Q24" i="7"/>
  <c r="AJ23" i="7"/>
  <c r="AB23" i="7"/>
  <c r="Q23" i="7"/>
  <c r="AJ22" i="7"/>
  <c r="AB22" i="7"/>
  <c r="Q22" i="7"/>
  <c r="AJ21" i="7"/>
  <c r="Q21" i="7"/>
  <c r="AJ20" i="7"/>
  <c r="AB20" i="7"/>
  <c r="Q20" i="7"/>
  <c r="AJ19" i="7"/>
  <c r="Q19" i="7"/>
  <c r="AB19" i="7"/>
  <c r="AJ18" i="7"/>
  <c r="AB18" i="7"/>
  <c r="AJ17" i="7"/>
  <c r="AJ16" i="7"/>
  <c r="P48" i="6"/>
  <c r="O48" i="6"/>
  <c r="N48" i="6"/>
  <c r="P47" i="6"/>
  <c r="O47" i="6"/>
  <c r="N47" i="6"/>
  <c r="P46" i="6"/>
  <c r="N46" i="6"/>
  <c r="P45" i="6"/>
  <c r="N45" i="6"/>
  <c r="O44" i="6"/>
  <c r="N44" i="6"/>
  <c r="O43" i="6"/>
  <c r="N43" i="6"/>
  <c r="O42" i="6"/>
  <c r="N42" i="6"/>
  <c r="O41" i="6"/>
  <c r="N41" i="6"/>
  <c r="O40" i="6"/>
  <c r="N40" i="6"/>
  <c r="O39" i="6"/>
  <c r="N39" i="6"/>
  <c r="O38" i="6"/>
  <c r="N38" i="6"/>
  <c r="O37" i="6"/>
  <c r="N37" i="6"/>
  <c r="P36" i="6"/>
  <c r="O36" i="6"/>
  <c r="N36" i="6"/>
  <c r="P35" i="6"/>
  <c r="O35" i="6"/>
  <c r="N35" i="6"/>
  <c r="P34" i="6"/>
  <c r="P33" i="6"/>
  <c r="P32" i="6"/>
  <c r="P31" i="6"/>
  <c r="P30" i="6"/>
  <c r="P29" i="6"/>
  <c r="P28" i="6"/>
  <c r="P27" i="6"/>
  <c r="P26" i="6"/>
  <c r="N26" i="6"/>
  <c r="P25" i="6"/>
  <c r="N25" i="6"/>
  <c r="P24" i="6"/>
  <c r="N24" i="6"/>
  <c r="P23" i="6"/>
  <c r="O23" i="6"/>
  <c r="N23" i="6"/>
  <c r="P22" i="6"/>
  <c r="O22" i="6"/>
  <c r="N22" i="6"/>
  <c r="P21" i="6"/>
  <c r="O21" i="6"/>
  <c r="N21" i="6"/>
  <c r="P20" i="6"/>
  <c r="O20" i="6"/>
  <c r="N20" i="6"/>
  <c r="P19" i="6"/>
  <c r="O19" i="6"/>
  <c r="N19" i="6"/>
  <c r="P18" i="6"/>
  <c r="O18" i="6"/>
  <c r="N18" i="6"/>
  <c r="P17" i="6"/>
  <c r="AJ17" i="6"/>
  <c r="O17" i="6"/>
  <c r="N17" i="6"/>
  <c r="P16" i="6"/>
  <c r="AJ16" i="6"/>
  <c r="O16" i="6"/>
  <c r="N16" i="6"/>
  <c r="O15" i="6"/>
  <c r="N15" i="6"/>
  <c r="P14" i="6"/>
  <c r="AJ14" i="6"/>
  <c r="O14" i="6"/>
  <c r="N14" i="6"/>
  <c r="P13" i="6"/>
  <c r="AJ13" i="6"/>
  <c r="O13" i="6"/>
  <c r="N13" i="6"/>
  <c r="P12" i="6"/>
  <c r="AJ12" i="6"/>
  <c r="O12" i="6"/>
  <c r="N12" i="6"/>
  <c r="AI153" i="4"/>
  <c r="T147" i="4"/>
  <c r="O147" i="4"/>
  <c r="K147" i="4"/>
  <c r="AJ145" i="4"/>
  <c r="AI145" i="4"/>
  <c r="AJ143" i="4"/>
  <c r="AI143" i="4"/>
  <c r="O143" i="4"/>
  <c r="K143" i="4"/>
  <c r="AJ141" i="4"/>
  <c r="AI141" i="4"/>
  <c r="AJ140" i="4"/>
  <c r="AJ139" i="4"/>
  <c r="AI139" i="4"/>
  <c r="T138" i="4"/>
  <c r="O138" i="4"/>
  <c r="K138" i="4"/>
  <c r="AJ135" i="4"/>
  <c r="AI135" i="4"/>
  <c r="AJ134" i="4"/>
  <c r="AJ133" i="4"/>
  <c r="AJ132" i="4"/>
  <c r="O131" i="4"/>
  <c r="K131" i="4"/>
  <c r="T127" i="4"/>
  <c r="K127" i="4"/>
  <c r="T115" i="4"/>
  <c r="K115" i="4"/>
  <c r="AD114" i="4"/>
  <c r="K108" i="4"/>
  <c r="T105" i="4"/>
  <c r="O105" i="4"/>
  <c r="K105" i="4"/>
  <c r="T99" i="4"/>
  <c r="O99" i="4"/>
  <c r="K99" i="4"/>
  <c r="T85" i="4"/>
  <c r="K85" i="4"/>
  <c r="K84" i="4"/>
  <c r="K66" i="4"/>
  <c r="AI64" i="4"/>
  <c r="K64" i="4"/>
  <c r="AI63" i="4"/>
  <c r="O61" i="4"/>
  <c r="K61" i="4"/>
  <c r="T60" i="4"/>
  <c r="K60" i="4"/>
  <c r="T59" i="4"/>
  <c r="K59" i="4"/>
  <c r="O52" i="4"/>
  <c r="K52" i="4"/>
  <c r="AJ45" i="4"/>
  <c r="AJ44" i="4"/>
  <c r="T44" i="4"/>
  <c r="O44" i="4"/>
  <c r="K44" i="4"/>
  <c r="T29" i="4"/>
  <c r="K29" i="4"/>
  <c r="T25" i="4"/>
  <c r="O25" i="4"/>
  <c r="K25" i="4"/>
  <c r="AJ24" i="4"/>
  <c r="AI24" i="4"/>
  <c r="AJ23" i="4"/>
  <c r="AJ21" i="4"/>
  <c r="AJ20" i="4"/>
  <c r="T20" i="4"/>
  <c r="O20" i="4"/>
  <c r="K20" i="4"/>
  <c r="AJ18" i="4"/>
  <c r="AJ15" i="4"/>
  <c r="AJ14" i="4"/>
  <c r="AJ13" i="4"/>
  <c r="T13" i="4"/>
  <c r="M13" i="4"/>
  <c r="O13" i="4"/>
  <c r="K13" i="4"/>
  <c r="AK16" i="5"/>
  <c r="AD16" i="5"/>
  <c r="AJ16" i="5"/>
  <c r="AJ17" i="5"/>
  <c r="AD18" i="5"/>
  <c r="AJ18" i="5"/>
  <c r="U19" i="5"/>
  <c r="Z19" i="5"/>
  <c r="AB19" i="5"/>
  <c r="AJ19" i="5"/>
  <c r="AJ15" i="5"/>
  <c r="AJ22" i="5"/>
  <c r="AJ23" i="5"/>
  <c r="AJ24" i="5"/>
  <c r="AJ21" i="5"/>
  <c r="AJ26" i="5"/>
  <c r="AJ29" i="5"/>
  <c r="AJ30" i="5"/>
  <c r="AJ31" i="5"/>
  <c r="AJ32" i="5"/>
  <c r="AJ33" i="5"/>
  <c r="AJ34" i="5"/>
  <c r="Z35" i="5"/>
  <c r="AJ35" i="5"/>
  <c r="AJ36" i="5"/>
  <c r="AJ37" i="5"/>
  <c r="AJ38" i="5"/>
  <c r="AJ28" i="5"/>
  <c r="AJ41" i="5"/>
  <c r="AJ40" i="5"/>
  <c r="AJ44" i="5"/>
  <c r="AJ43" i="5"/>
  <c r="AJ46" i="5"/>
  <c r="AJ51" i="5"/>
  <c r="AJ52" i="5"/>
  <c r="AJ53" i="5"/>
  <c r="AJ54" i="5"/>
  <c r="AJ55" i="5"/>
  <c r="AJ56" i="5"/>
  <c r="AJ57" i="5"/>
  <c r="AJ58" i="5"/>
  <c r="AJ59" i="5"/>
  <c r="AJ60" i="5"/>
  <c r="AJ61" i="5"/>
  <c r="AJ62" i="5"/>
  <c r="AJ63" i="5"/>
  <c r="AJ64" i="5"/>
  <c r="AJ65" i="5"/>
  <c r="AJ66" i="5"/>
  <c r="AJ67" i="5"/>
  <c r="AJ68" i="5"/>
  <c r="AJ50" i="5"/>
  <c r="AK71" i="5"/>
  <c r="Q71" i="5"/>
  <c r="AJ71" i="5"/>
  <c r="AJ72" i="5"/>
  <c r="Q73" i="5"/>
  <c r="AJ73" i="5"/>
  <c r="AK74" i="5"/>
  <c r="Q74" i="5"/>
  <c r="AJ74" i="5"/>
  <c r="AJ70" i="5"/>
  <c r="AJ77" i="5"/>
  <c r="AJ76" i="5"/>
  <c r="Z80" i="5"/>
  <c r="AJ80" i="5"/>
  <c r="AJ81" i="5"/>
  <c r="AJ82" i="5"/>
  <c r="AJ83" i="5"/>
  <c r="AJ84" i="5"/>
  <c r="AJ85" i="5"/>
  <c r="AJ86" i="5"/>
  <c r="Z87" i="5"/>
  <c r="AJ87" i="5"/>
  <c r="AJ88" i="5"/>
  <c r="AJ79" i="5"/>
  <c r="AJ91" i="5"/>
  <c r="AJ90" i="5"/>
  <c r="AD94" i="5"/>
  <c r="AJ94" i="5"/>
  <c r="AJ95" i="5"/>
  <c r="AJ96" i="5"/>
  <c r="AJ93" i="5"/>
  <c r="AJ99" i="5"/>
  <c r="AJ100" i="5"/>
  <c r="AJ101" i="5"/>
  <c r="AJ98" i="5"/>
  <c r="AJ104" i="5"/>
  <c r="AJ103" i="5"/>
  <c r="U107" i="5"/>
  <c r="AA107" i="5"/>
  <c r="AJ107" i="5"/>
  <c r="AJ106" i="5"/>
  <c r="AJ110" i="5"/>
  <c r="AJ109" i="5"/>
  <c r="AJ113" i="5"/>
  <c r="AJ112" i="5"/>
  <c r="AJ116" i="5"/>
  <c r="AJ117" i="5"/>
  <c r="AD118" i="5"/>
  <c r="AJ118" i="5"/>
  <c r="AJ119" i="5"/>
  <c r="AJ120" i="5"/>
  <c r="AJ121" i="5"/>
  <c r="U122" i="5"/>
  <c r="AJ122" i="5"/>
  <c r="U123" i="5"/>
  <c r="AJ123" i="5"/>
  <c r="AJ115" i="5"/>
  <c r="AJ126" i="5"/>
  <c r="AJ125" i="5"/>
  <c r="AJ129" i="5"/>
  <c r="AJ128" i="5"/>
  <c r="AJ132" i="5"/>
  <c r="AJ131" i="5"/>
  <c r="AJ135" i="5"/>
  <c r="AJ134" i="5"/>
  <c r="AJ138" i="5"/>
  <c r="AJ139" i="5"/>
  <c r="AJ140" i="5"/>
  <c r="AJ141" i="5"/>
  <c r="AJ142" i="5"/>
  <c r="AJ143" i="5"/>
  <c r="AD144" i="5"/>
  <c r="AJ144" i="5"/>
  <c r="AJ145" i="5"/>
  <c r="AJ146" i="5"/>
  <c r="AJ147" i="5"/>
  <c r="AJ148" i="5"/>
  <c r="AJ149" i="5"/>
  <c r="AJ150" i="5"/>
  <c r="AJ151" i="5"/>
  <c r="AJ137" i="5"/>
  <c r="AJ154" i="5"/>
  <c r="AJ155" i="5"/>
  <c r="AJ156" i="5"/>
  <c r="AJ157" i="5"/>
  <c r="AJ158" i="5"/>
  <c r="AJ159" i="5"/>
  <c r="AJ153" i="5"/>
  <c r="AD162" i="5"/>
  <c r="AJ162" i="5"/>
  <c r="AJ163" i="5"/>
  <c r="AJ164" i="5"/>
  <c r="AJ165" i="5"/>
  <c r="AJ166" i="5"/>
  <c r="AJ167" i="5"/>
  <c r="AJ168" i="5"/>
  <c r="AJ169" i="5"/>
  <c r="AJ170" i="5"/>
  <c r="Q171" i="5"/>
  <c r="AJ171" i="5"/>
  <c r="AJ161" i="5"/>
  <c r="AJ174" i="5"/>
  <c r="AJ173" i="5"/>
  <c r="AJ175" i="5"/>
  <c r="AD15" i="5"/>
  <c r="AD21" i="5"/>
  <c r="AD28" i="5"/>
  <c r="AD40" i="5"/>
  <c r="AD43" i="5"/>
  <c r="AD50" i="5"/>
  <c r="AD70" i="5"/>
  <c r="AD76" i="5"/>
  <c r="AD79" i="5"/>
  <c r="AD90" i="5"/>
  <c r="AD93" i="5"/>
  <c r="AD98" i="5"/>
  <c r="AD103" i="5"/>
  <c r="AD106" i="5"/>
  <c r="AD109" i="5"/>
  <c r="AD112" i="5"/>
  <c r="AD115" i="5"/>
  <c r="AD125" i="5"/>
  <c r="AD128" i="5"/>
  <c r="AD131" i="5"/>
  <c r="AD134" i="5"/>
  <c r="AD137" i="5"/>
  <c r="AD153" i="5"/>
  <c r="AD161" i="5"/>
  <c r="AD173" i="5"/>
  <c r="AD175" i="5"/>
  <c r="AC15" i="5"/>
  <c r="AC21" i="5"/>
  <c r="AC28" i="5"/>
  <c r="AC40" i="5"/>
  <c r="AC43" i="5"/>
  <c r="AC50" i="5"/>
  <c r="AC70" i="5"/>
  <c r="AC76" i="5"/>
  <c r="AC79" i="5"/>
  <c r="AC90" i="5"/>
  <c r="AC93" i="5"/>
  <c r="AC98" i="5"/>
  <c r="AC103" i="5"/>
  <c r="AC106" i="5"/>
  <c r="AC109" i="5"/>
  <c r="AC112" i="5"/>
  <c r="AC115" i="5"/>
  <c r="AC125" i="5"/>
  <c r="AC128" i="5"/>
  <c r="AC131" i="5"/>
  <c r="AC134" i="5"/>
  <c r="AC137" i="5"/>
  <c r="AC153" i="5"/>
  <c r="AC161" i="5"/>
  <c r="AC173" i="5"/>
  <c r="AC175" i="5"/>
  <c r="AB15" i="5"/>
  <c r="AB21" i="5"/>
  <c r="AB28" i="5"/>
  <c r="AB40" i="5"/>
  <c r="AB43" i="5"/>
  <c r="AB50" i="5"/>
  <c r="AB70" i="5"/>
  <c r="AB76" i="5"/>
  <c r="AB79" i="5"/>
  <c r="AB90" i="5"/>
  <c r="AB93" i="5"/>
  <c r="AB98" i="5"/>
  <c r="AB103" i="5"/>
  <c r="AB106" i="5"/>
  <c r="AB109" i="5"/>
  <c r="AB112" i="5"/>
  <c r="AB115" i="5"/>
  <c r="AB125" i="5"/>
  <c r="AB128" i="5"/>
  <c r="AB131" i="5"/>
  <c r="AB134" i="5"/>
  <c r="AB137" i="5"/>
  <c r="AB153" i="5"/>
  <c r="AB161" i="5"/>
  <c r="AB173" i="5"/>
  <c r="AB175" i="5"/>
  <c r="AA15" i="5"/>
  <c r="AA21" i="5"/>
  <c r="AA28" i="5"/>
  <c r="AA40" i="5"/>
  <c r="AA43" i="5"/>
  <c r="AA50" i="5"/>
  <c r="AA70" i="5"/>
  <c r="AA76" i="5"/>
  <c r="AA79" i="5"/>
  <c r="AA90" i="5"/>
  <c r="AA93" i="5"/>
  <c r="AA98" i="5"/>
  <c r="AA103" i="5"/>
  <c r="AA106" i="5"/>
  <c r="AA109" i="5"/>
  <c r="AA112" i="5"/>
  <c r="AA115" i="5"/>
  <c r="AA125" i="5"/>
  <c r="AA128" i="5"/>
  <c r="AA131" i="5"/>
  <c r="AA134" i="5"/>
  <c r="AA137" i="5"/>
  <c r="AA153" i="5"/>
  <c r="AA161" i="5"/>
  <c r="AA173" i="5"/>
  <c r="AA175" i="5"/>
  <c r="Z15" i="5"/>
  <c r="Z21" i="5"/>
  <c r="Z28" i="5"/>
  <c r="Z40" i="5"/>
  <c r="Z43" i="5"/>
  <c r="Z50" i="5"/>
  <c r="Z70" i="5"/>
  <c r="Z76" i="5"/>
  <c r="Z79" i="5"/>
  <c r="Z90" i="5"/>
  <c r="Z93" i="5"/>
  <c r="Z98" i="5"/>
  <c r="Z103" i="5"/>
  <c r="Z106" i="5"/>
  <c r="Z109" i="5"/>
  <c r="Z112" i="5"/>
  <c r="Z115" i="5"/>
  <c r="Z125" i="5"/>
  <c r="Z128" i="5"/>
  <c r="Z131" i="5"/>
  <c r="Z134" i="5"/>
  <c r="Z137" i="5"/>
  <c r="Z153" i="5"/>
  <c r="Z161" i="5"/>
  <c r="Z173" i="5"/>
  <c r="Z175" i="5"/>
  <c r="Y15" i="5"/>
  <c r="Y21" i="5"/>
  <c r="Y28" i="5"/>
  <c r="Y40" i="5"/>
  <c r="Y43" i="5"/>
  <c r="Y50" i="5"/>
  <c r="Y70" i="5"/>
  <c r="Y76" i="5"/>
  <c r="Y79" i="5"/>
  <c r="Y90" i="5"/>
  <c r="Y93" i="5"/>
  <c r="Y98" i="5"/>
  <c r="Y103" i="5"/>
  <c r="Y106" i="5"/>
  <c r="Y109" i="5"/>
  <c r="Y112" i="5"/>
  <c r="Y115" i="5"/>
  <c r="Y125" i="5"/>
  <c r="Y128" i="5"/>
  <c r="Y131" i="5"/>
  <c r="Y134" i="5"/>
  <c r="Y137" i="5"/>
  <c r="Y153" i="5"/>
  <c r="Y161" i="5"/>
  <c r="Y173" i="5"/>
  <c r="Y175" i="5"/>
  <c r="X15" i="5"/>
  <c r="X21" i="5"/>
  <c r="X28" i="5"/>
  <c r="X40" i="5"/>
  <c r="X43" i="5"/>
  <c r="X50" i="5"/>
  <c r="X70" i="5"/>
  <c r="X76" i="5"/>
  <c r="X79" i="5"/>
  <c r="X90" i="5"/>
  <c r="X93" i="5"/>
  <c r="X98" i="5"/>
  <c r="X103" i="5"/>
  <c r="X106" i="5"/>
  <c r="X109" i="5"/>
  <c r="X112" i="5"/>
  <c r="X115" i="5"/>
  <c r="X125" i="5"/>
  <c r="X128" i="5"/>
  <c r="X131" i="5"/>
  <c r="X134" i="5"/>
  <c r="X137" i="5"/>
  <c r="X153" i="5"/>
  <c r="X161" i="5"/>
  <c r="X173" i="5"/>
  <c r="X175" i="5"/>
  <c r="W15" i="5"/>
  <c r="W21" i="5"/>
  <c r="W28" i="5"/>
  <c r="W40" i="5"/>
  <c r="W43" i="5"/>
  <c r="W50" i="5"/>
  <c r="W70" i="5"/>
  <c r="W76" i="5"/>
  <c r="W79" i="5"/>
  <c r="W90" i="5"/>
  <c r="W93" i="5"/>
  <c r="W98" i="5"/>
  <c r="W103" i="5"/>
  <c r="W106" i="5"/>
  <c r="W109" i="5"/>
  <c r="W112" i="5"/>
  <c r="W115" i="5"/>
  <c r="W125" i="5"/>
  <c r="W128" i="5"/>
  <c r="W131" i="5"/>
  <c r="W134" i="5"/>
  <c r="W137" i="5"/>
  <c r="W153" i="5"/>
  <c r="W161" i="5"/>
  <c r="W173" i="5"/>
  <c r="W175" i="5"/>
  <c r="V15" i="5"/>
  <c r="V21" i="5"/>
  <c r="V28" i="5"/>
  <c r="V40" i="5"/>
  <c r="V43" i="5"/>
  <c r="V50" i="5"/>
  <c r="V70" i="5"/>
  <c r="V76" i="5"/>
  <c r="V79" i="5"/>
  <c r="V90" i="5"/>
  <c r="V93" i="5"/>
  <c r="V98" i="5"/>
  <c r="V103" i="5"/>
  <c r="V106" i="5"/>
  <c r="V109" i="5"/>
  <c r="V112" i="5"/>
  <c r="V115" i="5"/>
  <c r="V125" i="5"/>
  <c r="V128" i="5"/>
  <c r="V131" i="5"/>
  <c r="V134" i="5"/>
  <c r="V137" i="5"/>
  <c r="V153" i="5"/>
  <c r="V161" i="5"/>
  <c r="V173" i="5"/>
  <c r="V175" i="5"/>
  <c r="U15" i="5"/>
  <c r="U21" i="5"/>
  <c r="U28" i="5"/>
  <c r="U40" i="5"/>
  <c r="U43" i="5"/>
  <c r="U50" i="5"/>
  <c r="U70" i="5"/>
  <c r="U76" i="5"/>
  <c r="U79" i="5"/>
  <c r="U90" i="5"/>
  <c r="U93" i="5"/>
  <c r="U98" i="5"/>
  <c r="U103" i="5"/>
  <c r="U106" i="5"/>
  <c r="U109" i="5"/>
  <c r="U112" i="5"/>
  <c r="U115" i="5"/>
  <c r="U125" i="5"/>
  <c r="U128" i="5"/>
  <c r="U131" i="5"/>
  <c r="U134" i="5"/>
  <c r="U137" i="5"/>
  <c r="U153" i="5"/>
  <c r="U161" i="5"/>
  <c r="U173" i="5"/>
  <c r="U175" i="5"/>
  <c r="T15" i="5"/>
  <c r="T21" i="5"/>
  <c r="T28" i="5"/>
  <c r="T40" i="5"/>
  <c r="T43" i="5"/>
  <c r="T50" i="5"/>
  <c r="T70" i="5"/>
  <c r="T76" i="5"/>
  <c r="T79" i="5"/>
  <c r="T90" i="5"/>
  <c r="T93" i="5"/>
  <c r="T98" i="5"/>
  <c r="T103" i="5"/>
  <c r="T106" i="5"/>
  <c r="T109" i="5"/>
  <c r="T112" i="5"/>
  <c r="T115" i="5"/>
  <c r="T125" i="5"/>
  <c r="T128" i="5"/>
  <c r="T131" i="5"/>
  <c r="T134" i="5"/>
  <c r="T137" i="5"/>
  <c r="T153" i="5"/>
  <c r="T161" i="5"/>
  <c r="T173" i="5"/>
  <c r="T175" i="5"/>
  <c r="S15" i="5"/>
  <c r="S21" i="5"/>
  <c r="S28" i="5"/>
  <c r="S40" i="5"/>
  <c r="S43" i="5"/>
  <c r="S50" i="5"/>
  <c r="S70" i="5"/>
  <c r="S76" i="5"/>
  <c r="S79" i="5"/>
  <c r="S90" i="5"/>
  <c r="S93" i="5"/>
  <c r="S98" i="5"/>
  <c r="S103" i="5"/>
  <c r="S106" i="5"/>
  <c r="S109" i="5"/>
  <c r="S112" i="5"/>
  <c r="S115" i="5"/>
  <c r="S125" i="5"/>
  <c r="S128" i="5"/>
  <c r="S131" i="5"/>
  <c r="S134" i="5"/>
  <c r="S137" i="5"/>
  <c r="S153" i="5"/>
  <c r="S161" i="5"/>
  <c r="S173" i="5"/>
  <c r="S175" i="5"/>
  <c r="R15" i="5"/>
  <c r="R21" i="5"/>
  <c r="R28" i="5"/>
  <c r="R40" i="5"/>
  <c r="R43" i="5"/>
  <c r="R50" i="5"/>
  <c r="R70" i="5"/>
  <c r="R76" i="5"/>
  <c r="R79" i="5"/>
  <c r="R90" i="5"/>
  <c r="R93" i="5"/>
  <c r="R98" i="5"/>
  <c r="R103" i="5"/>
  <c r="R106" i="5"/>
  <c r="R109" i="5"/>
  <c r="R112" i="5"/>
  <c r="R115" i="5"/>
  <c r="R125" i="5"/>
  <c r="R128" i="5"/>
  <c r="R131" i="5"/>
  <c r="R134" i="5"/>
  <c r="R137" i="5"/>
  <c r="R153" i="5"/>
  <c r="R161" i="5"/>
  <c r="R173" i="5"/>
  <c r="R175" i="5"/>
  <c r="Q15" i="5"/>
  <c r="Q21" i="5"/>
  <c r="Q28" i="5"/>
  <c r="Q40" i="5"/>
  <c r="Q43" i="5"/>
  <c r="Q50" i="5"/>
  <c r="Q70" i="5"/>
  <c r="Q76" i="5"/>
  <c r="Q79" i="5"/>
  <c r="Q90" i="5"/>
  <c r="Q93" i="5"/>
  <c r="Q98" i="5"/>
  <c r="Q103" i="5"/>
  <c r="Q106" i="5"/>
  <c r="Q109" i="5"/>
  <c r="Q112" i="5"/>
  <c r="Q115" i="5"/>
  <c r="Q125" i="5"/>
  <c r="Q128" i="5"/>
  <c r="Q131" i="5"/>
  <c r="Q134" i="5"/>
  <c r="Q137" i="5"/>
  <c r="Q153" i="5"/>
  <c r="Q161" i="5"/>
  <c r="Q173" i="5"/>
  <c r="Q175" i="5"/>
  <c r="P16" i="5"/>
  <c r="P17" i="5"/>
  <c r="P18" i="5"/>
  <c r="P19" i="5"/>
  <c r="P15" i="5"/>
  <c r="P22" i="5"/>
  <c r="P23" i="5"/>
  <c r="P24" i="5"/>
  <c r="P21" i="5"/>
  <c r="P26" i="5"/>
  <c r="P29" i="5"/>
  <c r="P30" i="5"/>
  <c r="P31" i="5"/>
  <c r="P32" i="5"/>
  <c r="P33" i="5"/>
  <c r="P34" i="5"/>
  <c r="P35" i="5"/>
  <c r="P36" i="5"/>
  <c r="P37" i="5"/>
  <c r="P38" i="5"/>
  <c r="P28" i="5"/>
  <c r="P41" i="5"/>
  <c r="P40" i="5"/>
  <c r="P44" i="5"/>
  <c r="P43" i="5"/>
  <c r="P46" i="5"/>
  <c r="P51" i="5"/>
  <c r="P52" i="5"/>
  <c r="P53" i="5"/>
  <c r="P54" i="5"/>
  <c r="P55" i="5"/>
  <c r="P56" i="5"/>
  <c r="P57" i="5"/>
  <c r="P58" i="5"/>
  <c r="P59" i="5"/>
  <c r="P60" i="5"/>
  <c r="P61" i="5"/>
  <c r="P62" i="5"/>
  <c r="P63" i="5"/>
  <c r="P64" i="5"/>
  <c r="P65" i="5"/>
  <c r="P66" i="5"/>
  <c r="P67" i="5"/>
  <c r="P68" i="5"/>
  <c r="P50" i="5"/>
  <c r="P71" i="5"/>
  <c r="P72" i="5"/>
  <c r="P73" i="5"/>
  <c r="P74" i="5"/>
  <c r="P70" i="5"/>
  <c r="P77" i="5"/>
  <c r="P76" i="5"/>
  <c r="P80" i="5"/>
  <c r="P81" i="5"/>
  <c r="P82" i="5"/>
  <c r="P83" i="5"/>
  <c r="P84" i="5"/>
  <c r="P85" i="5"/>
  <c r="P86" i="5"/>
  <c r="P87" i="5"/>
  <c r="P88" i="5"/>
  <c r="P79" i="5"/>
  <c r="P91" i="5"/>
  <c r="P90" i="5"/>
  <c r="P94" i="5"/>
  <c r="P95" i="5"/>
  <c r="P96" i="5"/>
  <c r="P93" i="5"/>
  <c r="P99" i="5"/>
  <c r="P100" i="5"/>
  <c r="P101" i="5"/>
  <c r="P98" i="5"/>
  <c r="P104" i="5"/>
  <c r="P103" i="5"/>
  <c r="P107" i="5"/>
  <c r="P106" i="5"/>
  <c r="P110" i="5"/>
  <c r="P109" i="5"/>
  <c r="P113" i="5"/>
  <c r="P112" i="5"/>
  <c r="P116" i="5"/>
  <c r="P117" i="5"/>
  <c r="P118" i="5"/>
  <c r="P119" i="5"/>
  <c r="P120" i="5"/>
  <c r="P121" i="5"/>
  <c r="P122" i="5"/>
  <c r="P123" i="5"/>
  <c r="P115" i="5"/>
  <c r="P126" i="5"/>
  <c r="P125" i="5"/>
  <c r="P129" i="5"/>
  <c r="P128" i="5"/>
  <c r="P132" i="5"/>
  <c r="P131" i="5"/>
  <c r="P135" i="5"/>
  <c r="P134" i="5"/>
  <c r="P138" i="5"/>
  <c r="P139" i="5"/>
  <c r="P140" i="5"/>
  <c r="P141" i="5"/>
  <c r="P142" i="5"/>
  <c r="P143" i="5"/>
  <c r="P144" i="5"/>
  <c r="P145" i="5"/>
  <c r="P146" i="5"/>
  <c r="P147" i="5"/>
  <c r="P148" i="5"/>
  <c r="P149" i="5"/>
  <c r="P150" i="5"/>
  <c r="P151" i="5"/>
  <c r="P137" i="5"/>
  <c r="P154" i="5"/>
  <c r="P155" i="5"/>
  <c r="P156" i="5"/>
  <c r="P157" i="5"/>
  <c r="P158" i="5"/>
  <c r="P159" i="5"/>
  <c r="P153" i="5"/>
  <c r="P162" i="5"/>
  <c r="P163" i="5"/>
  <c r="P164" i="5"/>
  <c r="P165" i="5"/>
  <c r="P166" i="5"/>
  <c r="P167" i="5"/>
  <c r="P168" i="5"/>
  <c r="P169" i="5"/>
  <c r="P170" i="5"/>
  <c r="P171" i="5"/>
  <c r="P161" i="5"/>
  <c r="P174" i="5"/>
  <c r="P173" i="5"/>
  <c r="P175" i="5"/>
  <c r="AK173" i="5"/>
  <c r="AI173" i="5"/>
  <c r="M173" i="5"/>
  <c r="AM170" i="5"/>
  <c r="AM169" i="5"/>
  <c r="AK167" i="5"/>
  <c r="AM166" i="5"/>
  <c r="AL166" i="5"/>
  <c r="AM162" i="5"/>
  <c r="AK162" i="5"/>
  <c r="AL162" i="5"/>
  <c r="AM161" i="5"/>
  <c r="AL161" i="5"/>
  <c r="AK161" i="5"/>
  <c r="AI161" i="5"/>
  <c r="M161" i="5"/>
  <c r="AM153" i="5"/>
  <c r="AL153" i="5"/>
  <c r="AK153" i="5"/>
  <c r="AI153" i="5"/>
  <c r="M153" i="5"/>
  <c r="AM146" i="5"/>
  <c r="AM144" i="5"/>
  <c r="AM137" i="5"/>
  <c r="AL137" i="5"/>
  <c r="AK137" i="5"/>
  <c r="AI137" i="5"/>
  <c r="M137" i="5"/>
  <c r="AK134" i="5"/>
  <c r="AI134" i="5"/>
  <c r="M134" i="5"/>
  <c r="AK131" i="5"/>
  <c r="AI131" i="5"/>
  <c r="M131" i="5"/>
  <c r="AK128" i="5"/>
  <c r="AI128" i="5"/>
  <c r="M128" i="5"/>
  <c r="AM125" i="5"/>
  <c r="AL125" i="5"/>
  <c r="AK125" i="5"/>
  <c r="AI125" i="5"/>
  <c r="AI118" i="5"/>
  <c r="AM115" i="5"/>
  <c r="AL115" i="5"/>
  <c r="AK115" i="5"/>
  <c r="AI115" i="5"/>
  <c r="M115" i="5"/>
  <c r="AK112" i="5"/>
  <c r="M112" i="5"/>
  <c r="AK109" i="5"/>
  <c r="AI109" i="5"/>
  <c r="M109" i="5"/>
  <c r="AK106" i="5"/>
  <c r="AI106" i="5"/>
  <c r="M106" i="5"/>
  <c r="AM103" i="5"/>
  <c r="AL103" i="5"/>
  <c r="AK103" i="5"/>
  <c r="AI103" i="5"/>
  <c r="M103" i="5"/>
  <c r="J103" i="5"/>
  <c r="AM98" i="5"/>
  <c r="AL98" i="5"/>
  <c r="AK98" i="5"/>
  <c r="AI98" i="5"/>
  <c r="M98" i="5"/>
  <c r="AL93" i="5"/>
  <c r="AK93" i="5"/>
  <c r="M93" i="5"/>
  <c r="AM91" i="5"/>
  <c r="AK90" i="5"/>
  <c r="AI90" i="5"/>
  <c r="M90" i="5"/>
  <c r="AM80" i="5"/>
  <c r="AL80" i="5"/>
  <c r="AM79" i="5"/>
  <c r="AL79" i="5"/>
  <c r="AK79" i="5"/>
  <c r="AI79" i="5"/>
  <c r="M79" i="5"/>
  <c r="AK76" i="5"/>
  <c r="AI76" i="5"/>
  <c r="M76" i="5"/>
  <c r="AL70" i="5"/>
  <c r="AK70" i="5"/>
  <c r="AI70" i="5"/>
  <c r="M70" i="5"/>
  <c r="AI63" i="5"/>
  <c r="AI53" i="5"/>
  <c r="AI51" i="5"/>
  <c r="AL50" i="5"/>
  <c r="AK50" i="5"/>
  <c r="AI50" i="5"/>
  <c r="M50" i="5"/>
  <c r="M46" i="5"/>
  <c r="AK43" i="5"/>
  <c r="AI43" i="5"/>
  <c r="M43" i="5"/>
  <c r="AK40" i="5"/>
  <c r="AI40" i="5"/>
  <c r="M40" i="5"/>
  <c r="AI37" i="5"/>
  <c r="AI36" i="5"/>
  <c r="AK35" i="5"/>
  <c r="AI35" i="5"/>
  <c r="AI34" i="5"/>
  <c r="AI33" i="5"/>
  <c r="AI32" i="5"/>
  <c r="AI31" i="5"/>
  <c r="AI30" i="5"/>
  <c r="AI29" i="5"/>
  <c r="AL28" i="5"/>
  <c r="AK28" i="5"/>
  <c r="AI28" i="5"/>
  <c r="M28" i="5"/>
  <c r="M26" i="5"/>
  <c r="AI24" i="5"/>
  <c r="AI23" i="5"/>
  <c r="AM22" i="5"/>
  <c r="AL22" i="5"/>
  <c r="AI22" i="5"/>
  <c r="AL21" i="5"/>
  <c r="AK21" i="5"/>
  <c r="AI21" i="5"/>
  <c r="M21" i="5"/>
  <c r="AK19" i="5"/>
  <c r="AI19" i="5"/>
  <c r="AK18" i="5"/>
  <c r="AM18" i="5"/>
  <c r="AI18" i="5"/>
  <c r="AK17" i="5"/>
  <c r="AI17" i="5"/>
  <c r="AM16" i="5"/>
  <c r="AI16" i="5"/>
  <c r="AM15" i="5"/>
  <c r="AL15" i="5"/>
  <c r="AK15" i="5"/>
  <c r="AI15" i="5"/>
  <c r="M15" i="5"/>
  <c r="AJ26" i="3"/>
  <c r="R144" i="2"/>
  <c r="AG144" i="2"/>
  <c r="R143" i="2"/>
  <c r="AG143" i="2"/>
  <c r="R142" i="2"/>
  <c r="AG142" i="2"/>
  <c r="R141" i="2"/>
  <c r="AG141" i="2"/>
  <c r="R140" i="2"/>
  <c r="AG140" i="2"/>
  <c r="AG139" i="2"/>
  <c r="AG138" i="2"/>
  <c r="AG137" i="2"/>
  <c r="AG136" i="2"/>
  <c r="AG135" i="2"/>
  <c r="AG134" i="2"/>
  <c r="AG133" i="2"/>
  <c r="AG132" i="2"/>
  <c r="AG131" i="2"/>
  <c r="AG130" i="2"/>
  <c r="AG129" i="2"/>
  <c r="AG128" i="2"/>
  <c r="AG127" i="2"/>
  <c r="AG124" i="2"/>
  <c r="AG123" i="2"/>
  <c r="AG122" i="2"/>
  <c r="AG121" i="2"/>
  <c r="AG120" i="2"/>
  <c r="AG119" i="2"/>
  <c r="AG118" i="2"/>
  <c r="AG117" i="2"/>
  <c r="AG116" i="2"/>
  <c r="AG115" i="2"/>
  <c r="AG114" i="2"/>
  <c r="AG113" i="2"/>
  <c r="AG112" i="2"/>
  <c r="AG111" i="2"/>
  <c r="AG110" i="2"/>
  <c r="AG109" i="2"/>
  <c r="AG108" i="2"/>
  <c r="AG107" i="2"/>
  <c r="AG106" i="2"/>
  <c r="AG105" i="2"/>
  <c r="AG104" i="2"/>
  <c r="AG103" i="2"/>
  <c r="AG102" i="2"/>
  <c r="AG101" i="2"/>
  <c r="AG100" i="2"/>
  <c r="AG99" i="2"/>
  <c r="AG98" i="2"/>
  <c r="AG97" i="2"/>
  <c r="AG96" i="2"/>
  <c r="AG95" i="2"/>
  <c r="AG94" i="2"/>
  <c r="AG93" i="2"/>
  <c r="AG92" i="2"/>
  <c r="AG91" i="2"/>
  <c r="AG90" i="2"/>
  <c r="AG89" i="2"/>
  <c r="AG88" i="2"/>
  <c r="AG87" i="2"/>
  <c r="AG86" i="2"/>
  <c r="AG85" i="2"/>
  <c r="AG84" i="2"/>
  <c r="AG83" i="2"/>
  <c r="AG82" i="2"/>
  <c r="AG81" i="2"/>
  <c r="AG80" i="2"/>
  <c r="AG79" i="2"/>
  <c r="AG78" i="2"/>
  <c r="AG7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U101" i="1"/>
  <c r="U100" i="1"/>
  <c r="Q101" i="1"/>
  <c r="Q100" i="1"/>
  <c r="U99" i="1"/>
  <c r="Q99" i="1"/>
  <c r="U98" i="1"/>
  <c r="Q98" i="1"/>
  <c r="U97" i="1"/>
  <c r="Q97" i="1"/>
  <c r="M97" i="1"/>
  <c r="U95" i="1"/>
  <c r="Q95" i="1"/>
  <c r="U94" i="1"/>
  <c r="Y94" i="1"/>
  <c r="U90" i="1"/>
  <c r="R90" i="1"/>
  <c r="U89" i="1"/>
  <c r="Q89" i="1"/>
  <c r="Q88" i="1"/>
  <c r="U88" i="1"/>
  <c r="Q87" i="1"/>
  <c r="Q86" i="1"/>
  <c r="U84" i="1"/>
  <c r="Q84" i="1"/>
  <c r="U83" i="1"/>
  <c r="Q83" i="1"/>
  <c r="U82" i="1"/>
  <c r="Q82" i="1"/>
  <c r="T76" i="1"/>
  <c r="P82" i="1"/>
  <c r="T60" i="1"/>
  <c r="Q60" i="1"/>
  <c r="M60" i="1"/>
  <c r="Y66" i="1"/>
  <c r="Q66" i="1"/>
  <c r="T80" i="1"/>
  <c r="T77" i="1"/>
  <c r="M77" i="1"/>
  <c r="T75" i="1"/>
  <c r="AD71" i="1"/>
  <c r="AD70" i="1"/>
  <c r="Q68" i="1"/>
  <c r="Y67" i="1"/>
  <c r="Q67" i="1"/>
  <c r="AD65" i="1"/>
  <c r="Q65" i="1"/>
  <c r="AB63" i="1"/>
  <c r="Y63" i="1"/>
  <c r="T63" i="1"/>
  <c r="Q63" i="1"/>
  <c r="Q62" i="1"/>
  <c r="T61" i="1"/>
  <c r="Q59" i="1"/>
  <c r="M59" i="1"/>
  <c r="M58" i="1"/>
  <c r="AD57" i="1"/>
  <c r="Y57" i="1"/>
  <c r="Q57" i="1"/>
  <c r="Q56" i="1"/>
  <c r="Q55" i="1"/>
  <c r="M55" i="1"/>
  <c r="AD54" i="1"/>
  <c r="Z52" i="1"/>
  <c r="Q52" i="1"/>
  <c r="Q51" i="1"/>
  <c r="Q50" i="1"/>
  <c r="M50" i="1"/>
  <c r="Q49" i="1"/>
  <c r="Q48" i="1"/>
  <c r="Q45" i="1"/>
  <c r="Q44" i="1"/>
  <c r="Q42" i="1"/>
  <c r="Q41" i="1"/>
  <c r="M41" i="1"/>
  <c r="Q40" i="1"/>
  <c r="Q38" i="1"/>
  <c r="M38" i="1"/>
  <c r="Q37" i="1"/>
  <c r="M37" i="1"/>
  <c r="M36" i="1"/>
  <c r="Q36" i="1"/>
  <c r="Q26" i="1"/>
  <c r="M17" i="1"/>
  <c r="R102" i="1"/>
  <c r="S102" i="1"/>
  <c r="T102" i="1"/>
  <c r="U102" i="1"/>
  <c r="V102" i="1"/>
  <c r="W102" i="1"/>
  <c r="X102" i="1"/>
  <c r="Y102" i="1"/>
  <c r="Z102" i="1"/>
  <c r="AA102" i="1"/>
  <c r="AB102" i="1"/>
  <c r="AC102" i="1"/>
  <c r="AD102" i="1"/>
  <c r="Q102"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3" i="1"/>
  <c r="P84" i="1"/>
  <c r="P85" i="1"/>
  <c r="P86" i="1"/>
  <c r="P87" i="1"/>
  <c r="P88" i="1"/>
  <c r="P89" i="1"/>
  <c r="P90" i="1"/>
  <c r="P94" i="1"/>
  <c r="P95" i="1"/>
  <c r="P96" i="1"/>
  <c r="P97" i="1"/>
  <c r="P98" i="1"/>
  <c r="P99" i="1"/>
  <c r="P100" i="1"/>
  <c r="P101" i="1"/>
  <c r="AJ41" i="1"/>
  <c r="AJ40" i="1"/>
  <c r="AJ39" i="1"/>
  <c r="AJ36" i="1"/>
  <c r="AJ35" i="1"/>
  <c r="AJ34" i="1"/>
  <c r="AJ33" i="1"/>
  <c r="AJ32" i="1"/>
  <c r="AJ31" i="1"/>
  <c r="AJ30" i="1"/>
  <c r="AJ29" i="1"/>
  <c r="J65" i="1"/>
  <c r="P102" i="1"/>
</calcChain>
</file>

<file path=xl/comments1.xml><?xml version="1.0" encoding="utf-8"?>
<comments xmlns="http://schemas.openxmlformats.org/spreadsheetml/2006/main">
  <authors>
    <author/>
    <author>ePlaneacion-3</author>
    <author>Diana Maria Bonilla Guzman</author>
  </authors>
  <commentList>
    <comment ref="AI14" authorId="0">
      <text>
        <r>
          <rPr>
            <sz val="11"/>
            <color rgb="FF000000"/>
            <rFont val="Calibri"/>
            <family val="2"/>
          </rPr>
          <t xml:space="preserve">planeacion_9:
EN OBSERVACIONES CARACTERIZAR LA POBLACION
</t>
        </r>
      </text>
    </comment>
    <comment ref="M17" authorId="1">
      <text>
        <r>
          <rPr>
            <b/>
            <sz val="9"/>
            <color indexed="81"/>
            <rFont val="Tahoma"/>
            <family val="2"/>
          </rPr>
          <t>ePlaneacion-3:</t>
        </r>
        <r>
          <rPr>
            <sz val="9"/>
            <color indexed="81"/>
            <rFont val="Tahoma"/>
            <family val="2"/>
          </rPr>
          <t xml:space="preserve">
Se aumentan 50 de meta fisica no ejecutada en 2016</t>
        </r>
      </text>
    </comment>
    <comment ref="AA23" authorId="2">
      <text>
        <r>
          <rPr>
            <b/>
            <sz val="9"/>
            <color indexed="81"/>
            <rFont val="Calibri"/>
            <family val="2"/>
          </rPr>
          <t>Diana Maria Bonilla Guzman:</t>
        </r>
        <r>
          <rPr>
            <sz val="9"/>
            <color indexed="81"/>
            <rFont val="Calibri"/>
            <family val="2"/>
          </rPr>
          <t xml:space="preserve">
Se redujo en 205.505 por aunmento en recursos del SGP.</t>
        </r>
      </text>
    </comment>
    <comment ref="Q26" authorId="1">
      <text>
        <r>
          <rPr>
            <b/>
            <sz val="9"/>
            <color indexed="81"/>
            <rFont val="Tahoma"/>
            <family val="2"/>
          </rPr>
          <t>ePlaneacion-3:</t>
        </r>
        <r>
          <rPr>
            <sz val="9"/>
            <color indexed="81"/>
            <rFont val="Tahoma"/>
            <family val="2"/>
          </rPr>
          <t xml:space="preserve">
130000 de recursos no ejecutados del 2016
</t>
        </r>
      </text>
    </comment>
    <comment ref="AB27" authorId="2">
      <text>
        <r>
          <rPr>
            <b/>
            <sz val="9"/>
            <color indexed="81"/>
            <rFont val="Calibri"/>
            <family val="2"/>
          </rPr>
          <t>Diana Maria Bonilla Guzman:</t>
        </r>
        <r>
          <rPr>
            <sz val="9"/>
            <color indexed="81"/>
            <rFont val="Calibri"/>
            <family val="2"/>
          </rPr>
          <t xml:space="preserve">
Se redujo en 10 porque hubo adición de los recursos en SGP</t>
        </r>
      </text>
    </comment>
    <comment ref="M36" authorId="1">
      <text>
        <r>
          <rPr>
            <b/>
            <sz val="9"/>
            <color indexed="81"/>
            <rFont val="Tahoma"/>
            <family val="2"/>
          </rPr>
          <t>ePlaneacion-3:</t>
        </r>
        <r>
          <rPr>
            <sz val="9"/>
            <color indexed="81"/>
            <rFont val="Tahoma"/>
            <family val="2"/>
          </rPr>
          <t xml:space="preserve">
Se aumenta 1 de meta fisica no ejecutada en el 2016</t>
        </r>
      </text>
    </comment>
    <comment ref="Q36" authorId="1">
      <text>
        <r>
          <rPr>
            <b/>
            <sz val="9"/>
            <color indexed="81"/>
            <rFont val="Tahoma"/>
            <family val="2"/>
          </rPr>
          <t>ePlaneacion-3:</t>
        </r>
        <r>
          <rPr>
            <sz val="9"/>
            <color indexed="81"/>
            <rFont val="Tahoma"/>
            <family val="2"/>
          </rPr>
          <t xml:space="preserve">
Se aumneta 320000 de recursos no ejecutados en el 2016
</t>
        </r>
      </text>
    </comment>
    <comment ref="M37" authorId="1">
      <text>
        <r>
          <rPr>
            <b/>
            <sz val="9"/>
            <color indexed="81"/>
            <rFont val="Tahoma"/>
            <family val="2"/>
          </rPr>
          <t>ePlaneacion-3:</t>
        </r>
        <r>
          <rPr>
            <sz val="9"/>
            <color indexed="81"/>
            <rFont val="Tahoma"/>
            <family val="2"/>
          </rPr>
          <t xml:space="preserve">
Se aumenta 1 de meta fisica no ejecutada en el 2016</t>
        </r>
      </text>
    </comment>
    <comment ref="Q37" authorId="1">
      <text>
        <r>
          <rPr>
            <b/>
            <sz val="9"/>
            <color indexed="81"/>
            <rFont val="Tahoma"/>
            <family val="2"/>
          </rPr>
          <t>ePlaneacion-3:</t>
        </r>
        <r>
          <rPr>
            <sz val="9"/>
            <color indexed="81"/>
            <rFont val="Tahoma"/>
            <family val="2"/>
          </rPr>
          <t xml:space="preserve">
Se aumenta 130000 de recursos no ejecutados en 2016
</t>
        </r>
      </text>
    </comment>
    <comment ref="M38" authorId="1">
      <text>
        <r>
          <rPr>
            <b/>
            <sz val="9"/>
            <color indexed="81"/>
            <rFont val="Tahoma"/>
            <family val="2"/>
          </rPr>
          <t>ePlaneacion-3:</t>
        </r>
        <r>
          <rPr>
            <sz val="9"/>
            <color indexed="81"/>
            <rFont val="Tahoma"/>
            <family val="2"/>
          </rPr>
          <t xml:space="preserve">
SE AUMENTAN 2 DE META FISICA NO EJECUTADA EN EL 2016
</t>
        </r>
      </text>
    </comment>
    <comment ref="Q38" authorId="1">
      <text>
        <r>
          <rPr>
            <b/>
            <sz val="9"/>
            <color indexed="81"/>
            <rFont val="Tahoma"/>
            <family val="2"/>
          </rPr>
          <t>ePlaneacion-3:</t>
        </r>
        <r>
          <rPr>
            <sz val="9"/>
            <color indexed="81"/>
            <rFont val="Tahoma"/>
            <family val="2"/>
          </rPr>
          <t xml:space="preserve">
SE AUMENTAN 60000 DE RECURSOS NO EJECUTADOS EN EL 2016
</t>
        </r>
      </text>
    </comment>
    <comment ref="Q40" authorId="1">
      <text>
        <r>
          <rPr>
            <b/>
            <sz val="9"/>
            <color indexed="81"/>
            <rFont val="Tahoma"/>
            <family val="2"/>
          </rPr>
          <t>ePlaneacion-3:</t>
        </r>
        <r>
          <rPr>
            <sz val="9"/>
            <color indexed="81"/>
            <rFont val="Tahoma"/>
            <family val="2"/>
          </rPr>
          <t xml:space="preserve">
SE AUMENTA 25599 DE RECURSOS NO EJECUTADOS EN EL 2016
</t>
        </r>
      </text>
    </comment>
    <comment ref="M41" authorId="1">
      <text>
        <r>
          <rPr>
            <b/>
            <sz val="9"/>
            <color indexed="81"/>
            <rFont val="Tahoma"/>
            <family val="2"/>
          </rPr>
          <t>ePlaneacion-3:</t>
        </r>
        <r>
          <rPr>
            <sz val="9"/>
            <color indexed="81"/>
            <rFont val="Tahoma"/>
            <family val="2"/>
          </rPr>
          <t xml:space="preserve">
SE AUMENTAN 2 DE META FISICA NO EJECUTADA EN EL 2016</t>
        </r>
      </text>
    </comment>
    <comment ref="Q41" authorId="1">
      <text>
        <r>
          <rPr>
            <b/>
            <sz val="9"/>
            <color indexed="81"/>
            <rFont val="Tahoma"/>
            <family val="2"/>
          </rPr>
          <t>ePlaneacion-3:</t>
        </r>
        <r>
          <rPr>
            <sz val="9"/>
            <color indexed="81"/>
            <rFont val="Tahoma"/>
            <family val="2"/>
          </rPr>
          <t xml:space="preserve">
SE AUMENTAN 147000 DE RECURSOS NO EJECUTADOS EN EL 2016
</t>
        </r>
      </text>
    </comment>
    <comment ref="Q42" authorId="1">
      <text>
        <r>
          <rPr>
            <b/>
            <sz val="9"/>
            <color indexed="81"/>
            <rFont val="Tahoma"/>
            <family val="2"/>
          </rPr>
          <t>ePlaneacion-3:</t>
        </r>
        <r>
          <rPr>
            <sz val="9"/>
            <color indexed="81"/>
            <rFont val="Tahoma"/>
            <family val="2"/>
          </rPr>
          <t xml:space="preserve">
SE AUMENTAN 13200 DE RECURSOS NO EJECUTADOS EN EL 2016
</t>
        </r>
      </text>
    </comment>
    <comment ref="Q44" authorId="1">
      <text>
        <r>
          <rPr>
            <b/>
            <sz val="9"/>
            <color indexed="81"/>
            <rFont val="Tahoma"/>
            <family val="2"/>
          </rPr>
          <t>ePlaneacion-3:</t>
        </r>
        <r>
          <rPr>
            <sz val="9"/>
            <color indexed="81"/>
            <rFont val="Tahoma"/>
            <family val="2"/>
          </rPr>
          <t xml:space="preserve">
SE AUMENTAN 30000 DE RECURSOS NO EJECUTADOS EN EL 2016
</t>
        </r>
      </text>
    </comment>
    <comment ref="Q45" authorId="1">
      <text>
        <r>
          <rPr>
            <b/>
            <sz val="9"/>
            <color indexed="81"/>
            <rFont val="Tahoma"/>
            <family val="2"/>
          </rPr>
          <t>ePlaneacion-3:</t>
        </r>
        <r>
          <rPr>
            <sz val="9"/>
            <color indexed="81"/>
            <rFont val="Tahoma"/>
            <family val="2"/>
          </rPr>
          <t xml:space="preserve">
SE AUMENTAN 5797 DE RECURSOS NO EJECUTADOS EN EL 2016
</t>
        </r>
      </text>
    </comment>
    <comment ref="Q48" authorId="1">
      <text>
        <r>
          <rPr>
            <b/>
            <sz val="9"/>
            <color indexed="81"/>
            <rFont val="Tahoma"/>
            <family val="2"/>
          </rPr>
          <t>ePlaneacion-3:</t>
        </r>
        <r>
          <rPr>
            <sz val="9"/>
            <color indexed="81"/>
            <rFont val="Tahoma"/>
            <family val="2"/>
          </rPr>
          <t xml:space="preserve">
SE AUMENTAN 76000 DE RECURSOS NO EJECUTADOS EN EL 2016
</t>
        </r>
      </text>
    </comment>
    <comment ref="Q49" authorId="1">
      <text>
        <r>
          <rPr>
            <b/>
            <sz val="9"/>
            <color indexed="81"/>
            <rFont val="Tahoma"/>
            <family val="2"/>
          </rPr>
          <t>ePlaneacion-3:</t>
        </r>
        <r>
          <rPr>
            <sz val="9"/>
            <color indexed="81"/>
            <rFont val="Tahoma"/>
            <family val="2"/>
          </rPr>
          <t xml:space="preserve">
SE AUMENTAN 50000 DE RECURSOS NO EJECUTADOS EN EL 2016
</t>
        </r>
      </text>
    </comment>
    <comment ref="M50" authorId="1">
      <text>
        <r>
          <rPr>
            <b/>
            <sz val="9"/>
            <color indexed="81"/>
            <rFont val="Tahoma"/>
            <family val="2"/>
          </rPr>
          <t>ePlaneacion-3:</t>
        </r>
        <r>
          <rPr>
            <sz val="9"/>
            <color indexed="81"/>
            <rFont val="Tahoma"/>
            <family val="2"/>
          </rPr>
          <t xml:space="preserve">
SE AUMENTAN 64 DE META FISICA NO EJECUTADA EN EL 2016
</t>
        </r>
      </text>
    </comment>
    <comment ref="Q50" authorId="1">
      <text>
        <r>
          <rPr>
            <b/>
            <sz val="9"/>
            <color indexed="81"/>
            <rFont val="Tahoma"/>
            <family val="2"/>
          </rPr>
          <t>ePlaneacion-3:</t>
        </r>
        <r>
          <rPr>
            <sz val="9"/>
            <color indexed="81"/>
            <rFont val="Tahoma"/>
            <family val="2"/>
          </rPr>
          <t xml:space="preserve">
SE AUMENTAN 90000 DE RECURSOS NO EJECUTADOS EN EL 2016
</t>
        </r>
      </text>
    </comment>
    <comment ref="Q51" authorId="1">
      <text>
        <r>
          <rPr>
            <b/>
            <sz val="9"/>
            <color indexed="81"/>
            <rFont val="Tahoma"/>
            <family val="2"/>
          </rPr>
          <t>ePlaneacion-3:</t>
        </r>
        <r>
          <rPr>
            <sz val="9"/>
            <color indexed="81"/>
            <rFont val="Tahoma"/>
            <family val="2"/>
          </rPr>
          <t xml:space="preserve">
SE AUMNETAN 62500 DE RECURSOS NO EJECUTADOS EN EL 2016
</t>
        </r>
      </text>
    </comment>
    <comment ref="Z52" authorId="1">
      <text>
        <r>
          <rPr>
            <b/>
            <sz val="9"/>
            <color indexed="81"/>
            <rFont val="Tahoma"/>
            <family val="2"/>
          </rPr>
          <t>ePlaneacion-3:</t>
        </r>
        <r>
          <rPr>
            <sz val="9"/>
            <color indexed="81"/>
            <rFont val="Tahoma"/>
            <family val="2"/>
          </rPr>
          <t xml:space="preserve">
SE AUMENTAN 896000 DE RECURSOS NO EJECUTADOS EN EL 2016
</t>
        </r>
      </text>
    </comment>
    <comment ref="AD54" authorId="1">
      <text>
        <r>
          <rPr>
            <b/>
            <sz val="9"/>
            <color indexed="81"/>
            <rFont val="Tahoma"/>
            <family val="2"/>
          </rPr>
          <t>ePlaneacion-3:</t>
        </r>
        <r>
          <rPr>
            <sz val="9"/>
            <color indexed="81"/>
            <rFont val="Tahoma"/>
            <family val="2"/>
          </rPr>
          <t xml:space="preserve">
SE AUMENTAN 668255 DE RECURSOS NO EJECUTADOS EN EL 2016
</t>
        </r>
      </text>
    </comment>
    <comment ref="M55" authorId="1">
      <text>
        <r>
          <rPr>
            <b/>
            <sz val="9"/>
            <color indexed="81"/>
            <rFont val="Tahoma"/>
            <family val="2"/>
          </rPr>
          <t>ePlaneacion-3:</t>
        </r>
        <r>
          <rPr>
            <sz val="9"/>
            <color indexed="81"/>
            <rFont val="Tahoma"/>
            <family val="2"/>
          </rPr>
          <t xml:space="preserve">
SE AUMENTAN 6 DE META FISICA NO EJECUTADA EN EL 2016
</t>
        </r>
      </text>
    </comment>
    <comment ref="Q55" authorId="1">
      <text>
        <r>
          <rPr>
            <b/>
            <sz val="9"/>
            <color indexed="81"/>
            <rFont val="Tahoma"/>
            <family val="2"/>
          </rPr>
          <t>ePlaneacion-3:</t>
        </r>
        <r>
          <rPr>
            <sz val="9"/>
            <color indexed="81"/>
            <rFont val="Tahoma"/>
            <family val="2"/>
          </rPr>
          <t xml:space="preserve">
SE AUMENTAN 48000 DE RECURSOS NO EJECUTADOS EN EL 2016
</t>
        </r>
      </text>
    </comment>
    <comment ref="Q56" authorId="1">
      <text>
        <r>
          <rPr>
            <b/>
            <sz val="9"/>
            <color indexed="81"/>
            <rFont val="Tahoma"/>
            <family val="2"/>
          </rPr>
          <t>ePlaneacion-3:</t>
        </r>
        <r>
          <rPr>
            <sz val="9"/>
            <color indexed="81"/>
            <rFont val="Tahoma"/>
            <family val="2"/>
          </rPr>
          <t xml:space="preserve">
SE AUMENTAN 40000 DE RECURSOS NO EJECUTADOS EN EL 2016
</t>
        </r>
      </text>
    </comment>
    <comment ref="Q57" authorId="1">
      <text>
        <r>
          <rPr>
            <b/>
            <sz val="9"/>
            <color indexed="81"/>
            <rFont val="Tahoma"/>
            <family val="2"/>
          </rPr>
          <t>ePlaneacion-3:</t>
        </r>
        <r>
          <rPr>
            <sz val="9"/>
            <color indexed="81"/>
            <rFont val="Tahoma"/>
            <family val="2"/>
          </rPr>
          <t xml:space="preserve">
SE AUMENTAN 68000 DE RECURSOS NO EJECUTADOS EN EL 2016
</t>
        </r>
      </text>
    </comment>
    <comment ref="Y57" authorId="1">
      <text>
        <r>
          <rPr>
            <b/>
            <sz val="9"/>
            <color indexed="81"/>
            <rFont val="Tahoma"/>
            <family val="2"/>
          </rPr>
          <t>ePlaneacion-3:</t>
        </r>
        <r>
          <rPr>
            <sz val="9"/>
            <color indexed="81"/>
            <rFont val="Tahoma"/>
            <family val="2"/>
          </rPr>
          <t xml:space="preserve">
SE AUMENTAN 192000 DE RECURSOS NO EJECUTADOS </t>
        </r>
      </text>
    </comment>
    <comment ref="AD57" authorId="1">
      <text>
        <r>
          <rPr>
            <b/>
            <sz val="9"/>
            <color indexed="81"/>
            <rFont val="Tahoma"/>
            <family val="2"/>
          </rPr>
          <t>ePlaneacion-3:</t>
        </r>
        <r>
          <rPr>
            <sz val="9"/>
            <color indexed="81"/>
            <rFont val="Tahoma"/>
            <family val="2"/>
          </rPr>
          <t xml:space="preserve">
SE AUMENTAN 140000 DE RECURSOS NO EJECUTADOS EN EL 2016
</t>
        </r>
      </text>
    </comment>
    <comment ref="M58" authorId="1">
      <text>
        <r>
          <rPr>
            <b/>
            <sz val="9"/>
            <color indexed="81"/>
            <rFont val="Tahoma"/>
            <family val="2"/>
          </rPr>
          <t>ePlaneacion-3:</t>
        </r>
        <r>
          <rPr>
            <sz val="9"/>
            <color indexed="81"/>
            <rFont val="Tahoma"/>
            <family val="2"/>
          </rPr>
          <t xml:space="preserve">
SE AUMENTAN 100 DE META FÍSICA NO EJECUTADA EN EL 2016
</t>
        </r>
      </text>
    </comment>
    <comment ref="M59" authorId="1">
      <text>
        <r>
          <rPr>
            <b/>
            <sz val="9"/>
            <color indexed="81"/>
            <rFont val="Tahoma"/>
            <family val="2"/>
          </rPr>
          <t>ePlaneacion-3:</t>
        </r>
        <r>
          <rPr>
            <sz val="9"/>
            <color indexed="81"/>
            <rFont val="Tahoma"/>
            <family val="2"/>
          </rPr>
          <t xml:space="preserve">
SE AUMENTAN 200 DE META FSICA NO PROGRAMADA EN EL 2016
</t>
        </r>
      </text>
    </comment>
    <comment ref="Q59" authorId="1">
      <text>
        <r>
          <rPr>
            <b/>
            <sz val="9"/>
            <color indexed="81"/>
            <rFont val="Tahoma"/>
            <family val="2"/>
          </rPr>
          <t>ePlaneacion-3:</t>
        </r>
        <r>
          <rPr>
            <sz val="9"/>
            <color indexed="81"/>
            <rFont val="Tahoma"/>
            <family val="2"/>
          </rPr>
          <t xml:space="preserve">
SE AUMENTAN 120000 DE RECURSOS NO PROGRAMADOS EN EL 2016
</t>
        </r>
      </text>
    </comment>
    <comment ref="M60" authorId="1">
      <text>
        <r>
          <rPr>
            <b/>
            <sz val="9"/>
            <color indexed="81"/>
            <rFont val="Tahoma"/>
            <family val="2"/>
          </rPr>
          <t>ePlaneacion-3:</t>
        </r>
        <r>
          <rPr>
            <sz val="9"/>
            <color indexed="81"/>
            <rFont val="Tahoma"/>
            <family val="2"/>
          </rPr>
          <t xml:space="preserve">
SE AUMENTAN UN 20% POR META FISICA NO EJECUTADA EN EL 2016</t>
        </r>
      </text>
    </comment>
    <comment ref="Q60" authorId="1">
      <text>
        <r>
          <rPr>
            <b/>
            <sz val="9"/>
            <color indexed="81"/>
            <rFont val="Tahoma"/>
            <family val="2"/>
          </rPr>
          <t>ePlaneacion-3:</t>
        </r>
        <r>
          <rPr>
            <sz val="9"/>
            <color indexed="81"/>
            <rFont val="Tahoma"/>
            <family val="2"/>
          </rPr>
          <t xml:space="preserve">
SE AUMENTAN 6000 POR RECURSOS NO EJECUTADOS EN EL 2016</t>
        </r>
      </text>
    </comment>
    <comment ref="T60" authorId="1">
      <text>
        <r>
          <rPr>
            <b/>
            <sz val="9"/>
            <color indexed="81"/>
            <rFont val="Tahoma"/>
            <family val="2"/>
          </rPr>
          <t>ePlaneacion-3:</t>
        </r>
        <r>
          <rPr>
            <sz val="9"/>
            <color indexed="81"/>
            <rFont val="Tahoma"/>
            <family val="2"/>
          </rPr>
          <t xml:space="preserve">
SE AUMENTAN 90000 POR RECURSOS NO EJECUTADOS EN EL 2016</t>
        </r>
      </text>
    </comment>
    <comment ref="T61" authorId="1">
      <text>
        <r>
          <rPr>
            <b/>
            <sz val="9"/>
            <color indexed="81"/>
            <rFont val="Tahoma"/>
            <family val="2"/>
          </rPr>
          <t>ePlaneacion-3:</t>
        </r>
        <r>
          <rPr>
            <sz val="9"/>
            <color indexed="81"/>
            <rFont val="Tahoma"/>
            <family val="2"/>
          </rPr>
          <t xml:space="preserve">
SE AUMENTAN 250786 DE RECURSOS NO EJECUTADOS EN EL 2016
</t>
        </r>
      </text>
    </comment>
    <comment ref="M62" authorId="1">
      <text>
        <r>
          <rPr>
            <b/>
            <sz val="9"/>
            <color indexed="81"/>
            <rFont val="Tahoma"/>
            <family val="2"/>
          </rPr>
          <t>ePlaneacion-3:</t>
        </r>
        <r>
          <rPr>
            <sz val="9"/>
            <color indexed="81"/>
            <rFont val="Tahoma"/>
            <family val="2"/>
          </rPr>
          <t xml:space="preserve">
SE AUMENTA 0,1 DE META FISICA NO EJECUTADA EN EL 2016</t>
        </r>
      </text>
    </comment>
    <comment ref="Q62" authorId="1">
      <text>
        <r>
          <rPr>
            <b/>
            <sz val="9"/>
            <color indexed="81"/>
            <rFont val="Tahoma"/>
            <family val="2"/>
          </rPr>
          <t>ePlaneacion-3:</t>
        </r>
        <r>
          <rPr>
            <sz val="9"/>
            <color indexed="81"/>
            <rFont val="Tahoma"/>
            <family val="2"/>
          </rPr>
          <t xml:space="preserve">
SE AUMENTAN 48000 DE RECURSOS NO EJECUTADOS EN EL 2016
</t>
        </r>
      </text>
    </comment>
    <comment ref="Q63" authorId="1">
      <text>
        <r>
          <rPr>
            <b/>
            <sz val="9"/>
            <color indexed="81"/>
            <rFont val="Tahoma"/>
            <family val="2"/>
          </rPr>
          <t>ePlaneacion-3:</t>
        </r>
        <r>
          <rPr>
            <sz val="9"/>
            <color indexed="81"/>
            <rFont val="Tahoma"/>
            <family val="2"/>
          </rPr>
          <t xml:space="preserve">
SE AUMENTAN 32000 DE RECURSOS NO EJECUTADOS EN EL 2016
</t>
        </r>
      </text>
    </comment>
    <comment ref="T63" authorId="1">
      <text>
        <r>
          <rPr>
            <b/>
            <sz val="9"/>
            <color indexed="81"/>
            <rFont val="Tahoma"/>
            <family val="2"/>
          </rPr>
          <t>ePlaneacion-3:</t>
        </r>
        <r>
          <rPr>
            <sz val="9"/>
            <color indexed="81"/>
            <rFont val="Tahoma"/>
            <family val="2"/>
          </rPr>
          <t xml:space="preserve">
SE AUMENTAN 20000 DE RECURSOS NO EJECUTADOS EN EL 2016
</t>
        </r>
      </text>
    </comment>
    <comment ref="Y63" authorId="1">
      <text>
        <r>
          <rPr>
            <b/>
            <sz val="9"/>
            <color indexed="81"/>
            <rFont val="Tahoma"/>
            <family val="2"/>
          </rPr>
          <t>ePlaneacion-3:</t>
        </r>
        <r>
          <rPr>
            <sz val="9"/>
            <color indexed="81"/>
            <rFont val="Tahoma"/>
            <family val="2"/>
          </rPr>
          <t xml:space="preserve">
SE AUMENTAN 30000 DE RECUROS NO EJECUTADOS EN EL 2016</t>
        </r>
      </text>
    </comment>
    <comment ref="AB63" authorId="1">
      <text>
        <r>
          <rPr>
            <b/>
            <sz val="9"/>
            <color indexed="81"/>
            <rFont val="Tahoma"/>
            <family val="2"/>
          </rPr>
          <t>ePlaneacion-3:</t>
        </r>
        <r>
          <rPr>
            <sz val="9"/>
            <color indexed="81"/>
            <rFont val="Tahoma"/>
            <family val="2"/>
          </rPr>
          <t xml:space="preserve">
SE AUMENTAN 120000 DE RECURSOS NO EJECUTADOS EN EL 2016</t>
        </r>
      </text>
    </comment>
    <comment ref="Q65" authorId="1">
      <text>
        <r>
          <rPr>
            <b/>
            <sz val="9"/>
            <color indexed="81"/>
            <rFont val="Tahoma"/>
            <family val="2"/>
          </rPr>
          <t>ePlaneacion-3:</t>
        </r>
        <r>
          <rPr>
            <sz val="9"/>
            <color indexed="81"/>
            <rFont val="Tahoma"/>
            <family val="2"/>
          </rPr>
          <t xml:space="preserve">
AUMENTO DE 24000 POR RECURSOS NO EJECUTADOS EN EL 2016
</t>
        </r>
      </text>
    </comment>
    <comment ref="AD65" authorId="1">
      <text>
        <r>
          <rPr>
            <b/>
            <sz val="9"/>
            <color indexed="81"/>
            <rFont val="Tahoma"/>
            <family val="2"/>
          </rPr>
          <t>ePlaneacion-3:</t>
        </r>
        <r>
          <rPr>
            <sz val="9"/>
            <color indexed="81"/>
            <rFont val="Tahoma"/>
            <family val="2"/>
          </rPr>
          <t xml:space="preserve">
AUMENTO DE 1634000 POR RECURSOS NO EJECUTADOS EN EL 2016
</t>
        </r>
      </text>
    </comment>
    <comment ref="Q66" authorId="1">
      <text>
        <r>
          <rPr>
            <b/>
            <sz val="9"/>
            <color indexed="81"/>
            <rFont val="Tahoma"/>
            <family val="2"/>
          </rPr>
          <t>ePlaneacion-3:</t>
        </r>
        <r>
          <rPr>
            <sz val="9"/>
            <color indexed="81"/>
            <rFont val="Tahoma"/>
            <family val="2"/>
          </rPr>
          <t xml:space="preserve">
SE AUMENTAN 12000 POR RECURSOS NO EJECUTADOS EN EL AÑO 2016</t>
        </r>
      </text>
    </comment>
    <comment ref="Y66" authorId="1">
      <text>
        <r>
          <rPr>
            <b/>
            <sz val="9"/>
            <color indexed="81"/>
            <rFont val="Tahoma"/>
            <family val="2"/>
          </rPr>
          <t>ePlaneacion-3:</t>
        </r>
        <r>
          <rPr>
            <sz val="9"/>
            <color indexed="81"/>
            <rFont val="Tahoma"/>
            <family val="2"/>
          </rPr>
          <t xml:space="preserve">
SE AUMENTAN 951000 POR RECURSOS NO EJECUTADOS EN EL 2016</t>
        </r>
      </text>
    </comment>
    <comment ref="Q67" authorId="1">
      <text>
        <r>
          <rPr>
            <b/>
            <sz val="9"/>
            <color indexed="81"/>
            <rFont val="Tahoma"/>
            <family val="2"/>
          </rPr>
          <t>ePlaneacion-3:</t>
        </r>
        <r>
          <rPr>
            <sz val="9"/>
            <color indexed="81"/>
            <rFont val="Tahoma"/>
            <family val="2"/>
          </rPr>
          <t xml:space="preserve">
SE AUMENTA 90000 DE RECURSOS NO EJECUTADOS EN EL 2016</t>
        </r>
      </text>
    </comment>
    <comment ref="Y67" authorId="1">
      <text>
        <r>
          <rPr>
            <b/>
            <sz val="9"/>
            <color indexed="81"/>
            <rFont val="Tahoma"/>
            <family val="2"/>
          </rPr>
          <t>ePlaneacion-3:</t>
        </r>
        <r>
          <rPr>
            <sz val="9"/>
            <color indexed="81"/>
            <rFont val="Tahoma"/>
            <family val="2"/>
          </rPr>
          <t xml:space="preserve">
SE AUMENTA 60000 DE RECURSOS NO EJECUTADOS EN EL 2016
</t>
        </r>
      </text>
    </comment>
    <comment ref="Q68" authorId="1">
      <text>
        <r>
          <rPr>
            <b/>
            <sz val="9"/>
            <color indexed="81"/>
            <rFont val="Tahoma"/>
            <family val="2"/>
          </rPr>
          <t>ePlaneacion-3:</t>
        </r>
        <r>
          <rPr>
            <sz val="9"/>
            <color indexed="81"/>
            <rFont val="Tahoma"/>
            <family val="2"/>
          </rPr>
          <t xml:space="preserve">
SE AUMENTAN 80000 DE RECURSOS NO EJECUTADOS EN EL 2016
</t>
        </r>
      </text>
    </comment>
    <comment ref="AB68" authorId="2">
      <text>
        <r>
          <rPr>
            <b/>
            <sz val="9"/>
            <color indexed="81"/>
            <rFont val="Calibri"/>
            <family val="2"/>
          </rPr>
          <t>Diana Maria Bonilla Guzman:</t>
        </r>
        <r>
          <rPr>
            <sz val="9"/>
            <color indexed="81"/>
            <rFont val="Calibri"/>
            <family val="2"/>
          </rPr>
          <t xml:space="preserve">
Se quitan 11 debido al aumento en recursos propios del programa fortalecimiento.
</t>
        </r>
      </text>
    </comment>
    <comment ref="AD70" authorId="1">
      <text>
        <r>
          <rPr>
            <b/>
            <sz val="9"/>
            <color indexed="81"/>
            <rFont val="Tahoma"/>
            <family val="2"/>
          </rPr>
          <t>ePlaneacion-3:</t>
        </r>
        <r>
          <rPr>
            <sz val="9"/>
            <color indexed="81"/>
            <rFont val="Tahoma"/>
            <family val="2"/>
          </rPr>
          <t xml:space="preserve">
SE AUMENTAN 1392000 POR RECURSOS NO EJECUTADOS EN EL 2016
</t>
        </r>
      </text>
    </comment>
    <comment ref="AD71" authorId="1">
      <text>
        <r>
          <rPr>
            <b/>
            <sz val="9"/>
            <color indexed="81"/>
            <rFont val="Tahoma"/>
            <family val="2"/>
          </rPr>
          <t>ePlaneacion-3:</t>
        </r>
        <r>
          <rPr>
            <sz val="9"/>
            <color indexed="81"/>
            <rFont val="Tahoma"/>
            <family val="2"/>
          </rPr>
          <t xml:space="preserve">
SE AUMENTAN 8622000 POR RECURSOS NO EJECUTADOS EN EL 2016
</t>
        </r>
      </text>
    </comment>
    <comment ref="T75" authorId="1">
      <text>
        <r>
          <rPr>
            <b/>
            <sz val="9"/>
            <color indexed="81"/>
            <rFont val="Tahoma"/>
            <family val="2"/>
          </rPr>
          <t>ePlaneacion-3:</t>
        </r>
        <r>
          <rPr>
            <sz val="9"/>
            <color indexed="81"/>
            <rFont val="Tahoma"/>
            <family val="2"/>
          </rPr>
          <t xml:space="preserve">
SE AUMENTAN 4823 POR RECURSOS NO EJECUTADOS EN EL 2016</t>
        </r>
      </text>
    </comment>
    <comment ref="T76" authorId="1">
      <text>
        <r>
          <rPr>
            <b/>
            <sz val="9"/>
            <color indexed="81"/>
            <rFont val="Tahoma"/>
            <family val="2"/>
          </rPr>
          <t>ePlaneacion-3:</t>
        </r>
        <r>
          <rPr>
            <sz val="9"/>
            <color indexed="81"/>
            <rFont val="Tahoma"/>
            <family val="2"/>
          </rPr>
          <t xml:space="preserve">
SE AUMENTAN 144152 DE RECURSOS NO EJECUTADOS EN EL 2016</t>
        </r>
      </text>
    </comment>
    <comment ref="T77" authorId="1">
      <text>
        <r>
          <rPr>
            <b/>
            <sz val="9"/>
            <color indexed="81"/>
            <rFont val="Tahoma"/>
            <family val="2"/>
          </rPr>
          <t>ePlaneacion-3:</t>
        </r>
        <r>
          <rPr>
            <sz val="9"/>
            <color indexed="81"/>
            <rFont val="Tahoma"/>
            <family val="2"/>
          </rPr>
          <t xml:space="preserve">
SE AUMENTAN 223104 POR RECURSOS NO EJECUTADOS EN EL 2016
</t>
        </r>
      </text>
    </comment>
    <comment ref="T80" authorId="1">
      <text>
        <r>
          <rPr>
            <b/>
            <sz val="9"/>
            <color indexed="81"/>
            <rFont val="Tahoma"/>
            <family val="2"/>
          </rPr>
          <t>ePlaneacion-3:</t>
        </r>
        <r>
          <rPr>
            <sz val="9"/>
            <color indexed="81"/>
            <rFont val="Tahoma"/>
            <family val="2"/>
          </rPr>
          <t xml:space="preserve">
AUMENTAN 1205505 POR RECURSOS NO EJECUTADOS EN EL 2016
</t>
        </r>
      </text>
    </comment>
    <comment ref="M82" authorId="1">
      <text>
        <r>
          <rPr>
            <b/>
            <sz val="9"/>
            <color indexed="81"/>
            <rFont val="Tahoma"/>
            <family val="2"/>
          </rPr>
          <t>ePlaneacion-3:</t>
        </r>
        <r>
          <rPr>
            <sz val="9"/>
            <color indexed="81"/>
            <rFont val="Tahoma"/>
            <family val="2"/>
          </rPr>
          <t xml:space="preserve">
SE AUMENTA 5% DE META FÍSICA NO EJECUTADA EN EL 2016</t>
        </r>
      </text>
    </comment>
    <comment ref="Q82" authorId="1">
      <text>
        <r>
          <rPr>
            <b/>
            <sz val="9"/>
            <color indexed="81"/>
            <rFont val="Tahoma"/>
            <family val="2"/>
          </rPr>
          <t>ePlaneacion-3:</t>
        </r>
        <r>
          <rPr>
            <sz val="9"/>
            <color indexed="81"/>
            <rFont val="Tahoma"/>
            <family val="2"/>
          </rPr>
          <t xml:space="preserve">
SE AUMENTAN 22500 DE RECURSOS NO EJECUTADIOS EN EL 2016
</t>
        </r>
      </text>
    </comment>
    <comment ref="U82" authorId="1">
      <text>
        <r>
          <rPr>
            <b/>
            <sz val="9"/>
            <color indexed="81"/>
            <rFont val="Tahoma"/>
            <family val="2"/>
          </rPr>
          <t>ePlaneacion-3:</t>
        </r>
        <r>
          <rPr>
            <sz val="9"/>
            <color indexed="81"/>
            <rFont val="Tahoma"/>
            <family val="2"/>
          </rPr>
          <t xml:space="preserve">
SE AUMENTAN 54750 DE RECURSOS NO EJECUTADOS EN EL 2016</t>
        </r>
      </text>
    </comment>
    <comment ref="M83" authorId="1">
      <text>
        <r>
          <rPr>
            <b/>
            <sz val="9"/>
            <color indexed="81"/>
            <rFont val="Tahoma"/>
            <family val="2"/>
          </rPr>
          <t>ePlaneacion-3:</t>
        </r>
        <r>
          <rPr>
            <sz val="9"/>
            <color indexed="81"/>
            <rFont val="Tahoma"/>
            <family val="2"/>
          </rPr>
          <t xml:space="preserve">
SE AUMENTAN 3% DE META FÍSICA NO EJECUTADA EN EL 2016</t>
        </r>
      </text>
    </comment>
    <comment ref="Q83" authorId="1">
      <text>
        <r>
          <rPr>
            <b/>
            <sz val="9"/>
            <color indexed="81"/>
            <rFont val="Tahoma"/>
            <family val="2"/>
          </rPr>
          <t>ePlaneacion-3:</t>
        </r>
        <r>
          <rPr>
            <sz val="9"/>
            <color indexed="81"/>
            <rFont val="Tahoma"/>
            <family val="2"/>
          </rPr>
          <t xml:space="preserve">
SE AUMENTAN 22500 DE RECURSOS NO EJECUTADOS EN EL 2016</t>
        </r>
      </text>
    </comment>
    <comment ref="U83" authorId="1">
      <text>
        <r>
          <rPr>
            <b/>
            <sz val="9"/>
            <color indexed="81"/>
            <rFont val="Tahoma"/>
            <family val="2"/>
          </rPr>
          <t>ePlaneacion-3:</t>
        </r>
        <r>
          <rPr>
            <sz val="9"/>
            <color indexed="81"/>
            <rFont val="Tahoma"/>
            <family val="2"/>
          </rPr>
          <t xml:space="preserve">
SE AUMENTAN 54750 DE RECURSOS NO EJECUTADOS EN EL 2016</t>
        </r>
      </text>
    </comment>
    <comment ref="M84" authorId="1">
      <text>
        <r>
          <rPr>
            <b/>
            <sz val="9"/>
            <color indexed="81"/>
            <rFont val="Tahoma"/>
            <family val="2"/>
          </rPr>
          <t>ePlaneacion-3:</t>
        </r>
        <r>
          <rPr>
            <sz val="9"/>
            <color indexed="81"/>
            <rFont val="Tahoma"/>
            <family val="2"/>
          </rPr>
          <t xml:space="preserve">
SE AUMENTAN 6% DE META FÍSICA NO EJECUTADA EN EL 2016</t>
        </r>
      </text>
    </comment>
    <comment ref="Q84" authorId="1">
      <text>
        <r>
          <rPr>
            <b/>
            <sz val="9"/>
            <color indexed="81"/>
            <rFont val="Tahoma"/>
            <family val="2"/>
          </rPr>
          <t>ePlaneacion-3:</t>
        </r>
        <r>
          <rPr>
            <sz val="9"/>
            <color indexed="81"/>
            <rFont val="Tahoma"/>
            <family val="2"/>
          </rPr>
          <t xml:space="preserve">
SE AUMENTAN 22500 DE RECURSOS NO EJECUTADOS EN EL 2016</t>
        </r>
      </text>
    </comment>
    <comment ref="U84" authorId="1">
      <text>
        <r>
          <rPr>
            <b/>
            <sz val="9"/>
            <color indexed="81"/>
            <rFont val="Tahoma"/>
            <family val="2"/>
          </rPr>
          <t>ePlaneacion-3:</t>
        </r>
        <r>
          <rPr>
            <sz val="9"/>
            <color indexed="81"/>
            <rFont val="Tahoma"/>
            <family val="2"/>
          </rPr>
          <t xml:space="preserve">
SE AUMENTAN 54750 DE RECURSOS NO EJECUTADOS EN EL 2016</t>
        </r>
      </text>
    </comment>
    <comment ref="M85" authorId="1">
      <text>
        <r>
          <rPr>
            <b/>
            <sz val="9"/>
            <color indexed="81"/>
            <rFont val="Tahoma"/>
            <family val="2"/>
          </rPr>
          <t>ePlaneacion-3:</t>
        </r>
        <r>
          <rPr>
            <sz val="9"/>
            <color indexed="81"/>
            <rFont val="Tahoma"/>
            <family val="2"/>
          </rPr>
          <t xml:space="preserve">
SE AUMENTAN 2 INICIATIVAS QUE NO SE EJECUTARON EN EL 2016</t>
        </r>
      </text>
    </comment>
    <comment ref="Q86" authorId="1">
      <text>
        <r>
          <rPr>
            <b/>
            <sz val="9"/>
            <color indexed="81"/>
            <rFont val="Tahoma"/>
            <family val="2"/>
          </rPr>
          <t>ePlaneacion-3:</t>
        </r>
        <r>
          <rPr>
            <sz val="9"/>
            <color indexed="81"/>
            <rFont val="Tahoma"/>
            <family val="2"/>
          </rPr>
          <t xml:space="preserve">
SE AUMENTAN 66123 DE RECURSOS NO EJECUTADOS EN EL 2016</t>
        </r>
      </text>
    </comment>
    <comment ref="Q87" authorId="1">
      <text>
        <r>
          <rPr>
            <b/>
            <sz val="9"/>
            <color indexed="81"/>
            <rFont val="Tahoma"/>
            <family val="2"/>
          </rPr>
          <t>ePlaneacion-3:</t>
        </r>
        <r>
          <rPr>
            <sz val="9"/>
            <color indexed="81"/>
            <rFont val="Tahoma"/>
            <family val="2"/>
          </rPr>
          <t xml:space="preserve">
SE AUMENTAN 42250 DE RECURSOS NO EJECUTADOS EN EL 2016</t>
        </r>
      </text>
    </comment>
    <comment ref="Q88" authorId="1">
      <text>
        <r>
          <rPr>
            <b/>
            <sz val="9"/>
            <color indexed="81"/>
            <rFont val="Tahoma"/>
            <family val="2"/>
          </rPr>
          <t>ePlaneacion-3:</t>
        </r>
        <r>
          <rPr>
            <sz val="9"/>
            <color indexed="81"/>
            <rFont val="Tahoma"/>
            <family val="2"/>
          </rPr>
          <t xml:space="preserve">
SE AUEMENTAN 34790 DE RECURSOS NO EJECUTADOS EN EL 2016</t>
        </r>
      </text>
    </comment>
    <comment ref="U88" authorId="1">
      <text>
        <r>
          <rPr>
            <b/>
            <sz val="9"/>
            <color indexed="81"/>
            <rFont val="Tahoma"/>
            <family val="2"/>
          </rPr>
          <t>ePlaneacion-3:</t>
        </r>
        <r>
          <rPr>
            <sz val="9"/>
            <color indexed="81"/>
            <rFont val="Tahoma"/>
            <family val="2"/>
          </rPr>
          <t xml:space="preserve">
SE AUMENTAN 54750 DE RECURSOS NO EJECUTADOS EN EL 2016</t>
        </r>
      </text>
    </comment>
    <comment ref="M89" authorId="1">
      <text>
        <r>
          <rPr>
            <b/>
            <sz val="9"/>
            <color indexed="81"/>
            <rFont val="Tahoma"/>
            <family val="2"/>
          </rPr>
          <t>ePlaneacion-3:</t>
        </r>
        <r>
          <rPr>
            <sz val="9"/>
            <color indexed="81"/>
            <rFont val="Tahoma"/>
            <family val="2"/>
          </rPr>
          <t xml:space="preserve">
SE AUMENTAN 10% POR META FÍSICA NO EJECUTADA EN EL 2016</t>
        </r>
      </text>
    </comment>
    <comment ref="Q89" authorId="1">
      <text>
        <r>
          <rPr>
            <b/>
            <sz val="9"/>
            <color indexed="81"/>
            <rFont val="Tahoma"/>
            <family val="2"/>
          </rPr>
          <t>ePlaneacion-3:</t>
        </r>
        <r>
          <rPr>
            <sz val="9"/>
            <color indexed="81"/>
            <rFont val="Tahoma"/>
            <family val="2"/>
          </rPr>
          <t xml:space="preserve">
SE AUMENTAN 108000 POR RECURSOS NO EJECUTADOS EN EL 2016</t>
        </r>
      </text>
    </comment>
    <comment ref="U89" authorId="1">
      <text>
        <r>
          <rPr>
            <b/>
            <sz val="9"/>
            <color indexed="81"/>
            <rFont val="Tahoma"/>
            <family val="2"/>
          </rPr>
          <t>ePlaneacion-3:</t>
        </r>
        <r>
          <rPr>
            <sz val="9"/>
            <color indexed="81"/>
            <rFont val="Tahoma"/>
            <family val="2"/>
          </rPr>
          <t xml:space="preserve">
SE AUMENTAN 54750 POR RECURSOS NO EJECUTADOS EN EL 2016</t>
        </r>
      </text>
    </comment>
    <comment ref="M90" authorId="1">
      <text>
        <r>
          <rPr>
            <b/>
            <sz val="9"/>
            <color indexed="81"/>
            <rFont val="Tahoma"/>
            <family val="2"/>
          </rPr>
          <t>ePlaneacion-3:</t>
        </r>
        <r>
          <rPr>
            <sz val="9"/>
            <color indexed="81"/>
            <rFont val="Tahoma"/>
            <family val="2"/>
          </rPr>
          <t xml:space="preserve">
SE AUMENTA 1 MUNICIPIO POR NO EJECUTARSE EN EL 2016</t>
        </r>
      </text>
    </comment>
    <comment ref="R90" authorId="1">
      <text>
        <r>
          <rPr>
            <b/>
            <sz val="9"/>
            <color indexed="81"/>
            <rFont val="Tahoma"/>
            <family val="2"/>
          </rPr>
          <t>ePlaneacion-3:</t>
        </r>
        <r>
          <rPr>
            <sz val="9"/>
            <color indexed="81"/>
            <rFont val="Tahoma"/>
            <family val="2"/>
          </rPr>
          <t xml:space="preserve">
SE AUMENTAN 322241 POR RECURSOS NO EJECUTADOS EN EL 2016</t>
        </r>
      </text>
    </comment>
    <comment ref="U90" authorId="1">
      <text>
        <r>
          <rPr>
            <b/>
            <sz val="9"/>
            <color indexed="81"/>
            <rFont val="Tahoma"/>
            <family val="2"/>
          </rPr>
          <t>ePlaneacion-3:</t>
        </r>
        <r>
          <rPr>
            <sz val="9"/>
            <color indexed="81"/>
            <rFont val="Tahoma"/>
            <family val="2"/>
          </rPr>
          <t xml:space="preserve">
SE AUMENTAN 54750 POR RECURSOS NO EJECUTADOS EN EL 2016</t>
        </r>
      </text>
    </comment>
    <comment ref="U94" authorId="1">
      <text>
        <r>
          <rPr>
            <b/>
            <sz val="9"/>
            <color indexed="81"/>
            <rFont val="Tahoma"/>
            <family val="2"/>
          </rPr>
          <t>ePlaneacion-3:</t>
        </r>
        <r>
          <rPr>
            <sz val="9"/>
            <color indexed="81"/>
            <rFont val="Tahoma"/>
            <family val="2"/>
          </rPr>
          <t xml:space="preserve">
SE AUMENTAN 44472 POR RECURSOS NO EJECUTADOS EN EL 2016</t>
        </r>
      </text>
    </comment>
    <comment ref="Y94" authorId="1">
      <text>
        <r>
          <rPr>
            <b/>
            <sz val="9"/>
            <color indexed="81"/>
            <rFont val="Tahoma"/>
            <family val="2"/>
          </rPr>
          <t>ePlaneacion-3:</t>
        </r>
        <r>
          <rPr>
            <sz val="9"/>
            <color indexed="81"/>
            <rFont val="Tahoma"/>
            <family val="2"/>
          </rPr>
          <t xml:space="preserve">
SE AUMENTAN 150000 POR RECURSOS NO EJECUTADOS EN EL 2016</t>
        </r>
      </text>
    </comment>
    <comment ref="M95" authorId="1">
      <text>
        <r>
          <rPr>
            <b/>
            <sz val="9"/>
            <color indexed="81"/>
            <rFont val="Tahoma"/>
            <family val="2"/>
          </rPr>
          <t>ePlaneacion-3:</t>
        </r>
        <r>
          <rPr>
            <sz val="9"/>
            <color indexed="81"/>
            <rFont val="Tahoma"/>
            <family val="2"/>
          </rPr>
          <t xml:space="preserve">
SE AUMENTA 1 POR META FISICA NO EJECUTADA EN EL 2016</t>
        </r>
      </text>
    </comment>
    <comment ref="Q95" authorId="1">
      <text>
        <r>
          <rPr>
            <b/>
            <sz val="9"/>
            <color indexed="81"/>
            <rFont val="Tahoma"/>
            <family val="2"/>
          </rPr>
          <t>ePlaneacion-3:</t>
        </r>
        <r>
          <rPr>
            <sz val="9"/>
            <color indexed="81"/>
            <rFont val="Tahoma"/>
            <family val="2"/>
          </rPr>
          <t xml:space="preserve">
SE AUMENTAN 22500 POR RECURSOS NO EJECUTADOS EN EL 2016</t>
        </r>
      </text>
    </comment>
    <comment ref="U95" authorId="1">
      <text>
        <r>
          <rPr>
            <b/>
            <sz val="9"/>
            <color indexed="81"/>
            <rFont val="Tahoma"/>
            <family val="2"/>
          </rPr>
          <t>ePlaneacion-3:</t>
        </r>
        <r>
          <rPr>
            <sz val="9"/>
            <color indexed="81"/>
            <rFont val="Tahoma"/>
            <family val="2"/>
          </rPr>
          <t xml:space="preserve">
SE AUMENTAN 54750 POR RECURSOS NO EJECUTADOS EN EL 2016</t>
        </r>
      </text>
    </comment>
    <comment ref="M97" authorId="1">
      <text>
        <r>
          <rPr>
            <b/>
            <sz val="9"/>
            <color indexed="81"/>
            <rFont val="Tahoma"/>
            <family val="2"/>
          </rPr>
          <t>ePlaneacion-3:</t>
        </r>
        <r>
          <rPr>
            <sz val="9"/>
            <color indexed="81"/>
            <rFont val="Tahoma"/>
            <family val="2"/>
          </rPr>
          <t xml:space="preserve">
SE AUMENTAN 1 POR META FISICA NO EJECUTADA EN EL 2016</t>
        </r>
      </text>
    </comment>
    <comment ref="Q97" authorId="1">
      <text>
        <r>
          <rPr>
            <b/>
            <sz val="9"/>
            <color indexed="81"/>
            <rFont val="Tahoma"/>
            <family val="2"/>
          </rPr>
          <t>ePlaneacion-3:</t>
        </r>
        <r>
          <rPr>
            <sz val="9"/>
            <color indexed="81"/>
            <rFont val="Tahoma"/>
            <family val="2"/>
          </rPr>
          <t xml:space="preserve">
SE AUMENTA 22500 POR RECURSOS NO EJECUTADOS EN EL 2016</t>
        </r>
      </text>
    </comment>
    <comment ref="U97" authorId="1">
      <text>
        <r>
          <rPr>
            <b/>
            <sz val="9"/>
            <color indexed="81"/>
            <rFont val="Tahoma"/>
            <family val="2"/>
          </rPr>
          <t>ePlaneacion-3:</t>
        </r>
        <r>
          <rPr>
            <sz val="9"/>
            <color indexed="81"/>
            <rFont val="Tahoma"/>
            <family val="2"/>
          </rPr>
          <t xml:space="preserve">
SE AUMENTAN 54750 POR RECURSOS NO EJECUTADOS EN EL 2016</t>
        </r>
      </text>
    </comment>
    <comment ref="M98" authorId="1">
      <text>
        <r>
          <rPr>
            <b/>
            <sz val="9"/>
            <color indexed="81"/>
            <rFont val="Tahoma"/>
            <family val="2"/>
          </rPr>
          <t>ePlaneacion-3:</t>
        </r>
        <r>
          <rPr>
            <sz val="9"/>
            <color indexed="81"/>
            <rFont val="Tahoma"/>
            <family val="2"/>
          </rPr>
          <t xml:space="preserve">
SE AUMENTA 0,3 POR META FISICA NO EJECUTADA EN EL 2016</t>
        </r>
      </text>
    </comment>
    <comment ref="Q98" authorId="1">
      <text>
        <r>
          <rPr>
            <b/>
            <sz val="9"/>
            <color indexed="81"/>
            <rFont val="Tahoma"/>
            <family val="2"/>
          </rPr>
          <t>ePlaneacion-3:</t>
        </r>
        <r>
          <rPr>
            <sz val="9"/>
            <color indexed="81"/>
            <rFont val="Tahoma"/>
            <family val="2"/>
          </rPr>
          <t xml:space="preserve">
SE AUMENTAN 22250 POR RECURSOS NO EJECUTADOS EN EL 2016</t>
        </r>
      </text>
    </comment>
    <comment ref="U98" authorId="1">
      <text>
        <r>
          <rPr>
            <b/>
            <sz val="9"/>
            <color indexed="81"/>
            <rFont val="Tahoma"/>
            <family val="2"/>
          </rPr>
          <t>ePlaneacion-3:</t>
        </r>
        <r>
          <rPr>
            <sz val="9"/>
            <color indexed="81"/>
            <rFont val="Tahoma"/>
            <family val="2"/>
          </rPr>
          <t xml:space="preserve">
SE AUMENTAN 54750 POR RECURSOS NO EJECUTADOS EN EL 2016</t>
        </r>
      </text>
    </comment>
    <comment ref="M99" authorId="1">
      <text>
        <r>
          <rPr>
            <b/>
            <sz val="9"/>
            <color indexed="81"/>
            <rFont val="Tahoma"/>
            <family val="2"/>
          </rPr>
          <t>ePlaneacion-3:</t>
        </r>
        <r>
          <rPr>
            <sz val="9"/>
            <color indexed="81"/>
            <rFont val="Tahoma"/>
            <family val="2"/>
          </rPr>
          <t xml:space="preserve">
SE AUMENTA 1 POR META NO EJECUTADA EN EL 2016</t>
        </r>
      </text>
    </comment>
    <comment ref="Q99" authorId="1">
      <text>
        <r>
          <rPr>
            <b/>
            <sz val="9"/>
            <color indexed="81"/>
            <rFont val="Tahoma"/>
            <family val="2"/>
          </rPr>
          <t>ePlaneacion-3:</t>
        </r>
        <r>
          <rPr>
            <sz val="9"/>
            <color indexed="81"/>
            <rFont val="Tahoma"/>
            <family val="2"/>
          </rPr>
          <t xml:space="preserve">
SE AUMENTAN 22500 POR RECURSOS NO EJECUTADOS EN EL 2016</t>
        </r>
      </text>
    </comment>
    <comment ref="U99" authorId="1">
      <text>
        <r>
          <rPr>
            <b/>
            <sz val="9"/>
            <color indexed="81"/>
            <rFont val="Tahoma"/>
            <family val="2"/>
          </rPr>
          <t>ePlaneacion-3:</t>
        </r>
        <r>
          <rPr>
            <sz val="9"/>
            <color indexed="81"/>
            <rFont val="Tahoma"/>
            <family val="2"/>
          </rPr>
          <t xml:space="preserve">
SE AUMENTAN 54750 POR RECURSOS NO EJECUTADIS EN EK 2016</t>
        </r>
      </text>
    </comment>
    <comment ref="M100" authorId="1">
      <text>
        <r>
          <rPr>
            <b/>
            <sz val="9"/>
            <color indexed="81"/>
            <rFont val="Tahoma"/>
            <family val="2"/>
          </rPr>
          <t>ePlaneacion-3:</t>
        </r>
        <r>
          <rPr>
            <sz val="9"/>
            <color indexed="81"/>
            <rFont val="Tahoma"/>
            <family val="2"/>
          </rPr>
          <t xml:space="preserve">
SE AUMENTAN 0,3 POR META NO EJECUTADA EN EL 2016</t>
        </r>
      </text>
    </comment>
    <comment ref="Q100" authorId="1">
      <text>
        <r>
          <rPr>
            <b/>
            <sz val="9"/>
            <color indexed="81"/>
            <rFont val="Tahoma"/>
            <family val="2"/>
          </rPr>
          <t>ePlaneacion-3:</t>
        </r>
        <r>
          <rPr>
            <sz val="9"/>
            <color indexed="81"/>
            <rFont val="Tahoma"/>
            <family val="2"/>
          </rPr>
          <t xml:space="preserve">
SE AUMENTAN 22500 POR RECURSOS NO EJECUTADOS EN EL 2016</t>
        </r>
      </text>
    </comment>
    <comment ref="U100" authorId="1">
      <text>
        <r>
          <rPr>
            <b/>
            <sz val="9"/>
            <color indexed="81"/>
            <rFont val="Tahoma"/>
            <family val="2"/>
          </rPr>
          <t>ePlaneacion-3:</t>
        </r>
        <r>
          <rPr>
            <sz val="9"/>
            <color indexed="81"/>
            <rFont val="Tahoma"/>
            <family val="2"/>
          </rPr>
          <t xml:space="preserve">
SE AUMENTAN 54750 POR RECURSOS NO EJECUTADOS EN EL 2016</t>
        </r>
      </text>
    </comment>
    <comment ref="M101" authorId="1">
      <text>
        <r>
          <rPr>
            <b/>
            <sz val="9"/>
            <color indexed="81"/>
            <rFont val="Tahoma"/>
            <family val="2"/>
          </rPr>
          <t>ePlaneacion-3:</t>
        </r>
        <r>
          <rPr>
            <sz val="9"/>
            <color indexed="81"/>
            <rFont val="Tahoma"/>
            <family val="2"/>
          </rPr>
          <t xml:space="preserve">
SE AUMENTAN 0,3 POR META NO EJECUTADA EN EL 2016</t>
        </r>
      </text>
    </comment>
    <comment ref="Q101" authorId="1">
      <text>
        <r>
          <rPr>
            <b/>
            <sz val="9"/>
            <color indexed="81"/>
            <rFont val="Tahoma"/>
            <family val="2"/>
          </rPr>
          <t>ePlaneacion-3:</t>
        </r>
        <r>
          <rPr>
            <sz val="9"/>
            <color indexed="81"/>
            <rFont val="Tahoma"/>
            <family val="2"/>
          </rPr>
          <t xml:space="preserve">
SE AUMENTAN 22500 POR RECURSOS NO EJECUTADOS EN EL 2016</t>
        </r>
      </text>
    </comment>
    <comment ref="U101" authorId="1">
      <text>
        <r>
          <rPr>
            <b/>
            <sz val="9"/>
            <color indexed="81"/>
            <rFont val="Tahoma"/>
            <family val="2"/>
          </rPr>
          <t>ePlaneacion-3:</t>
        </r>
        <r>
          <rPr>
            <sz val="9"/>
            <color indexed="81"/>
            <rFont val="Tahoma"/>
            <family val="2"/>
          </rPr>
          <t xml:space="preserve">
SE AUMENTAN 54750 POR RECURSOS NO EJECUTADOS EN EL 2016</t>
        </r>
      </text>
    </comment>
  </commentList>
</comments>
</file>

<file path=xl/comments10.xml><?xml version="1.0" encoding="utf-8"?>
<comments xmlns="http://schemas.openxmlformats.org/spreadsheetml/2006/main">
  <authors>
    <author>planeacion_9</author>
  </authors>
  <commentList>
    <comment ref="AI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1.xml><?xml version="1.0" encoding="utf-8"?>
<comments xmlns="http://schemas.openxmlformats.org/spreadsheetml/2006/main">
  <authors>
    <author>planeacion_9</author>
  </authors>
  <commentList>
    <comment ref="AI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2.xml><?xml version="1.0" encoding="utf-8"?>
<comments xmlns="http://schemas.openxmlformats.org/spreadsheetml/2006/main">
  <authors>
    <author>planeacion_9</author>
  </authors>
  <commentList>
    <comment ref="AI15"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3.xml><?xml version="1.0" encoding="utf-8"?>
<comments xmlns="http://schemas.openxmlformats.org/spreadsheetml/2006/main">
  <authors>
    <author>planeacion_9</author>
  </authors>
  <commentList>
    <comment ref="AI8" authorId="0">
      <text>
        <r>
          <rPr>
            <b/>
            <sz val="8"/>
            <color indexed="81"/>
            <rFont val="Tahoma"/>
          </rPr>
          <t>planeacion_9:</t>
        </r>
        <r>
          <rPr>
            <sz val="8"/>
            <color indexed="81"/>
            <rFont val="Tahoma"/>
          </rPr>
          <t xml:space="preserve">
EN OBSERVACIONES CARACTERIZAR LA POBLACION
</t>
        </r>
      </text>
    </comment>
  </commentList>
</comments>
</file>

<file path=xl/comments2.xml><?xml version="1.0" encoding="utf-8"?>
<comments xmlns="http://schemas.openxmlformats.org/spreadsheetml/2006/main">
  <authors>
    <author>planeacion_9</author>
    <author>Catalina Mancilla</author>
  </authors>
  <commentList>
    <comment ref="AL11" authorId="0">
      <text>
        <r>
          <rPr>
            <b/>
            <sz val="8"/>
            <color indexed="81"/>
            <rFont val="Tahoma"/>
            <family val="2"/>
          </rPr>
          <t>planeacion_9:</t>
        </r>
        <r>
          <rPr>
            <sz val="8"/>
            <color indexed="81"/>
            <rFont val="Tahoma"/>
            <family val="2"/>
          </rPr>
          <t xml:space="preserve">
EN OBSERVACIONES CARACTERIZAR LA POBLACION
</t>
        </r>
      </text>
    </comment>
    <comment ref="BA11" authorId="1">
      <text>
        <r>
          <rPr>
            <sz val="9"/>
            <color indexed="81"/>
            <rFont val="Tahoma"/>
            <family val="2"/>
          </rPr>
          <t xml:space="preserve">Se debe registrar la Poblacion por Grup Etareo incluyendo la Poblacion por Grupo Diferencial Afro, Indigena etc…asi mismo las demas observaciones que se tengan.
</t>
        </r>
      </text>
    </comment>
  </commentList>
</comments>
</file>

<file path=xl/comments3.xml><?xml version="1.0" encoding="utf-8"?>
<comments xmlns="http://schemas.openxmlformats.org/spreadsheetml/2006/main">
  <authors>
    <author>planeacion_9</author>
    <author>INFRAESTRUCTURA</author>
    <author>Usuario</author>
  </authors>
  <commentList>
    <comment ref="AI13" authorId="0">
      <text>
        <r>
          <rPr>
            <b/>
            <sz val="8"/>
            <color indexed="81"/>
            <rFont val="Tahoma"/>
            <family val="2"/>
          </rPr>
          <t>planeacion_9:</t>
        </r>
        <r>
          <rPr>
            <sz val="8"/>
            <color indexed="81"/>
            <rFont val="Tahoma"/>
            <family val="2"/>
          </rPr>
          <t xml:space="preserve">
EN OBSERVACIONES CARACTERIZAR LA POBLACION
</t>
        </r>
      </text>
    </comment>
    <comment ref="AK30" authorId="1">
      <text>
        <r>
          <rPr>
            <b/>
            <sz val="9"/>
            <color indexed="81"/>
            <rFont val="Tahoma"/>
            <family val="2"/>
          </rPr>
          <t>INFRAESTRUCTURA:</t>
        </r>
        <r>
          <rPr>
            <sz val="9"/>
            <color indexed="81"/>
            <rFont val="Tahoma"/>
            <family val="2"/>
          </rPr>
          <t xml:space="preserve">
20 en 2016</t>
        </r>
      </text>
    </comment>
    <comment ref="Q44" authorId="2">
      <text>
        <r>
          <rPr>
            <b/>
            <sz val="9"/>
            <color indexed="81"/>
            <rFont val="Tahoma"/>
            <family val="2"/>
          </rPr>
          <t>Usuario:</t>
        </r>
        <r>
          <rPr>
            <sz val="9"/>
            <color indexed="81"/>
            <rFont val="Tahoma"/>
            <family val="2"/>
          </rPr>
          <t xml:space="preserve">
valorización + rp
</t>
        </r>
      </text>
    </comment>
  </commentList>
</comments>
</file>

<file path=xl/comments4.xml><?xml version="1.0" encoding="utf-8"?>
<comments xmlns="http://schemas.openxmlformats.org/spreadsheetml/2006/main">
  <authors>
    <author>planeacion_9</author>
    <author>My PC</author>
    <author>STELLA LUCIA GUEVARA</author>
    <author>USER</author>
  </authors>
  <commentList>
    <comment ref="AI10" authorId="0">
      <text>
        <r>
          <rPr>
            <b/>
            <sz val="8"/>
            <color indexed="81"/>
            <rFont val="Tahoma"/>
            <family val="2"/>
          </rPr>
          <t>planeacion_9:</t>
        </r>
        <r>
          <rPr>
            <sz val="8"/>
            <color indexed="81"/>
            <rFont val="Tahoma"/>
            <family val="2"/>
          </rPr>
          <t xml:space="preserve">
EN OBSERVACIONES CARACTERIZAR LA POBLACION
</t>
        </r>
      </text>
    </comment>
    <comment ref="AI13" authorId="1">
      <text>
        <r>
          <rPr>
            <sz val="10"/>
            <color indexed="81"/>
            <rFont val="Tahoma"/>
            <family val="2"/>
          </rPr>
          <t>Genero : 
Hombres: Sin inf.
Mujeres:  Sin Inf.
Edades:
0-6 años:Sin Inf.
7-14 años: Sin Inf
15-17 años: Sin Inf
18-28 años Sin Inf.
27-59 años: Sin Inf
Grupos Etnicos: Sin Inf.
Poblacion Vulnerable: Sin Inf.</t>
        </r>
      </text>
    </comment>
    <comment ref="AI14" authorId="1">
      <text>
        <r>
          <rPr>
            <sz val="11"/>
            <color indexed="81"/>
            <rFont val="Tahoma"/>
            <family val="2"/>
          </rPr>
          <t>PoBLACION DANE: 40.033 Hbts</t>
        </r>
        <r>
          <rPr>
            <sz val="9"/>
            <color indexed="81"/>
            <rFont val="Tahoma"/>
            <family val="2"/>
          </rPr>
          <t xml:space="preserve">
</t>
        </r>
      </text>
    </comment>
    <comment ref="AI16" authorId="2">
      <text>
        <r>
          <rPr>
            <sz val="11"/>
            <color indexed="81"/>
            <rFont val="Tahoma"/>
            <family val="2"/>
          </rPr>
          <t xml:space="preserve">
DANE URBANO 2016: 1.218 HBTS
POBLACION CAMPESINA</t>
        </r>
        <r>
          <rPr>
            <sz val="9"/>
            <color indexed="81"/>
            <rFont val="Tahoma"/>
            <family val="2"/>
          </rPr>
          <t xml:space="preserve">
</t>
        </r>
      </text>
    </comment>
    <comment ref="AI18" authorId="1">
      <text>
        <r>
          <rPr>
            <sz val="9"/>
            <color indexed="81"/>
            <rFont val="Tahoma"/>
            <family val="2"/>
          </rPr>
          <t xml:space="preserve">
Genero : 
Hombres: 4486 personas
Mujeres: 4210 personas
Edades:
0-6 años: 1.320 personas
7-14 años:1.201 personas
15-17 años: 858 personas
18-28 años: 2.000 pers.
27-59 años: 2.303 pers.
Grupos Etnicos: Sin Inf.
Poblacion Vulnerable: Sin Inf.</t>
        </r>
      </text>
    </comment>
    <comment ref="AI20" authorId="1">
      <text>
        <r>
          <rPr>
            <sz val="10"/>
            <color indexed="81"/>
            <rFont val="Tahoma"/>
            <family val="2"/>
          </rPr>
          <t>POBLACION DANE RURAL: 26.503 HBTS</t>
        </r>
        <r>
          <rPr>
            <sz val="9"/>
            <color indexed="81"/>
            <rFont val="Tahoma"/>
            <family val="2"/>
          </rPr>
          <t xml:space="preserve">
</t>
        </r>
      </text>
    </comment>
    <comment ref="AI21" authorId="1">
      <text>
        <r>
          <rPr>
            <sz val="10"/>
            <color indexed="81"/>
            <rFont val="Tahoma"/>
            <family val="2"/>
          </rPr>
          <t>POBLACION DANE RURAL: 40,475 HBTS</t>
        </r>
        <r>
          <rPr>
            <sz val="9"/>
            <color indexed="81"/>
            <rFont val="Tahoma"/>
            <family val="2"/>
          </rPr>
          <t xml:space="preserve">
</t>
        </r>
      </text>
    </comment>
    <comment ref="AI23" authorId="1">
      <text>
        <r>
          <rPr>
            <sz val="11"/>
            <color indexed="81"/>
            <rFont val="Tahoma"/>
            <family val="2"/>
          </rPr>
          <t>PoBLACION DANE: 40.033 Hbts</t>
        </r>
        <r>
          <rPr>
            <sz val="9"/>
            <color indexed="81"/>
            <rFont val="Tahoma"/>
            <family val="2"/>
          </rPr>
          <t xml:space="preserve">
</t>
        </r>
      </text>
    </comment>
    <comment ref="AI44" authorId="1">
      <text>
        <r>
          <rPr>
            <sz val="10"/>
            <color indexed="81"/>
            <rFont val="Tahoma"/>
            <family val="2"/>
          </rPr>
          <t>POBLACION DANE URBANO; 5.280 HBTS</t>
        </r>
        <r>
          <rPr>
            <sz val="9"/>
            <color indexed="81"/>
            <rFont val="Tahoma"/>
            <family val="2"/>
          </rPr>
          <t xml:space="preserve">
</t>
        </r>
      </text>
    </comment>
    <comment ref="AI45" authorId="1">
      <text>
        <r>
          <rPr>
            <b/>
            <sz val="9"/>
            <color indexed="81"/>
            <rFont val="Tahoma"/>
            <family val="2"/>
          </rPr>
          <t>DANE: 4.551</t>
        </r>
      </text>
    </comment>
    <comment ref="AI46" authorId="1">
      <text>
        <r>
          <rPr>
            <b/>
            <sz val="9"/>
            <color indexed="81"/>
            <rFont val="Tahoma"/>
            <family val="2"/>
          </rPr>
          <t>DANE: 4,105 HBTS</t>
        </r>
      </text>
    </comment>
    <comment ref="AI57" authorId="2">
      <text>
        <r>
          <rPr>
            <b/>
            <sz val="9"/>
            <color indexed="81"/>
            <rFont val="Tahoma"/>
            <family val="2"/>
          </rPr>
          <t>STELLA LUCIA GUEVARA:</t>
        </r>
        <r>
          <rPr>
            <sz val="9"/>
            <color indexed="81"/>
            <rFont val="Tahoma"/>
            <family val="2"/>
          </rPr>
          <t xml:space="preserve">
HABITANTES AFECTADOS POR EL PROBLEMA: 445
EDAD (0-14 años): 105 personas
15-19 años: 112 personas
20-59 años: 178 personas
mayor de 60 años: 50 perdonas
tTotal Población por edad : 445 años
Genero: 
Masculino: 202 personas
Femenino 243 personas
Total Poblacion por genero: 445 personas
Estrato 1: 438 personas
GRUPOS ETNICOS:
Población Mayoritaria: 445 persona
Total grupos etnicos: 445
Población Infantil: 105 peronas
</t>
        </r>
      </text>
    </comment>
    <comment ref="AI61" authorId="1">
      <text>
        <r>
          <rPr>
            <sz val="10"/>
            <color indexed="81"/>
            <rFont val="Tahoma"/>
            <family val="2"/>
          </rPr>
          <t>POBLACION DANE RURAL: 12.987 HBTS</t>
        </r>
        <r>
          <rPr>
            <sz val="9"/>
            <color indexed="81"/>
            <rFont val="Tahoma"/>
            <family val="2"/>
          </rPr>
          <t xml:space="preserve">
</t>
        </r>
      </text>
    </comment>
    <comment ref="AI62" authorId="1">
      <text>
        <r>
          <rPr>
            <sz val="10"/>
            <color indexed="81"/>
            <rFont val="Tahoma"/>
            <family val="2"/>
          </rPr>
          <t>POBLACION DANE URBANO: 1.871 HBTS
Genero : 
Hombres: Sin Inf.
Mujeres: Sin Inf.
Edades:
0-6 años: Sin Inf.
7-14 años:Sin Inf. 
15-17 años: Sin Inf.
18-28 años: Sin Inf.
27-59 años:  sin Inf..
Grupos Etnicos: Sin Inf.
Poblacion Vulnerable: Sin Inf.</t>
        </r>
      </text>
    </comment>
    <comment ref="AI103" authorId="1">
      <text>
        <r>
          <rPr>
            <sz val="9"/>
            <color indexed="81"/>
            <rFont val="Tahoma"/>
            <family val="2"/>
          </rPr>
          <t xml:space="preserve">
Hombres:5177 personas
Mujeres: 5028 personas
Edades:
0-14 años: 4081 personas
15-19 años: 1070 personas
20-59 años: 4,385 Pers.
Grupos Etnicos: 10.205 p
Poblacion indigena: 341 personas
Poblacion Afrocolombiana: 2.200  personas
Poblacion Mayoritaria: 5.433 personas
Hombres:5177 personas
Mujeres: 5028 personas
Edades:
0-14 años: 4081 personas
15-19 años: 1070 personas
20-59 años: 4,385 Pers.
Grupos Etnicos: 10.205 p
Poblacion indigena: 341 personas
Poblacion Afrocolombiana: 2.200  personas
Poblacion Mayoritaria: 5.433 personas
Poblacion Infantil: 4081 personas
Tercera Edad: 669 personas.
Personas con Discapacidades: 931.</t>
        </r>
      </text>
    </comment>
    <comment ref="AI106" authorId="1">
      <text>
        <r>
          <rPr>
            <b/>
            <sz val="9"/>
            <color indexed="81"/>
            <rFont val="Tahoma"/>
            <family val="2"/>
          </rPr>
          <t>DANE: 4,105 HBTS</t>
        </r>
      </text>
    </comment>
    <comment ref="AJ113" authorId="3">
      <text>
        <r>
          <rPr>
            <b/>
            <sz val="9"/>
            <color indexed="81"/>
            <rFont val="Tahoma"/>
            <family val="2"/>
          </rPr>
          <t>USER:</t>
        </r>
        <r>
          <rPr>
            <sz val="9"/>
            <color indexed="81"/>
            <rFont val="Tahoma"/>
            <family val="2"/>
          </rPr>
          <t xml:space="preserve">
Valores registrados en el formato de plan de accion 2017 tecnica</t>
        </r>
      </text>
    </comment>
    <comment ref="AG128" authorId="3">
      <text>
        <r>
          <rPr>
            <b/>
            <sz val="9"/>
            <color indexed="81"/>
            <rFont val="Tahoma"/>
            <family val="2"/>
          </rPr>
          <t>USER:
NO SE EVIDENCIA REGISTRO EN EL FORMATO PLAN DE ACCION 2017 29/09/16</t>
        </r>
      </text>
    </comment>
    <comment ref="AI132" authorId="1">
      <text>
        <r>
          <rPr>
            <sz val="10"/>
            <color indexed="81"/>
            <rFont val="Tahoma"/>
            <family val="2"/>
          </rPr>
          <t xml:space="preserve">POBLACION DANE URBANO: 1.497 Hbts
</t>
        </r>
        <r>
          <rPr>
            <sz val="9"/>
            <color indexed="81"/>
            <rFont val="Tahoma"/>
            <family val="2"/>
          </rPr>
          <t xml:space="preserve">
Genero : 
Hombres: Sin inf.
Mujeres:  Sin Inf.
Edades:
0-6 años:Sin Inf.
7-14 años: Sin Inf
15-17 años: Sin Inf
18-28 años Sin Inf.
27-59 años: Sin Inf
Grupos Etnicos: Sin Inf.
Poblacion Vulnerable: Sin Inf.</t>
        </r>
      </text>
    </comment>
    <comment ref="AI133" authorId="1">
      <text>
        <r>
          <rPr>
            <sz val="11"/>
            <color indexed="81"/>
            <rFont val="Tahoma"/>
            <family val="2"/>
          </rPr>
          <t>PoBLACION DANE: 40.033 Hbts</t>
        </r>
        <r>
          <rPr>
            <sz val="9"/>
            <color indexed="81"/>
            <rFont val="Tahoma"/>
            <family val="2"/>
          </rPr>
          <t xml:space="preserve">
</t>
        </r>
      </text>
    </comment>
    <comment ref="AI134" authorId="1">
      <text>
        <r>
          <rPr>
            <sz val="18"/>
            <color indexed="81"/>
            <rFont val="Tahoma"/>
            <family val="2"/>
          </rPr>
          <t xml:space="preserve">Genero : 
Hombres: 4486 personas
Mujeres: 4210 personas
Edades:
0-6 años: 1.320 personas
7-14 años:1.201 personas
15-17 años: 858 personas
18-28 años: 2.000 pers.
27-59 años: 2.303 pers.
Grupos Etnicos: Sin Inf.
Poblacion Vulnerable: Sin Inf.
</t>
        </r>
      </text>
    </comment>
    <comment ref="AI140" authorId="1">
      <text>
        <r>
          <rPr>
            <sz val="10"/>
            <color indexed="81"/>
            <rFont val="Tahoma"/>
            <family val="2"/>
          </rPr>
          <t>POBLACION DANE RURAL: 40,475 HBTS</t>
        </r>
        <r>
          <rPr>
            <sz val="9"/>
            <color indexed="81"/>
            <rFont val="Tahoma"/>
            <family val="2"/>
          </rPr>
          <t xml:space="preserve">
</t>
        </r>
      </text>
    </comment>
    <comment ref="AI141" authorId="1">
      <text>
        <r>
          <rPr>
            <sz val="10"/>
            <color indexed="81"/>
            <rFont val="Tahoma"/>
            <family val="2"/>
          </rPr>
          <t xml:space="preserve">POBLACION DANE RURAL: 26.503 HBTS
Genero : 
Hombres: 1808 personas
Mujeres:1762 personas
Edades:
0-6 años: 626 personas
7-14 años: 418 personas
15-17 años: 362 personas
18-28 años:1073 pers.
27-59 años: 716 pers
60 en adelante: 375b pers.
Grupos Etnicos: Sin Inf.
Poblacion Vulnerable: Sin Inf.
</t>
        </r>
        <r>
          <rPr>
            <sz val="9"/>
            <color indexed="81"/>
            <rFont val="Tahoma"/>
            <family val="2"/>
          </rPr>
          <t xml:space="preserve">
</t>
        </r>
      </text>
    </comment>
    <comment ref="AI143" authorId="1">
      <text>
        <r>
          <rPr>
            <b/>
            <sz val="9"/>
            <color indexed="81"/>
            <rFont val="Tahoma"/>
            <family val="2"/>
          </rPr>
          <t>DANE: 4.551</t>
        </r>
      </text>
    </comment>
    <comment ref="AI145" authorId="1">
      <text>
        <r>
          <rPr>
            <sz val="10"/>
            <color indexed="81"/>
            <rFont val="Tahoma"/>
            <family val="2"/>
          </rPr>
          <t>POBLACION DANE URBANO; 5.280 HBTS</t>
        </r>
        <r>
          <rPr>
            <sz val="9"/>
            <color indexed="81"/>
            <rFont val="Tahoma"/>
            <family val="2"/>
          </rPr>
          <t xml:space="preserve">
Genero : 
Hombres: 4486 personas
Mujeres: 4210 personas
Edades:
0-6 años: 1.320 personas
7-14 años:1.201 personas
15-17 años: 858 personas
18-28 años: 2.000 pers.
27-59 años: 2.303 pers.
Grupos Etnicos: Sin Inf.
Poblacion Vulnerable: Sin Inf</t>
        </r>
      </text>
    </comment>
  </commentList>
</comments>
</file>

<file path=xl/comments5.xml><?xml version="1.0" encoding="utf-8"?>
<comments xmlns="http://schemas.openxmlformats.org/spreadsheetml/2006/main">
  <authors>
    <author>planeacion_9</author>
    <author>Cesar Becerra</author>
  </authors>
  <commentList>
    <comment ref="AI10" authorId="0">
      <text>
        <r>
          <rPr>
            <b/>
            <sz val="8"/>
            <color indexed="81"/>
            <rFont val="Tahoma"/>
            <family val="2"/>
          </rPr>
          <t>planeacion_9:</t>
        </r>
        <r>
          <rPr>
            <sz val="8"/>
            <color indexed="81"/>
            <rFont val="Tahoma"/>
            <family val="2"/>
          </rPr>
          <t xml:space="preserve">
EN OBSERVACIONES CARACTERIZAR LA POBLACION
</t>
        </r>
      </text>
    </comment>
    <comment ref="AB15" authorId="1">
      <text>
        <r>
          <rPr>
            <b/>
            <sz val="9"/>
            <color indexed="81"/>
            <rFont val="Tahoma"/>
            <family val="2"/>
          </rPr>
          <t>Cesar Becerra:</t>
        </r>
        <r>
          <rPr>
            <sz val="9"/>
            <color indexed="81"/>
            <rFont val="Tahoma"/>
            <family val="2"/>
          </rPr>
          <t xml:space="preserve">
son propios</t>
        </r>
      </text>
    </comment>
    <comment ref="AJ25" authorId="1">
      <text>
        <r>
          <rPr>
            <b/>
            <sz val="9"/>
            <color indexed="81"/>
            <rFont val="Tahoma"/>
            <family val="2"/>
          </rPr>
          <t>Cesar Becerra:</t>
        </r>
        <r>
          <rPr>
            <sz val="9"/>
            <color indexed="81"/>
            <rFont val="Tahoma"/>
            <family val="2"/>
          </rPr>
          <t xml:space="preserve">
No queda reflejado, pero se debe gestionar</t>
        </r>
      </text>
    </comment>
  </commentList>
</comments>
</file>

<file path=xl/comments6.xml><?xml version="1.0" encoding="utf-8"?>
<comments xmlns="http://schemas.openxmlformats.org/spreadsheetml/2006/main">
  <authors>
    <author>planeacion_9</author>
    <author>Felipe Garcia</author>
  </authors>
  <commentList>
    <comment ref="AI11" authorId="0">
      <text>
        <r>
          <rPr>
            <b/>
            <sz val="8"/>
            <color indexed="81"/>
            <rFont val="Tahoma"/>
            <family val="2"/>
          </rPr>
          <t>planeacion_9:</t>
        </r>
        <r>
          <rPr>
            <sz val="8"/>
            <color indexed="81"/>
            <rFont val="Tahoma"/>
            <family val="2"/>
          </rPr>
          <t xml:space="preserve">
EN OBSERVACIONES CARACTERIZAR LA POBLACION
</t>
        </r>
      </text>
    </comment>
    <comment ref="C31" authorId="1">
      <text>
        <r>
          <rPr>
            <b/>
            <sz val="9"/>
            <color indexed="81"/>
            <rFont val="Tahoma"/>
            <family val="2"/>
          </rPr>
          <t>Felipe Garcia:</t>
        </r>
        <r>
          <rPr>
            <sz val="9"/>
            <color indexed="81"/>
            <rFont val="Tahoma"/>
            <family val="2"/>
          </rPr>
          <t xml:space="preserve">
Desarrollar 7 instrumentos de planificación</t>
        </r>
      </text>
    </comment>
    <comment ref="D31" authorId="1">
      <text>
        <r>
          <rPr>
            <b/>
            <sz val="9"/>
            <color indexed="81"/>
            <rFont val="Tahoma"/>
            <family val="2"/>
          </rPr>
          <t>Felipe Garcia:</t>
        </r>
        <r>
          <rPr>
            <sz val="9"/>
            <color indexed="81"/>
            <rFont val="Tahoma"/>
            <family val="2"/>
          </rPr>
          <t xml:space="preserve">
Número de instrumentos de planificación desarrollados</t>
        </r>
      </text>
    </comment>
  </commentList>
</comments>
</file>

<file path=xl/comments7.xml><?xml version="1.0" encoding="utf-8"?>
<comments xmlns="http://schemas.openxmlformats.org/spreadsheetml/2006/main">
  <authors>
    <author>planeacion_9</author>
  </authors>
  <commentList>
    <comment ref="AI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8.xml><?xml version="1.0" encoding="utf-8"?>
<comments xmlns="http://schemas.openxmlformats.org/spreadsheetml/2006/main">
  <authors>
    <author>planeacion_9</author>
    <author>Felipe Garcia</author>
  </authors>
  <commentList>
    <comment ref="AI14" authorId="0">
      <text>
        <r>
          <rPr>
            <b/>
            <sz val="8"/>
            <color indexed="81"/>
            <rFont val="Tahoma"/>
            <family val="2"/>
          </rPr>
          <t>planeacion_9:</t>
        </r>
        <r>
          <rPr>
            <sz val="8"/>
            <color indexed="81"/>
            <rFont val="Tahoma"/>
            <family val="2"/>
          </rPr>
          <t xml:space="preserve">
EN OBSERVACIONES CARACTERIZAR LA POBLACION
</t>
        </r>
      </text>
    </comment>
    <comment ref="C29" authorId="1">
      <text>
        <r>
          <rPr>
            <b/>
            <sz val="9"/>
            <color indexed="81"/>
            <rFont val="Tahoma"/>
            <family val="2"/>
          </rPr>
          <t>Felipe Garcia:</t>
        </r>
        <r>
          <rPr>
            <sz val="9"/>
            <color indexed="81"/>
            <rFont val="Tahoma"/>
            <family val="2"/>
          </rPr>
          <t xml:space="preserve">
Incrementar en 100% el indicador de superación de la situación de vulnerabilidad, restablecimiento social y económico  de las víctimas de desplazamiento forzado en el departamento (priorizando las sub-regiones de Norte, Centro, Costa Pacífica y Sur)</t>
        </r>
      </text>
    </comment>
  </commentList>
</comments>
</file>

<file path=xl/comments9.xml><?xml version="1.0" encoding="utf-8"?>
<comments xmlns="http://schemas.openxmlformats.org/spreadsheetml/2006/main">
  <authors>
    <author>planeacion_9</author>
    <author>DELL</author>
  </authors>
  <commentList>
    <comment ref="AI10" authorId="0">
      <text>
        <r>
          <rPr>
            <b/>
            <sz val="8"/>
            <color indexed="81"/>
            <rFont val="Tahoma"/>
            <family val="2"/>
          </rPr>
          <t>planeacion_9:</t>
        </r>
        <r>
          <rPr>
            <sz val="8"/>
            <color indexed="81"/>
            <rFont val="Tahoma"/>
            <family val="2"/>
          </rPr>
          <t xml:space="preserve">
EN OBSERVACIONES CARACTERIZAR LA POBLACION
</t>
        </r>
      </text>
    </comment>
    <comment ref="Q13" authorId="1">
      <text>
        <r>
          <rPr>
            <b/>
            <sz val="9"/>
            <color indexed="81"/>
            <rFont val="Tahoma"/>
            <family val="2"/>
          </rPr>
          <t>DELL:</t>
        </r>
        <r>
          <rPr>
            <sz val="9"/>
            <color indexed="81"/>
            <rFont val="Tahoma"/>
            <family val="2"/>
          </rPr>
          <t xml:space="preserve">
SE ADICIONA RECURSOS DE 2018 Y 2049 POR VALOR DE 900 Y 643</t>
        </r>
      </text>
    </comment>
    <comment ref="U13" authorId="1">
      <text>
        <r>
          <rPr>
            <b/>
            <sz val="9"/>
            <color indexed="81"/>
            <rFont val="Tahoma"/>
            <family val="2"/>
          </rPr>
          <t>DELL:</t>
        </r>
        <r>
          <rPr>
            <sz val="9"/>
            <color indexed="81"/>
            <rFont val="Tahoma"/>
            <family val="2"/>
          </rPr>
          <t xml:space="preserve">
SE ADICIONA RECURSOS DE LAS VIGENCIA 2018 Y 2019 POR VALOR DE 2571 Y 2571</t>
        </r>
      </text>
    </comment>
    <comment ref="Y13" authorId="1">
      <text>
        <r>
          <rPr>
            <b/>
            <sz val="9"/>
            <color indexed="81"/>
            <rFont val="Tahoma"/>
            <family val="2"/>
          </rPr>
          <t>DELL:</t>
        </r>
        <r>
          <rPr>
            <sz val="9"/>
            <color indexed="81"/>
            <rFont val="Tahoma"/>
            <family val="2"/>
          </rPr>
          <t xml:space="preserve">
SE ADICIONA RECURSOS DE LAS VIGENCIA 2018 Y 2019 POR VALOR DE 343 Y 343</t>
        </r>
      </text>
    </comment>
    <comment ref="Z13" authorId="1">
      <text>
        <r>
          <rPr>
            <b/>
            <sz val="9"/>
            <color indexed="81"/>
            <rFont val="Tahoma"/>
            <family val="2"/>
          </rPr>
          <t>DELL:</t>
        </r>
        <r>
          <rPr>
            <sz val="9"/>
            <color indexed="81"/>
            <rFont val="Tahoma"/>
            <family val="2"/>
          </rPr>
          <t xml:space="preserve">
SE ADICIONA RECURSOS DE LAS VIGENCIA 2018 Y 2019 POR VALOR DE 643 Y 536</t>
        </r>
      </text>
    </comment>
    <comment ref="AB13" authorId="1">
      <text>
        <r>
          <rPr>
            <b/>
            <sz val="9"/>
            <color indexed="81"/>
            <rFont val="Tahoma"/>
            <family val="2"/>
          </rPr>
          <t>DELL:</t>
        </r>
        <r>
          <rPr>
            <sz val="9"/>
            <color indexed="81"/>
            <rFont val="Tahoma"/>
            <family val="2"/>
          </rPr>
          <t xml:space="preserve">
SE ADICIONA RECURSOS DE LAS VIGENCIA 2018 Y 2019 POR VALOR DE 300Y 214</t>
        </r>
      </text>
    </comment>
    <comment ref="AC13" authorId="1">
      <text>
        <r>
          <rPr>
            <b/>
            <sz val="9"/>
            <color indexed="81"/>
            <rFont val="Tahoma"/>
            <family val="2"/>
          </rPr>
          <t>DELL:</t>
        </r>
        <r>
          <rPr>
            <sz val="9"/>
            <color indexed="81"/>
            <rFont val="Tahoma"/>
            <family val="2"/>
          </rPr>
          <t xml:space="preserve">
SE ADICIONA RECURSOS DE LAS VIGENCIA 2018 Y 2019 POR VALOR DE 750+535</t>
        </r>
      </text>
    </comment>
    <comment ref="J14" authorId="1">
      <text>
        <r>
          <rPr>
            <b/>
            <sz val="9"/>
            <color indexed="81"/>
            <rFont val="Tahoma"/>
            <family val="2"/>
          </rPr>
          <t>DELL:</t>
        </r>
        <r>
          <rPr>
            <sz val="9"/>
            <color indexed="81"/>
            <rFont val="Tahoma"/>
            <family val="2"/>
          </rPr>
          <t xml:space="preserve">
se coloco 0 porque la matriz no seja colocar nota </t>
        </r>
      </text>
    </comment>
    <comment ref="AC18" authorId="1">
      <text>
        <r>
          <rPr>
            <b/>
            <sz val="9"/>
            <color indexed="81"/>
            <rFont val="Tahoma"/>
            <family val="2"/>
          </rPr>
          <t>DELL:</t>
        </r>
        <r>
          <rPr>
            <sz val="9"/>
            <color indexed="81"/>
            <rFont val="Tahoma"/>
            <family val="2"/>
          </rPr>
          <t xml:space="preserve">
se trasladan a 2016  $17143</t>
        </r>
      </text>
    </comment>
    <comment ref="Y20" authorId="1">
      <text>
        <r>
          <rPr>
            <b/>
            <sz val="9"/>
            <color indexed="81"/>
            <rFont val="Tahoma"/>
            <family val="2"/>
          </rPr>
          <t>DELL:</t>
        </r>
        <r>
          <rPr>
            <sz val="9"/>
            <color indexed="81"/>
            <rFont val="Tahoma"/>
            <family val="2"/>
          </rPr>
          <t xml:space="preserve">
Se trasladaron a 2016 $892</t>
        </r>
      </text>
    </comment>
    <comment ref="AB20" authorId="1">
      <text>
        <r>
          <rPr>
            <b/>
            <sz val="9"/>
            <color indexed="81"/>
            <rFont val="Tahoma"/>
            <family val="2"/>
          </rPr>
          <t>DELL:</t>
        </r>
        <r>
          <rPr>
            <sz val="9"/>
            <color indexed="81"/>
            <rFont val="Tahoma"/>
            <family val="2"/>
          </rPr>
          <t xml:space="preserve">
Se trasladaron a 2016 $1337</t>
        </r>
      </text>
    </comment>
    <comment ref="AC20" authorId="1">
      <text>
        <r>
          <rPr>
            <b/>
            <sz val="9"/>
            <color indexed="81"/>
            <rFont val="Tahoma"/>
            <family val="2"/>
          </rPr>
          <t>DELL:</t>
        </r>
        <r>
          <rPr>
            <sz val="9"/>
            <color indexed="81"/>
            <rFont val="Tahoma"/>
            <family val="2"/>
          </rPr>
          <t xml:space="preserve">
Se trasladaron a 2016 $3343</t>
        </r>
      </text>
    </comment>
    <comment ref="Q21" authorId="1">
      <text>
        <r>
          <rPr>
            <b/>
            <sz val="9"/>
            <color indexed="81"/>
            <rFont val="Tahoma"/>
            <family val="2"/>
          </rPr>
          <t>DELL:</t>
        </r>
        <r>
          <rPr>
            <sz val="9"/>
            <color indexed="81"/>
            <rFont val="Tahoma"/>
            <family val="2"/>
          </rPr>
          <t xml:space="preserve">
10228 SE TRASLADARON PARA LA VIGENCIA 2016  y se trasladaron recursos de 2018 y 2019 a vigencia 2017</t>
        </r>
      </text>
    </comment>
    <comment ref="Y21" authorId="1">
      <text>
        <r>
          <rPr>
            <b/>
            <sz val="9"/>
            <color indexed="81"/>
            <rFont val="Tahoma"/>
            <family val="2"/>
          </rPr>
          <t xml:space="preserve">DELL: 10909 </t>
        </r>
        <r>
          <rPr>
            <sz val="9"/>
            <color indexed="81"/>
            <rFont val="Tahoma"/>
            <family val="2"/>
          </rPr>
          <t xml:space="preserve"> SE TRASLADARON PARA LA VIGENCIA 2016 se trasladaron recursos de la vigencia 2018 y 2019 a 2017</t>
        </r>
      </text>
    </comment>
    <comment ref="Z21" authorId="1">
      <text>
        <r>
          <rPr>
            <b/>
            <sz val="9"/>
            <color indexed="81"/>
            <rFont val="Tahoma"/>
            <family val="2"/>
          </rPr>
          <t>DELL:</t>
        </r>
        <r>
          <rPr>
            <sz val="9"/>
            <color indexed="81"/>
            <rFont val="Tahoma"/>
            <family val="2"/>
          </rPr>
          <t xml:space="preserve">
se trasladaron a vigencia 2061 23864, se traladaron recursos de 2018 y 2019 para la vigencia 2017</t>
        </r>
      </text>
    </comment>
    <comment ref="AB21" authorId="1">
      <text>
        <r>
          <rPr>
            <b/>
            <sz val="9"/>
            <color indexed="81"/>
            <rFont val="Tahoma"/>
            <family val="2"/>
          </rPr>
          <t>DELL: 12272</t>
        </r>
        <r>
          <rPr>
            <sz val="9"/>
            <color indexed="81"/>
            <rFont val="Tahoma"/>
            <family val="2"/>
          </rPr>
          <t xml:space="preserve"> SE TRASLADARON PARA LA VIGENCIA 2016
se trasladaron recuros de 2018 y 2019 a vigencia 2017</t>
        </r>
      </text>
    </comment>
    <comment ref="AC21" authorId="1">
      <text>
        <r>
          <rPr>
            <b/>
            <sz val="9"/>
            <color indexed="81"/>
            <rFont val="Tahoma"/>
            <family val="2"/>
          </rPr>
          <t>DELL: 20455</t>
        </r>
        <r>
          <rPr>
            <sz val="9"/>
            <color indexed="81"/>
            <rFont val="Tahoma"/>
            <family val="2"/>
          </rPr>
          <t xml:space="preserve"> SE TRASLADARON PARA LA VIGENCIA 2019, se trasladaron recuros de 2018 y 2019 a vigencia 2017</t>
        </r>
      </text>
    </comment>
    <comment ref="Q22" authorId="1">
      <text>
        <r>
          <rPr>
            <b/>
            <sz val="9"/>
            <color indexed="81"/>
            <rFont val="Tahoma"/>
            <family val="2"/>
          </rPr>
          <t>DELL:</t>
        </r>
        <r>
          <rPr>
            <sz val="9"/>
            <color indexed="81"/>
            <rFont val="Tahoma"/>
            <family val="2"/>
          </rPr>
          <t xml:space="preserve">
10228 SE TRASLADARON PARA LA VIGENCIA 2016  y se trasladaron recursos de 2018 y 2019 a vigencia 2017</t>
        </r>
      </text>
    </comment>
    <comment ref="Y22" authorId="1">
      <text>
        <r>
          <rPr>
            <b/>
            <sz val="9"/>
            <color indexed="81"/>
            <rFont val="Tahoma"/>
            <family val="2"/>
          </rPr>
          <t xml:space="preserve">DELL: 10909 </t>
        </r>
        <r>
          <rPr>
            <sz val="9"/>
            <color indexed="81"/>
            <rFont val="Tahoma"/>
            <family val="2"/>
          </rPr>
          <t xml:space="preserve"> SE TRASLADARON PARA LA VIGENCIA 2016 se trasladaron recursos de la vigencia 2018 y 2019 a 2017</t>
        </r>
      </text>
    </comment>
    <comment ref="Z22" authorId="1">
      <text>
        <r>
          <rPr>
            <b/>
            <sz val="9"/>
            <color indexed="81"/>
            <rFont val="Tahoma"/>
            <family val="2"/>
          </rPr>
          <t>DELL:</t>
        </r>
        <r>
          <rPr>
            <sz val="9"/>
            <color indexed="81"/>
            <rFont val="Tahoma"/>
            <family val="2"/>
          </rPr>
          <t xml:space="preserve">
se trasladaron a vigencia 2061 23864, se traladaron recursos de 2018 y 2019 para la vigencia 2017</t>
        </r>
      </text>
    </comment>
    <comment ref="AB22" authorId="1">
      <text>
        <r>
          <rPr>
            <b/>
            <sz val="9"/>
            <color indexed="81"/>
            <rFont val="Tahoma"/>
            <family val="2"/>
          </rPr>
          <t>DELL: 12272</t>
        </r>
        <r>
          <rPr>
            <sz val="9"/>
            <color indexed="81"/>
            <rFont val="Tahoma"/>
            <family val="2"/>
          </rPr>
          <t xml:space="preserve"> SE TRASLADARON PARA LA VIGENCIA 2016
se trasladaron recuros de 2018 y 2019 a vigencia 2017</t>
        </r>
      </text>
    </comment>
    <comment ref="AC22" authorId="1">
      <text>
        <r>
          <rPr>
            <b/>
            <sz val="9"/>
            <color indexed="81"/>
            <rFont val="Tahoma"/>
            <family val="2"/>
          </rPr>
          <t>DELL: 20455</t>
        </r>
        <r>
          <rPr>
            <sz val="9"/>
            <color indexed="81"/>
            <rFont val="Tahoma"/>
            <family val="2"/>
          </rPr>
          <t xml:space="preserve"> SE TRASLADARON PARA LA VIGENCIA 2019, se trasladaron recuros de 2018 y 2019 a vigencia 2017</t>
        </r>
      </text>
    </comment>
    <comment ref="Q23" authorId="1">
      <text>
        <r>
          <rPr>
            <b/>
            <sz val="9"/>
            <color indexed="81"/>
            <rFont val="Tahoma"/>
            <family val="2"/>
          </rPr>
          <t>DELL:</t>
        </r>
        <r>
          <rPr>
            <sz val="9"/>
            <color indexed="81"/>
            <rFont val="Tahoma"/>
            <family val="2"/>
          </rPr>
          <t xml:space="preserve">
10228 SE TRASLADARON PARA LA VIGENCIA 2016  y se trasladaron recursos de 2018 y 2019 a vigencia 2017</t>
        </r>
      </text>
    </comment>
    <comment ref="Y23" authorId="1">
      <text>
        <r>
          <rPr>
            <b/>
            <sz val="9"/>
            <color indexed="81"/>
            <rFont val="Tahoma"/>
            <family val="2"/>
          </rPr>
          <t xml:space="preserve">DELL: 10909 </t>
        </r>
        <r>
          <rPr>
            <sz val="9"/>
            <color indexed="81"/>
            <rFont val="Tahoma"/>
            <family val="2"/>
          </rPr>
          <t xml:space="preserve"> SE TRASLADARON PARA LA VIGENCIA 2016 se trasladaron recursos de la vigencia 2018 y 2019 a 2017</t>
        </r>
      </text>
    </comment>
    <comment ref="Z23" authorId="1">
      <text>
        <r>
          <rPr>
            <b/>
            <sz val="9"/>
            <color indexed="81"/>
            <rFont val="Tahoma"/>
            <family val="2"/>
          </rPr>
          <t>DELL:</t>
        </r>
        <r>
          <rPr>
            <sz val="9"/>
            <color indexed="81"/>
            <rFont val="Tahoma"/>
            <family val="2"/>
          </rPr>
          <t xml:space="preserve">
se trasladaron a vigencia 2061 23864, se traladaron recursos de 2018 y 2019 para la vigencia 2017</t>
        </r>
      </text>
    </comment>
    <comment ref="AB23" authorId="1">
      <text>
        <r>
          <rPr>
            <b/>
            <sz val="9"/>
            <color indexed="81"/>
            <rFont val="Tahoma"/>
            <family val="2"/>
          </rPr>
          <t>DELL: 12272</t>
        </r>
        <r>
          <rPr>
            <sz val="9"/>
            <color indexed="81"/>
            <rFont val="Tahoma"/>
            <family val="2"/>
          </rPr>
          <t xml:space="preserve"> SE TRASLADARON PARA LA VIGENCIA 2016
se trasladaron recuros de 2018 y 2019 a vigencia 2017</t>
        </r>
      </text>
    </comment>
    <comment ref="AC23" authorId="1">
      <text>
        <r>
          <rPr>
            <b/>
            <sz val="9"/>
            <color indexed="81"/>
            <rFont val="Tahoma"/>
            <family val="2"/>
          </rPr>
          <t>DELL: 20455</t>
        </r>
        <r>
          <rPr>
            <sz val="9"/>
            <color indexed="81"/>
            <rFont val="Tahoma"/>
            <family val="2"/>
          </rPr>
          <t xml:space="preserve"> SE TRASLADARON PARA LA VIGENCIA 2019, se trasladaron recuros de 2018 y 2019 a vigencia 2017</t>
        </r>
      </text>
    </comment>
    <comment ref="Y24" authorId="1">
      <text>
        <r>
          <rPr>
            <b/>
            <sz val="9"/>
            <color indexed="81"/>
            <rFont val="Tahoma"/>
            <family val="2"/>
          </rPr>
          <t>DELL:</t>
        </r>
        <r>
          <rPr>
            <sz val="9"/>
            <color indexed="81"/>
            <rFont val="Tahoma"/>
            <family val="2"/>
          </rPr>
          <t xml:space="preserve">
SE TRASLADAN LOS RECURSOS A OTRA META DE PRODUCTO $36364</t>
        </r>
      </text>
    </comment>
    <comment ref="Z24" authorId="1">
      <text>
        <r>
          <rPr>
            <b/>
            <sz val="9"/>
            <color indexed="81"/>
            <rFont val="Tahoma"/>
            <family val="2"/>
          </rPr>
          <t>DELL:</t>
        </r>
        <r>
          <rPr>
            <sz val="9"/>
            <color indexed="81"/>
            <rFont val="Tahoma"/>
            <family val="2"/>
          </rPr>
          <t xml:space="preserve">
SE TRASLADAN LOS RECURSOS A OTRA META DE PRODUCTO $79545</t>
        </r>
      </text>
    </comment>
    <comment ref="AC24" authorId="1">
      <text>
        <r>
          <rPr>
            <b/>
            <sz val="9"/>
            <color indexed="81"/>
            <rFont val="Tahoma"/>
            <family val="2"/>
          </rPr>
          <t>DELL:</t>
        </r>
        <r>
          <rPr>
            <sz val="9"/>
            <color indexed="81"/>
            <rFont val="Tahoma"/>
            <family val="2"/>
          </rPr>
          <t xml:space="preserve">
SE TRASLADAN LOS RECURSOS A OTRA META DE PRODUCTO $68182</t>
        </r>
      </text>
    </comment>
    <comment ref="Y28" authorId="1">
      <text>
        <r>
          <rPr>
            <b/>
            <sz val="9"/>
            <color indexed="81"/>
            <rFont val="Tahoma"/>
            <family val="2"/>
          </rPr>
          <t>DELL:</t>
        </r>
        <r>
          <rPr>
            <sz val="9"/>
            <color indexed="81"/>
            <rFont val="Tahoma"/>
            <family val="2"/>
          </rPr>
          <t xml:space="preserve">
SE ADICONO RESURSOS DE META SOBREVALORADA $36364</t>
        </r>
      </text>
    </comment>
    <comment ref="AC29" authorId="1">
      <text>
        <r>
          <rPr>
            <b/>
            <sz val="9"/>
            <color indexed="81"/>
            <rFont val="Tahoma"/>
            <family val="2"/>
          </rPr>
          <t>DELL:</t>
        </r>
        <r>
          <rPr>
            <sz val="9"/>
            <color indexed="81"/>
            <rFont val="Tahoma"/>
            <family val="2"/>
          </rPr>
          <t xml:space="preserve">
se adiciona recuros de meta sobrevalorada  $68182</t>
        </r>
      </text>
    </comment>
    <comment ref="Y30" authorId="1">
      <text>
        <r>
          <rPr>
            <b/>
            <sz val="9"/>
            <color indexed="81"/>
            <rFont val="Tahoma"/>
            <family val="2"/>
          </rPr>
          <t>DELL:</t>
        </r>
        <r>
          <rPr>
            <sz val="9"/>
            <color indexed="81"/>
            <rFont val="Tahoma"/>
            <family val="2"/>
          </rPr>
          <t xml:space="preserve">
se adicionaron recuros de la vigenai 2016 $22222</t>
        </r>
      </text>
    </comment>
    <comment ref="Z30" authorId="1">
      <text>
        <r>
          <rPr>
            <b/>
            <sz val="9"/>
            <color indexed="81"/>
            <rFont val="Tahoma"/>
            <family val="2"/>
          </rPr>
          <t>DELL:</t>
        </r>
        <r>
          <rPr>
            <sz val="9"/>
            <color indexed="81"/>
            <rFont val="Tahoma"/>
            <family val="2"/>
          </rPr>
          <t xml:space="preserve">
se adicionaron recursos d ela vigenia 2016 $5556</t>
        </r>
      </text>
    </comment>
    <comment ref="AC30" authorId="1">
      <text>
        <r>
          <rPr>
            <b/>
            <sz val="9"/>
            <color indexed="81"/>
            <rFont val="Tahoma"/>
            <family val="2"/>
          </rPr>
          <t>DELL:</t>
        </r>
        <r>
          <rPr>
            <sz val="9"/>
            <color indexed="81"/>
            <rFont val="Tahoma"/>
            <family val="2"/>
          </rPr>
          <t xml:space="preserve">
se adicionaron recuros de la viigencia 2016 $25000+2778</t>
        </r>
      </text>
    </comment>
    <comment ref="Z32" authorId="1">
      <text>
        <r>
          <rPr>
            <b/>
            <sz val="9"/>
            <color indexed="81"/>
            <rFont val="Tahoma"/>
            <family val="2"/>
          </rPr>
          <t>DELL:</t>
        </r>
        <r>
          <rPr>
            <sz val="9"/>
            <color indexed="81"/>
            <rFont val="Tahoma"/>
            <family val="2"/>
          </rPr>
          <t xml:space="preserve">
se adicionaron recuros de la vigencia 2016</t>
        </r>
      </text>
    </comment>
    <comment ref="AB32" authorId="1">
      <text>
        <r>
          <rPr>
            <b/>
            <sz val="9"/>
            <color indexed="81"/>
            <rFont val="Tahoma"/>
            <family val="2"/>
          </rPr>
          <t>DELL:</t>
        </r>
        <r>
          <rPr>
            <sz val="9"/>
            <color indexed="81"/>
            <rFont val="Tahoma"/>
            <family val="2"/>
          </rPr>
          <t xml:space="preserve">
se adicionaron recuros de la vigencia 2016</t>
        </r>
      </text>
    </comment>
    <comment ref="AC32" authorId="1">
      <text>
        <r>
          <rPr>
            <b/>
            <sz val="9"/>
            <color indexed="81"/>
            <rFont val="Tahoma"/>
            <family val="2"/>
          </rPr>
          <t>DELL:</t>
        </r>
        <r>
          <rPr>
            <sz val="9"/>
            <color indexed="81"/>
            <rFont val="Tahoma"/>
            <family val="2"/>
          </rPr>
          <t xml:space="preserve">
se adiconaron recuros de la vigenai 2016</t>
        </r>
      </text>
    </comment>
    <comment ref="Z33" authorId="1">
      <text>
        <r>
          <rPr>
            <b/>
            <sz val="9"/>
            <color indexed="81"/>
            <rFont val="Tahoma"/>
            <family val="2"/>
          </rPr>
          <t>DELL:</t>
        </r>
        <r>
          <rPr>
            <sz val="9"/>
            <color indexed="81"/>
            <rFont val="Tahoma"/>
            <family val="2"/>
          </rPr>
          <t xml:space="preserve">
se adicionaron recuros de la vigencia 2016</t>
        </r>
      </text>
    </comment>
    <comment ref="AB33" authorId="1">
      <text>
        <r>
          <rPr>
            <b/>
            <sz val="9"/>
            <color indexed="81"/>
            <rFont val="Tahoma"/>
            <family val="2"/>
          </rPr>
          <t>DELL:</t>
        </r>
        <r>
          <rPr>
            <sz val="9"/>
            <color indexed="81"/>
            <rFont val="Tahoma"/>
            <family val="2"/>
          </rPr>
          <t xml:space="preserve">
se adicionaron recuros de la vigencia 2016</t>
        </r>
      </text>
    </comment>
    <comment ref="AC33" authorId="1">
      <text>
        <r>
          <rPr>
            <b/>
            <sz val="9"/>
            <color indexed="81"/>
            <rFont val="Tahoma"/>
            <family val="2"/>
          </rPr>
          <t>DELL:</t>
        </r>
        <r>
          <rPr>
            <sz val="9"/>
            <color indexed="81"/>
            <rFont val="Tahoma"/>
            <family val="2"/>
          </rPr>
          <t xml:space="preserve">
se adicionaron recuros de la vigencia 2016</t>
        </r>
      </text>
    </comment>
    <comment ref="Z36" authorId="1">
      <text>
        <r>
          <rPr>
            <b/>
            <sz val="9"/>
            <color indexed="81"/>
            <rFont val="Tahoma"/>
            <family val="2"/>
          </rPr>
          <t>DELL:</t>
        </r>
        <r>
          <rPr>
            <sz val="9"/>
            <color indexed="81"/>
            <rFont val="Tahoma"/>
            <family val="2"/>
          </rPr>
          <t xml:space="preserve">
se adicionaron recuros de 2016 2971</t>
        </r>
      </text>
    </comment>
    <comment ref="AB36" authorId="1">
      <text>
        <r>
          <rPr>
            <b/>
            <sz val="9"/>
            <color indexed="81"/>
            <rFont val="Tahoma"/>
            <family val="2"/>
          </rPr>
          <t>DELL:</t>
        </r>
        <r>
          <rPr>
            <sz val="9"/>
            <color indexed="81"/>
            <rFont val="Tahoma"/>
            <family val="2"/>
          </rPr>
          <t xml:space="preserve">
se adicionan recuros de 2016 por 1143</t>
        </r>
      </text>
    </comment>
    <comment ref="AC36" authorId="1">
      <text>
        <r>
          <rPr>
            <b/>
            <sz val="9"/>
            <color indexed="81"/>
            <rFont val="Tahoma"/>
            <family val="2"/>
          </rPr>
          <t>DELL:</t>
        </r>
        <r>
          <rPr>
            <sz val="9"/>
            <color indexed="81"/>
            <rFont val="Tahoma"/>
            <family val="2"/>
          </rPr>
          <t xml:space="preserve">
se adicionaron recuros de 2016 5143 + 1371</t>
        </r>
      </text>
    </comment>
    <comment ref="Z37" authorId="1">
      <text>
        <r>
          <rPr>
            <b/>
            <sz val="9"/>
            <color indexed="81"/>
            <rFont val="Tahoma"/>
            <family val="2"/>
          </rPr>
          <t>DELL:</t>
        </r>
        <r>
          <rPr>
            <sz val="9"/>
            <color indexed="81"/>
            <rFont val="Tahoma"/>
            <family val="2"/>
          </rPr>
          <t xml:space="preserve">
SE ADICINAN RECUROS DE  META SOBREVALORADA 79545</t>
        </r>
      </text>
    </comment>
    <comment ref="Z41" authorId="1">
      <text>
        <r>
          <rPr>
            <b/>
            <sz val="9"/>
            <color indexed="81"/>
            <rFont val="Tahoma"/>
            <family val="2"/>
          </rPr>
          <t>DELL:</t>
        </r>
        <r>
          <rPr>
            <sz val="9"/>
            <color indexed="81"/>
            <rFont val="Tahoma"/>
            <family val="2"/>
          </rPr>
          <t xml:space="preserve">
SE ADICIONARON RECUROS DE 2016 $10311</t>
        </r>
      </text>
    </comment>
    <comment ref="AB41" authorId="1">
      <text>
        <r>
          <rPr>
            <b/>
            <sz val="9"/>
            <color indexed="81"/>
            <rFont val="Tahoma"/>
            <family val="2"/>
          </rPr>
          <t>DELL:</t>
        </r>
        <r>
          <rPr>
            <sz val="9"/>
            <color indexed="81"/>
            <rFont val="Tahoma"/>
            <family val="2"/>
          </rPr>
          <t xml:space="preserve">
SE ADICIONARON RECUROS DE 2016 $1717</t>
        </r>
      </text>
    </comment>
    <comment ref="AC41" authorId="1">
      <text>
        <r>
          <rPr>
            <b/>
            <sz val="9"/>
            <color indexed="81"/>
            <rFont val="Tahoma"/>
            <family val="2"/>
          </rPr>
          <t>DELL:</t>
        </r>
        <r>
          <rPr>
            <sz val="9"/>
            <color indexed="81"/>
            <rFont val="Tahoma"/>
            <family val="2"/>
          </rPr>
          <t xml:space="preserve">
SE ADICIONARON RECUROS DE 2016 $1717</t>
        </r>
      </text>
    </comment>
    <comment ref="Z42" authorId="1">
      <text>
        <r>
          <rPr>
            <b/>
            <sz val="9"/>
            <color indexed="81"/>
            <rFont val="Tahoma"/>
            <family val="2"/>
          </rPr>
          <t>DELL:</t>
        </r>
        <r>
          <rPr>
            <sz val="9"/>
            <color indexed="81"/>
            <rFont val="Tahoma"/>
            <family val="2"/>
          </rPr>
          <t xml:space="preserve">
SE ADICIONARON RECUROS DE 2016 $10313</t>
        </r>
      </text>
    </comment>
    <comment ref="AB42" authorId="1">
      <text>
        <r>
          <rPr>
            <b/>
            <sz val="9"/>
            <color indexed="81"/>
            <rFont val="Tahoma"/>
            <family val="2"/>
          </rPr>
          <t>DELL:</t>
        </r>
        <r>
          <rPr>
            <sz val="9"/>
            <color indexed="81"/>
            <rFont val="Tahoma"/>
            <family val="2"/>
          </rPr>
          <t xml:space="preserve">
SE ADICIONARON RECUROS DE 2016 $1719</t>
        </r>
      </text>
    </comment>
    <comment ref="AC42" authorId="1">
      <text>
        <r>
          <rPr>
            <b/>
            <sz val="9"/>
            <color indexed="81"/>
            <rFont val="Tahoma"/>
            <family val="2"/>
          </rPr>
          <t>DELL:</t>
        </r>
        <r>
          <rPr>
            <sz val="9"/>
            <color indexed="81"/>
            <rFont val="Tahoma"/>
            <family val="2"/>
          </rPr>
          <t xml:space="preserve">
SE ADICIONARON RECUROS DE 2016 $1719</t>
        </r>
      </text>
    </comment>
    <comment ref="Z43" authorId="1">
      <text>
        <r>
          <rPr>
            <b/>
            <sz val="9"/>
            <color indexed="81"/>
            <rFont val="Tahoma"/>
            <family val="2"/>
          </rPr>
          <t>DELL:</t>
        </r>
        <r>
          <rPr>
            <sz val="9"/>
            <color indexed="81"/>
            <rFont val="Tahoma"/>
            <family val="2"/>
          </rPr>
          <t xml:space="preserve">
SE ADICIONARON RECUROS DE 2016 $10313</t>
        </r>
      </text>
    </comment>
    <comment ref="AB43" authorId="1">
      <text>
        <r>
          <rPr>
            <b/>
            <sz val="9"/>
            <color indexed="81"/>
            <rFont val="Tahoma"/>
            <family val="2"/>
          </rPr>
          <t>DELL:</t>
        </r>
        <r>
          <rPr>
            <sz val="9"/>
            <color indexed="81"/>
            <rFont val="Tahoma"/>
            <family val="2"/>
          </rPr>
          <t xml:space="preserve">
SE ADICIONARON RECUROS DE 2016 $1719</t>
        </r>
      </text>
    </comment>
    <comment ref="AC43" authorId="1">
      <text>
        <r>
          <rPr>
            <b/>
            <sz val="9"/>
            <color indexed="81"/>
            <rFont val="Tahoma"/>
            <family val="2"/>
          </rPr>
          <t>DELL:</t>
        </r>
        <r>
          <rPr>
            <sz val="9"/>
            <color indexed="81"/>
            <rFont val="Tahoma"/>
            <family val="2"/>
          </rPr>
          <t xml:space="preserve">
SE ADICIONARON RECUROS DE 2016 $1719</t>
        </r>
      </text>
    </comment>
    <comment ref="Z44" authorId="1">
      <text>
        <r>
          <rPr>
            <b/>
            <sz val="9"/>
            <color indexed="81"/>
            <rFont val="Tahoma"/>
            <family val="2"/>
          </rPr>
          <t>DELL:</t>
        </r>
        <r>
          <rPr>
            <sz val="9"/>
            <color indexed="81"/>
            <rFont val="Tahoma"/>
            <family val="2"/>
          </rPr>
          <t xml:space="preserve">
SE ADICIONARON RECUROS DE 2016 $10313</t>
        </r>
      </text>
    </comment>
    <comment ref="AB44" authorId="1">
      <text>
        <r>
          <rPr>
            <b/>
            <sz val="9"/>
            <color indexed="81"/>
            <rFont val="Tahoma"/>
            <family val="2"/>
          </rPr>
          <t>DELL:</t>
        </r>
        <r>
          <rPr>
            <sz val="9"/>
            <color indexed="81"/>
            <rFont val="Tahoma"/>
            <family val="2"/>
          </rPr>
          <t xml:space="preserve">
SE ADICIONARON RECUROS DE 2016 $1719</t>
        </r>
      </text>
    </comment>
    <comment ref="AC44" authorId="1">
      <text>
        <r>
          <rPr>
            <b/>
            <sz val="9"/>
            <color indexed="81"/>
            <rFont val="Tahoma"/>
            <family val="2"/>
          </rPr>
          <t>DELL:</t>
        </r>
        <r>
          <rPr>
            <sz val="9"/>
            <color indexed="81"/>
            <rFont val="Tahoma"/>
            <family val="2"/>
          </rPr>
          <t xml:space="preserve">
SE ADICIONARON RECUROS DE 2016 $1719</t>
        </r>
      </text>
    </comment>
  </commentList>
</comments>
</file>

<file path=xl/sharedStrings.xml><?xml version="1.0" encoding="utf-8"?>
<sst xmlns="http://schemas.openxmlformats.org/spreadsheetml/2006/main" count="16021" uniqueCount="3879">
  <si>
    <t>GOBERNACION DEL CAUCA</t>
  </si>
  <si>
    <t>OFICINA ASESORA DE PLANEACIÓN</t>
  </si>
  <si>
    <t>PLAN DEPARTAMENTAL DE DESARROLLO "CAUCA, TERRITORIO DE PAZ"</t>
  </si>
  <si>
    <t>EJE</t>
  </si>
  <si>
    <t xml:space="preserve">COMPONENTE </t>
  </si>
  <si>
    <t>META DE RESULTADO</t>
  </si>
  <si>
    <t>INDICADOR DE RESULTADO</t>
  </si>
  <si>
    <t>LINEA DE BASE META DE RESULTADO A 2015</t>
  </si>
  <si>
    <t xml:space="preserve">PROGRAMA </t>
  </si>
  <si>
    <t>OBJETIVO DEL PROGRAMA</t>
  </si>
  <si>
    <t>META DE PRODUCTO</t>
  </si>
  <si>
    <t>INDICADOR DE PRODUCTO</t>
  </si>
  <si>
    <t>LINEA DE BASE META DE PRODUCTO A 2015</t>
  </si>
  <si>
    <t>TIPO DE META (Mantenimiento, Incremento, Reducción)</t>
  </si>
  <si>
    <t>META  AL CUATRIENIO</t>
  </si>
  <si>
    <t>FUENTES DE FINANCIACION (MILES DE PESOS)</t>
  </si>
  <si>
    <t>NOMBRE DEL PROYECTO</t>
  </si>
  <si>
    <t>CODIGO SSEPI</t>
  </si>
  <si>
    <t>MUNICIPIOS BENEFICIDOS</t>
  </si>
  <si>
    <t>SUBREGIÓN</t>
  </si>
  <si>
    <t>POBLACION BENEFICIADA (CIFRA)</t>
  </si>
  <si>
    <t>PRODUCTOS DEL PROYECTO</t>
  </si>
  <si>
    <t>TIEMPO DE EJECUCION</t>
  </si>
  <si>
    <t>RESPONSABLE (Cargo y tipo de vinculación)</t>
  </si>
  <si>
    <t>OBSERVACIONES</t>
  </si>
  <si>
    <t>NOMBRE</t>
  </si>
  <si>
    <t>VALOR ACTUAL</t>
  </si>
  <si>
    <t>RECURSOS PROPIOS</t>
  </si>
  <si>
    <t>IMPUESTO AL CONSUMO DE TELEFONIA MOVIL</t>
  </si>
  <si>
    <t>IMPUESTO AL CONSUMO DE TABACO</t>
  </si>
  <si>
    <t>FCR</t>
  </si>
  <si>
    <t xml:space="preserve">F D R </t>
  </si>
  <si>
    <t xml:space="preserve">CTI </t>
  </si>
  <si>
    <t>REGALIAS DIRECTAS</t>
  </si>
  <si>
    <t xml:space="preserve">COOPERACIÓN INTERNACIONAL </t>
  </si>
  <si>
    <t>PRESUPUETO GENERAL DE LA NACIÓN</t>
  </si>
  <si>
    <t>COFINANCIACION</t>
  </si>
  <si>
    <t>OTROS RECURSOS DE GESTIÓN</t>
  </si>
  <si>
    <t>RECURSOS DE CONCURRENCIA</t>
  </si>
  <si>
    <t>RECURSOS VIGENCIAS ANTERIORES</t>
  </si>
  <si>
    <t>E</t>
  </si>
  <si>
    <t>F</t>
  </si>
  <si>
    <t>M</t>
  </si>
  <si>
    <t>A</t>
  </si>
  <si>
    <t>J</t>
  </si>
  <si>
    <t>S</t>
  </si>
  <si>
    <t>O</t>
  </si>
  <si>
    <t>N</t>
  </si>
  <si>
    <t>D</t>
  </si>
  <si>
    <t>Territorios de Paz y para el Buen Vivir</t>
  </si>
  <si>
    <t>Desarrollo Humano Integral</t>
  </si>
  <si>
    <t>Sostener en 100% la Tasa de Cobertura Bruta en los establecimientos educativos oficiales.</t>
  </si>
  <si>
    <t>Tasa de Cobertura Bruta en los establecimientos educativos oficiales</t>
  </si>
  <si>
    <t>Cobertura Educativa para La Paz.</t>
  </si>
  <si>
    <t>Sostener a 218.251 estudiantes en cobertura bruta en los niveles de preescolar, primaria, secundaria y media en los establecimientos educativos de carácter oficial</t>
  </si>
  <si>
    <t xml:space="preserve">Número de estudiantes en cobertura bruta en los niveles de preescolar, primaria, secundaria y media en los establecimientos educativos de carácter oficial </t>
  </si>
  <si>
    <t>Incrementar en 0,5% la Tasa de Cobertura Neta en los establecimientos educativos oficiales.</t>
  </si>
  <si>
    <t>Tasa de Cobertura Neta en los establecimientos educativos oficiales</t>
  </si>
  <si>
    <t>Incrementar en 1.060 estudiantes en la Cobertura Neta para población en edades escolares realizando especial énfasis en el nivel de Educación Media.</t>
  </si>
  <si>
    <t xml:space="preserve">Número de estudiantes en la Cobertura Neta para población en edades escolares realizando especial énfasis en el nivel de Educación Media incrementado </t>
  </si>
  <si>
    <t xml:space="preserve">Mantener entre el 1,16% y el 2,0% la Tasa de Reprobación en los establecimientos educativos oficiales. </t>
  </si>
  <si>
    <t>Tasa de Reprobación en los establecimientos educativos oficiales</t>
  </si>
  <si>
    <t xml:space="preserve">Mantener en 2.788 estudiantes como límite para la Reprobación en los niveles de primaria, secundaria y media. </t>
  </si>
  <si>
    <t xml:space="preserve">Número de estudiantes mantenidos como límite para la Reprobación en los niveles de primaria, secundaria y media </t>
  </si>
  <si>
    <t>Retener el 85% los estudiantes reprobados en el sistema educativo oficial en los niveles de primaria, secundaria y media..</t>
  </si>
  <si>
    <t xml:space="preserve">Tasa de Repitencia </t>
  </si>
  <si>
    <t>Retener 2.063 estudiantes en el sistema educativo oficial  de los que reprobaron en los niveles de primaria, secundaria y media en los establecimientos educativos de carácter oficial.</t>
  </si>
  <si>
    <t>Número de estudiantes en el sistema educativo oficial  de los que reprobaron en los niveles de primaria, secundaria y media en los establecimientos educativos de carácter oficial</t>
  </si>
  <si>
    <t>Disminuir en 0,1% la Tasa de Deserción intra-anual  en los establecimientos educativos oficiales.</t>
  </si>
  <si>
    <t>Tasa de Deserción intra-anual</t>
  </si>
  <si>
    <t>Disminuir en 100 estudiantes la deserción Intra-anual en los niveles de primaria, secundaria y media</t>
  </si>
  <si>
    <t>Número de estudiantes que desertan del Sistema Educativo los niveles de primaria, secundaria y media.</t>
  </si>
  <si>
    <t>Disminuir en 1% la Tasa de Analfabetismo para personas de 15 años en adelante</t>
  </si>
  <si>
    <t>Tasa de Analfabetismo</t>
  </si>
  <si>
    <t xml:space="preserve">Vincular 1.000 personas iletradas de 15 años en adelante al Sistema Educativo oficial en el Departamento del Cauca para reducción del analfabetismo. </t>
  </si>
  <si>
    <t xml:space="preserve">Número de personas iletradas de 15 años en adelante vinculadas al Sistema Educativo oficial en el Departamento del Cauca para reducción del analfabetismo  </t>
  </si>
  <si>
    <t xml:space="preserve">Brindar continuidad a 30.000 estudiantes con el programa de educación para jóvenes y adultos de los Ciclos II al VI </t>
  </si>
  <si>
    <t>Número de estudiantes con el programa de educación para jóvenes y adultos de los Ciclos II al VI que se les brinda continuidad</t>
  </si>
  <si>
    <t xml:space="preserve">Atender a 163.535 estudiantes con el Programa de Alimentación Escolar en los establecimientos de carácter oficial </t>
  </si>
  <si>
    <t xml:space="preserve">Número de estudiantes con el Programa de Alimentación Escolar en los establecimientos de carácter oficial  atendidos </t>
  </si>
  <si>
    <t xml:space="preserve">Mantener en 163.535 el número de niños, niñas y jóvenes atendidos a través del Programa de Alimentación Escolar </t>
  </si>
  <si>
    <t xml:space="preserve">Número de niños, niñas y jóvenes atendidos a través del Programa de Alimentación Escolar </t>
  </si>
  <si>
    <t xml:space="preserve">Implementar 1 Modelo de Gestión de la Educación Inicial (MGEI) en la estructura organizacional de la Secretaría de Educación </t>
  </si>
  <si>
    <t>Número de Modelos de Gestión de la Educación Inicial (MGEI) en la estructura organizacional de la Secretaría de Educación  implementados</t>
  </si>
  <si>
    <t>Implementar 1 Modelo de Gestión de la Educación Inicial (MGEI) en la estructura organizacional de la Secretaría de Educación del Departamento del Cauca en beneficio del sector educativo articulado con las Políticas del Ministerio de Educación Nacional.</t>
  </si>
  <si>
    <t>Número de modelos de Gestión de la Educación Inicial (MGEI) en la estructura organizacional de la Secretaría de Educación del Departamento del Cauca en beneficio del sector educativo articulado con las Políticas del Ministerio de Educación Nacional implementados</t>
  </si>
  <si>
    <t xml:space="preserve">Garantizar al 100% de población víctima que solicite ingreso al sistema educativo el acceso y su permanencia </t>
  </si>
  <si>
    <t>Porcentaje de población víctima con acceso y permanencia al sistema educativo que soliciten ingreso garantizado</t>
  </si>
  <si>
    <t xml:space="preserve">Atender al 100% de las emergencias presentadas en los establecimientos educativos de carácter oficial por diferentes tipos de afectación en los municipios no certificados </t>
  </si>
  <si>
    <t>Porcentaje de las emergencias presentadas en los establecimientos educativos de carácter oficial por diferentes tipos de afectación en los municipios no certificados atendidas</t>
  </si>
  <si>
    <t>Implementar 566 Planes Escolares de Gestión del Riesgo en los establecimientos educativos oficiales en cumplimento de las Leyes 1448 de 2011 y 1523 de 2012</t>
  </si>
  <si>
    <t xml:space="preserve">Número de Planes Escolares de Gestión del Riesgo en los establecimientos educativos oficiales en cumplimento de las Leyes 1448 de 2011 y 1523 de 2012 implementados </t>
  </si>
  <si>
    <t>Actualizar 146 Planes Escolares de Gestión del Riesgo en establecimientos educativos oficiales</t>
  </si>
  <si>
    <t>Número de Planes Escolares de Gestión del Riesgo en establecimientos educativos oficiales actualizados.</t>
  </si>
  <si>
    <t xml:space="preserve">Formular 420 Planes Escolares de Gestión del Riesgo en establecimientos educativos oficiales </t>
  </si>
  <si>
    <t>Número de Planes Escolares de Gestión del Riesgo en establecimientos educativos oficiales formulados</t>
  </si>
  <si>
    <t xml:space="preserve">Intervenir la infraestructura física de 50 establecimientos educativos de municipios no certificados del Departamento del Cauca </t>
  </si>
  <si>
    <t xml:space="preserve">Número de infraestructura física de establecimientos educativos de municipios no certificados intervenidos  </t>
  </si>
  <si>
    <t>Ambientes y espacios escolares para la paz.</t>
  </si>
  <si>
    <t>Ofrecer ambientes y espacios escolares seguros, amigables con el medio ambiente que permitan prestar el servicio educativo en los establecimientos oficiales de los municipios no certificados del Departamento del Cauca.</t>
  </si>
  <si>
    <t>Construir y dotar 120 aulas en establecimientos educativos oficiales</t>
  </si>
  <si>
    <t>Número de aulas en establecimientos educativos oficiales construidas y dotadas</t>
  </si>
  <si>
    <t>Construir 3 internados en establecimientos educativos oficiales</t>
  </si>
  <si>
    <t>Número de internados en establecimientos educativos oficiales construidos</t>
  </si>
  <si>
    <t>Construir 3 ambientes de formación para programas técnicos, tecnológicos y de formación superior en establecimientos educativos oficiales.</t>
  </si>
  <si>
    <t>Número de ambientes de formación para programas técnicos, tecnológicos y de formación superior en establecimientos educativos oficiales construidos</t>
  </si>
  <si>
    <t>Construir 5 aulas de informática en establecimientos educativos oficiales</t>
  </si>
  <si>
    <t>Número de aulas de informática en establecimientos educativos oficiales construidas</t>
  </si>
  <si>
    <t>Construir 150 baterías sanitarias con tratamiento de aguas servidas en establecimientos educativos oficiales</t>
  </si>
  <si>
    <t>Número de baterías sanitarias con tratamiento de aguas servidas en establecimientos educativos oficiales construidas</t>
  </si>
  <si>
    <t>Intervenir 20 restaurantes escolares en establecimientos educativos oficiales</t>
  </si>
  <si>
    <t>Número de restaurantes escolares en establecimientos educativos oficiales intervenidos</t>
  </si>
  <si>
    <t>Construir 10 laboratorios en establecimientos educativos oficiales</t>
  </si>
  <si>
    <t>Número de laboratorios  en establecimientos educativos oficiales construidos</t>
  </si>
  <si>
    <t>Construir 6 polideportivos para establecimientos educativos oficiales.</t>
  </si>
  <si>
    <t>Número de polideportivos para establecimientos educativos oficiales construidos</t>
  </si>
  <si>
    <t>Adecuar la infraestructura física de 25 sedes educativas oficiales</t>
  </si>
  <si>
    <t xml:space="preserve">Número de sedes educativas oficiales con adecuación de la  infraestructura física </t>
  </si>
  <si>
    <t xml:space="preserve">Realizar en 10 sedes educativas oficiales  el mantenimiento de la infraestructura </t>
  </si>
  <si>
    <t>Número de sedes educativas oficiales  con mantenimiento de la infraestructura realizada</t>
  </si>
  <si>
    <t>Legalizar 50 predios de sedes educativas oficiales.</t>
  </si>
  <si>
    <t xml:space="preserve">Número de predios de sedes educativas oficiales legalizados </t>
  </si>
  <si>
    <t xml:space="preserve">Realizar 5 estudios y diseños para construcción de infraestructura educativa. </t>
  </si>
  <si>
    <t>Número de estudios y diseños para construcción de infraestructura educativa realizados</t>
  </si>
  <si>
    <t xml:space="preserve">Construir 35 aulas escolares musicales en sedes educativas oficiales </t>
  </si>
  <si>
    <t xml:space="preserve">Número de aulas escolares musicales en sedes educativas oficiales construidas </t>
  </si>
  <si>
    <t>Aumentar a 5.05  el índice sintético  en la Básica primaria</t>
  </si>
  <si>
    <t xml:space="preserve">Índice sintético en la Básica primaria mejorado </t>
  </si>
  <si>
    <t>4.55</t>
  </si>
  <si>
    <t>Cauca caminando hacia la excelencia educativa.</t>
  </si>
  <si>
    <t>Mejorar la calidad de la educación en los establecimientos educativos a través del acompañamiento, asistencia técnica y formación de los docentes y directivos docentes.</t>
  </si>
  <si>
    <t xml:space="preserve">Beneficiar a 4.300 nuevos estudiantes con la implementación de la Jornada Única </t>
  </si>
  <si>
    <t xml:space="preserve">Número de nuevos estudiantes beneficiados con la implementación de la Jornada Única </t>
  </si>
  <si>
    <t xml:space="preserve"> Aumentar  a 4.92, el índice sintético de secundaría</t>
  </si>
  <si>
    <t>Índice sintético de secundaría mejorado</t>
  </si>
  <si>
    <t>4.18</t>
  </si>
  <si>
    <t>Beneficiar a 4.300 nuevos estudiantes con el Programa Todos Aprender (PTA)</t>
  </si>
  <si>
    <t>Número de nuevos estudiantes con el Programa Todos Aprender (PTA) beneficiados</t>
  </si>
  <si>
    <t>Mejorar el  índice sintético en educación media a 5.08</t>
  </si>
  <si>
    <t>índice sintético en educación media mejorado</t>
  </si>
  <si>
    <t>4.52</t>
  </si>
  <si>
    <t>Implementar en 100 establecimientos educativos la estrategia de psicometría mejoramiento de las Pruebas Saber.</t>
  </si>
  <si>
    <t>Número de establecimientos educativos con la estrategia de psicometría implementada para el mejoramiento de las Pruebas Saber.</t>
  </si>
  <si>
    <t>Formar 450 docentes y directivos docentes en las evaluaciones anuales de desempeño (Decreto Ley 1278 de 2002)</t>
  </si>
  <si>
    <t>Número docentes y directivos docentes en las evaluaciones anuales de desempeño formados (Decreto Ley 1278 de 2002)</t>
  </si>
  <si>
    <t>Actualizar 400 sistemas de evaluación interna de estudiantes</t>
  </si>
  <si>
    <t>Número de sistemas de Evaluación interna de estudiantes actualizados</t>
  </si>
  <si>
    <t>Implementar 1 Plan de Formación Territorial Docente.</t>
  </si>
  <si>
    <t>Número de Planes Territoriales de Formación Docente  implementados</t>
  </si>
  <si>
    <t>Formar 450 docentes en la formulación e implementación de proyectos pedagógicos transversales</t>
  </si>
  <si>
    <t xml:space="preserve">Número de docentes formados en formulación e implementación de proyectos pedagógicos transversales </t>
  </si>
  <si>
    <t>Beneficiar a 650 docentes y directivos docentes con la realización de 4 foros educativos</t>
  </si>
  <si>
    <t>Número de docentes y directivos docentes beneficiados con la realización de 4 foros educativos</t>
  </si>
  <si>
    <t>Formar 500 agentes educativos, docentes y/o directivos docentes en lineamientos de la política pública de primera infancia y/o educación inicial</t>
  </si>
  <si>
    <t>Número de agentes educativos, docentes y/o directivos docentes en lineamientos de la política pública de primera infancia y/o educación inicial formados</t>
  </si>
  <si>
    <t>Formar 120 docentes  en Programa de Fortalecimiento de Competencias de Lenguas Extranjeras (PFCLE) - Bilingüismo</t>
  </si>
  <si>
    <t xml:space="preserve">Número de docentes con Programas de Fortalecimiento de Competencias de Lenguas Extranjeras (PFCLE) - Bilingüismo formados </t>
  </si>
  <si>
    <t xml:space="preserve">Beneficiar 140 docentes con el programa excelencia docente en becas de maestría </t>
  </si>
  <si>
    <t xml:space="preserve">Número de docentes con el programa excelencia docente en becas de maestría beneficiados </t>
  </si>
  <si>
    <t>Sistematizar 40 experiencias significativas</t>
  </si>
  <si>
    <t>Número de experiencias significativas sistematizadas</t>
  </si>
  <si>
    <t>Acompañar 34 nuevos establecimientos educativos con el programa Fortalecimiento de la Educación Básica y Media (FOCEB)</t>
  </si>
  <si>
    <t xml:space="preserve">Número de nuevos establecimientos educativos acompañados con el programa Fortalecimiento de la Educación Básica y Media (FOCEB) </t>
  </si>
  <si>
    <t>Integrar 20 nuevos establecimientos educativos en la red de dinamizadores de Proyectos Ambientales Escolares (REDEPRAE).</t>
  </si>
  <si>
    <t xml:space="preserve">Número de nuevos establecimientos educativos integrados en la red de dinamizadores de Proyectos Ambientales Escolares (REDEPRAE) </t>
  </si>
  <si>
    <t>Resignificar 120 Proyectos Educativos Institucionales - PEI en población mayoritaria</t>
  </si>
  <si>
    <t xml:space="preserve">Número de Proyectos Educativos Institucionales - PEI en población mayoritaria resignificados </t>
  </si>
  <si>
    <t>Acompañar 160 establecimientos educativos en el  proceso de Ruta de Mejoramiento: Autoevaluación  Institucional y Plan de Mejoramiento Institucional- PMI  articulados al PAM</t>
  </si>
  <si>
    <t>Número de establecimientos educativos en el  proceso de Ruta de Mejoramiento: Autoevaluación  Institucional y Plan de Mejoramiento Institucional- PMI  articulados al PAM acompañados</t>
  </si>
  <si>
    <t>Beneficiar 2.600 estudiantes en emprendimiento o acceso a educación terciaria</t>
  </si>
  <si>
    <t xml:space="preserve">Número de estudiantes en emprendimiento o acceso a educación terciaria beneficiados </t>
  </si>
  <si>
    <t>4.200 estudiantes beneficiados</t>
  </si>
  <si>
    <t>Transitando a la educación terciaria.</t>
  </si>
  <si>
    <t>Mejorar las competencias académicas y de emprendimiento en los estudiantes para acceder al sistema productivo o educación terciaria.</t>
  </si>
  <si>
    <t>Beneficiar 1.800 estudiantes con el acceso de los programas de educación terciaria y en los procesos de articulación de la media con la superior</t>
  </si>
  <si>
    <t xml:space="preserve">Número de estudiantes con el acceso de los programas de educación terciaria y en los procesos de articulación de la media con la superior beneficiados </t>
  </si>
  <si>
    <t>Formar a 800 estudiantes de establecimientos educativos técnicos a través de la estrategia escuelas emprendedoras.</t>
  </si>
  <si>
    <t>Número de estudiantes de establecimientos educativos técnicos formados a través de la estrategia escuelas emprendedoras.</t>
  </si>
  <si>
    <t xml:space="preserve">Beneficiar 45.000 estudiantes con programas escolares incluyentes, diversos y en paz </t>
  </si>
  <si>
    <t xml:space="preserve">Número de estudiantes con programas escolares incluyentes, diversos y en paz beneficiados intervenida </t>
  </si>
  <si>
    <t xml:space="preserve">31.000 estudiantes </t>
  </si>
  <si>
    <t>Cauca diverso y en paz.</t>
  </si>
  <si>
    <t>Mejorar la calidad de la educación a través de la implementación de políticas que respetan y valoran la Diversidad y generan ambientes escolares incluyentes.</t>
  </si>
  <si>
    <t>Atender el 50% niños y niñas con necesidades educativas especiales en situación crítica</t>
  </si>
  <si>
    <t xml:space="preserve">Porcentaje de niños y niñas con necesidades educativas especiales en situación crítica atendidos </t>
  </si>
  <si>
    <t xml:space="preserve">Incrementar en 248 estudiantes matriculados en condición de discapacidad y/o talentos excepcionales beneficiados en el programa de inclusión </t>
  </si>
  <si>
    <t xml:space="preserve">Número de estudiantes matriculados en condición de discapacidad y/o talentos excepcionales beneficiados en el programa de inclusión </t>
  </si>
  <si>
    <t xml:space="preserve">Implementar 1 Plan Departamental de Educación Ambiental con enfoque diferencial </t>
  </si>
  <si>
    <t>Plan Departamental de Educación Ambiental con enfoque diferencial étnico implementado</t>
  </si>
  <si>
    <t xml:space="preserve">Implementar  1 Política de Educación Rural (PER), beneficiando la población rural y campesina  </t>
  </si>
  <si>
    <t>Política de Educación Rural (PER), beneficiando la población rural y campesina implementada</t>
  </si>
  <si>
    <t>Beneficiar 1.200 estudiantes a través de la implementación del Plan de Educación Rural (PER), incluyendo modelos flexibles y población campesina</t>
  </si>
  <si>
    <t xml:space="preserve">Número de estudiantes beneficiados a través de la implementación del Plan de Educación Rural (PER), incluyendo modelos flexibles y población campesina </t>
  </si>
  <si>
    <t>Acompañar a  200 establecimientos educativos a través de la construcción de Proyectos Etnoeducativos (Afro - PECA e Indígenas - SEIP).</t>
  </si>
  <si>
    <t xml:space="preserve">Número de establecimientos educativos acompañados a través de la construcción de Proyectos Etnoeducativos (Afro - PECA e Indígenas - SEIP) </t>
  </si>
  <si>
    <t>Beneficiar a 5.634 estudiantes de los establecimientos educativos con el programa Vive la Educación</t>
  </si>
  <si>
    <t xml:space="preserve">Número de estudiantes de los establecimientos educativos con el programa Vive la Educación beneficiados  </t>
  </si>
  <si>
    <t>Implementar 1  política pública etnoeducativa para comunidades afrodescendientes</t>
  </si>
  <si>
    <t>Número de Política Públicas Etnoeducativas para comunidades afrodescendientes implementadas</t>
  </si>
  <si>
    <t>Beneficiar a 21.000 estudiantes a través de la formación de docentes y directivos docentes en Prácticas Pedagógicas (derechos humanos, víctimas del conflicto armado, género, escuelas protectoras, escuela escenario de paz)</t>
  </si>
  <si>
    <t xml:space="preserve">Número de estudiantes beneficiados a través de la formación de docentes y directivos docentes en Prácticas Pedagógicas (derechos humanos, víctimas del conflicto armado, género, escuelas protectoras, escuela escenario de paz) </t>
  </si>
  <si>
    <t>Generación de condiciones para la riqueza colectiva</t>
  </si>
  <si>
    <t>Innovación</t>
  </si>
  <si>
    <t>Fortalecer a 1.200 sedes educativas oficiales en el buen uso y apropiación de TIC´s.</t>
  </si>
  <si>
    <t xml:space="preserve">Número de sedes educativas oficiales fortalecidas con buen uso y apropiación de TIC´s     </t>
  </si>
  <si>
    <t>Navegando por el Cauca.</t>
  </si>
  <si>
    <t>Mejorar los ambientes de aprendizaje a través del uso y apropiación de las tecnologías de la información, comunicaciones e innovación.</t>
  </si>
  <si>
    <t>Beneficiar a 300 estudiantes con el Programa Ondas</t>
  </si>
  <si>
    <t xml:space="preserve">Número de estudiantes con el Programa Ondas beneficiados </t>
  </si>
  <si>
    <t>Aumentar en 219 el número de sedes oficiales con servicio de conectividad a internet y programas interactivos</t>
  </si>
  <si>
    <t>Número de sedes oficiales con servicio de conectividad a internet y programas interactivos aumentadas</t>
  </si>
  <si>
    <t>Mejorar la relación de 2 estudiantes por computador en el sector educativo oficial.</t>
  </si>
  <si>
    <t xml:space="preserve">Número de estudiantes por computador en el sector educativo oficial </t>
  </si>
  <si>
    <t>Capacitar al 30% de directivos docentes en la implantación, el uso y apropiación de los software desarrollados por la Secretaría de Educación y Cultura</t>
  </si>
  <si>
    <t>Porcentaje de directivos docentes capacitados en la implantación, el uso y apropiación de los software desarrollados por la Secretaría de Educación y Cultura</t>
  </si>
  <si>
    <t>Gestión e innovación educativa con TICs.</t>
  </si>
  <si>
    <t>Brindar infraestructura tecnológica, conectividad y formación en el uso y apropiación de los sistemas de información propios, que permitan mejorar los ambientes y canales de comunicación con los establecimientos educativos.</t>
  </si>
  <si>
    <t>Poner en funcionamiento 6 software desarrollados en la Secretaría de Educación y Cultura del Cauca</t>
  </si>
  <si>
    <t xml:space="preserve">Número de software desarrollados en la Secretaría de Educación y Cultura del Cauca puestos en funcionamiento </t>
  </si>
  <si>
    <t>Desarrollar 3 nuevos software para la Secretaría de Educación y Cultura del Cauca</t>
  </si>
  <si>
    <t>Número de Software para la Secretaría de Educación y Cultura del Cauca desarrollados</t>
  </si>
  <si>
    <t>Implementar un 50% del sistema de atención a Peticiones, Quejas, Respuestas y Denuncias (PQRD) para la Secretaría de Educación y Cultura del Cauca.</t>
  </si>
  <si>
    <t xml:space="preserve">Porcentaje del sistema de atención a Peticiones, Quejas, Respuestas y Denuncias (PQRD) para la Secretaría de Educación y Cultura del Cauca implementado </t>
  </si>
  <si>
    <t>Fortalecimiento de lo público, el buen gobierno y la participación</t>
  </si>
  <si>
    <t>Cultura Ciudadana de Gestión y de Servicio</t>
  </si>
  <si>
    <t>Mantener 4 macroprocesos certificados con ICONTEC del Sistema de Gestión de Calidad para la Secretaría de Educación y Cultura del Cauca</t>
  </si>
  <si>
    <t xml:space="preserve">Número de macroprocesos certificados con ICONTEC del Sistema de Gestión de Calidad para la Secretaría de Educación y Cultura del Cauca mantenidos  </t>
  </si>
  <si>
    <t>Fortalecimiento de la gestión institucional en el nivel central y los establecimientos educativos.</t>
  </si>
  <si>
    <t>Desarrollar estrategias y aplicar herramientas de gestión para mejorar la calidad en la prestación del servicio educativo, y lograr altos desempeños en los procesos de fortalecimiento institucional y administrativo; que incida con calidad, eficiencia, eficacia y efectividad en el desarrollo integral de las actividades del nivel central de la Secretaría de Educación y Cultura y en los establecimientos educativos oficiales de los municipios no certificados del Departamento del Cauca.</t>
  </si>
  <si>
    <t xml:space="preserve">Ejecutar el 80% el Plan de Bienestar Laboral docente y administrativo dela Secretaría de Educación y Cultura </t>
  </si>
  <si>
    <t xml:space="preserve">Porcentaje del Plan de Bienestar Laboral docente y administrativo dela Secretaría de Educación y Cultura ejecutado </t>
  </si>
  <si>
    <t>Capacitar a 3500 docentes y directivos docentes regidos y administrativos del sector educativo en inducción, reinducción, encuentro con rectores y prepensionados</t>
  </si>
  <si>
    <t xml:space="preserve">Número de docentes y directivos docentes regidos y administrativos del sector educativo en inducción, reinducción, encuentro con rectores y prepensionados capacitados </t>
  </si>
  <si>
    <t xml:space="preserve">Aumentar 456 docentes y directivos docentes que participan en los Juegos Deportivos Nacionales, en el encuentro Nacional Folclórico - Cultural del Magisterio y el reconocimiento de estímulos por la excelencia en la labor docente y de los administrativos </t>
  </si>
  <si>
    <t>Número de docentes y directivos docentes que participan en los Juegos Deportivos Nacionales, en el encuentro Nacional Folclórico - Cultural del Magisterio y el reconocimiento de estímulos por la excelencia en la labor docente y de los administrativos aumentada</t>
  </si>
  <si>
    <t>Capacitar en un 70% a docentes, directivos docentes y administrativos en el Sistema de Gestión de Seguridad y Salud en el Trabajo de acuerdo a los Decretos: 1655 de 2015 y 1072 de 2014</t>
  </si>
  <si>
    <t xml:space="preserve">Porcentaje del docentes, directivos docentes y administrativos en el Sistema de Gestión de Seguridad y Salud en el Trabajo de acuerdo a los Decretos: 1655 de 2015 y 1072 de 2014 capacitados </t>
  </si>
  <si>
    <t>Incrementar en 30% los establecimientos educativos oficiales dotados de mobiliario escolar, equipos y/o herramientas</t>
  </si>
  <si>
    <t>Porcentaje de los establecimientos educativos oficiales dotados de mobiliario escolar, equipos y/o herramientas incrementado</t>
  </si>
  <si>
    <t>Dotar a 306 establecimientos educativos oficiales con mobiliario escolar, equipos y/o herramientas.</t>
  </si>
  <si>
    <t>Número de Establecimientos educativos dotados con mobiliario escolar, equipos y/o herramientas</t>
  </si>
  <si>
    <t>Mantener 530 puestos de vigilancia y aseo contratados para los establecimientos educativos oficiales de los municipios no certificados del Departamento del Cauca (dependiendo de los recursos financieros asignados por el Ministerio de Educación Nacional)</t>
  </si>
  <si>
    <t>Número de puestos de vigilancia y aseo contratados para los establecimientos educativos oficiales de los municipios no certificados del Departamento del Cauca (dependiendo de los recursos financieros asignados por el Ministerio de Educación Nacional)</t>
  </si>
  <si>
    <t xml:space="preserve">Mantener 530 puestos de vigilancia y aseo contratados para los establecimientos educativos oficiales de los municipios no certificados </t>
  </si>
  <si>
    <t xml:space="preserve">Número de puestos de vigilancia y aseo contratados para los establecimientos educativos oficiales de los municipios no certificados </t>
  </si>
  <si>
    <t xml:space="preserve">Mejorar en 2 Unidades Administrativas Desconcentradas los niveles de gestión administrativa del servicio educativo con eficiencia y eficacia en municipios no certificados </t>
  </si>
  <si>
    <t xml:space="preserve">Número de Unidades Administrativas Desconcentradas los niveles de gestión administrativa del servicio educativo con eficiencia y eficacia en municipios no certificados </t>
  </si>
  <si>
    <t xml:space="preserve">Crear 2 Unidades Administrativas Desconcentradas para igual número de subregiones en los municipios no certificados </t>
  </si>
  <si>
    <t>Número de Unidades Administrativas Desconcentradas para igual número de subregiones en los municipios no certificados creadas</t>
  </si>
  <si>
    <t>Desarrollo humano integral</t>
  </si>
  <si>
    <t xml:space="preserve">Consolidar en un 100% el Sistema Departamental de Cultura </t>
  </si>
  <si>
    <t xml:space="preserve">Porcentaje del Sistema Departamental de Cultura implementado </t>
  </si>
  <si>
    <t>Convocando y planeando para la cultura</t>
  </si>
  <si>
    <t>Fortalecer la institucionalidad cultural caucana con la consolidación del Sistema Departamental de Cultura.</t>
  </si>
  <si>
    <t>Implementar el 40% del Plan departamental de Cultura con enfoque participativo y social de paz</t>
  </si>
  <si>
    <t xml:space="preserve">Porcentaje del Plan departamental de Cultura con enfoque participativo y social de paz implementado </t>
  </si>
  <si>
    <t>Implementar el 20% de los planes departamentales de consejos de área (Patrimonio, Cinematografía, Medios de Comunicación Ciudadanos y Comunitarios, Áreas Artísticas)</t>
  </si>
  <si>
    <t xml:space="preserve">Porcentaje de los planes departamentales de consejos de área (Patrimonio, Cinematografía, Medios de Comunicación Ciudadanos y Comunitarios, Áreas Artísticas) implementados </t>
  </si>
  <si>
    <t>Implementar el 50% del sistema de información cultural caucano</t>
  </si>
  <si>
    <t xml:space="preserve">Porcentaje del sistema de información cultural caucano implementado </t>
  </si>
  <si>
    <t xml:space="preserve">Gestionar 46 iniciativas de fortalecimiento para el arte, la cultura y la infraestructura cultural </t>
  </si>
  <si>
    <t xml:space="preserve">Número de iniciativas de fortalecimiento para el arte, la cultura y la infraestructura cultural  con enfoque diferencial hacia las poblaciones, gestionadas. </t>
  </si>
  <si>
    <t>Arte, cultura y espacios para la paz</t>
  </si>
  <si>
    <t>Visibilizar la importancia de las expresiones culturales, valores de la interculturalidad, el respeto por la diferencia, la convivencia pacífica    de los diversos grupos poblacionales y el fortalecimiento de espacios para la paz.</t>
  </si>
  <si>
    <t>Impulsar 35 iniciativas de proyectos en investigación, creación, formación, producción y circulación artística y cultural, con el programa departamental de estímulos</t>
  </si>
  <si>
    <t xml:space="preserve">Número de iniciativas de proyectos en investigación, creación, formación, producción y circulación artística y cultural, con el programa departamental de estímulos impulsadas </t>
  </si>
  <si>
    <t>Realizar 3 encuentros culturales étnicos (Comunidades afro, indígena y campesina)</t>
  </si>
  <si>
    <t xml:space="preserve">Número de encuentros culturales étnicos (Comunidades afro, indígena y campesina) realizados </t>
  </si>
  <si>
    <t>Apoyar 4 iniciativas de carácter diferencial para población en condición de discapacidad o grupos de interés.</t>
  </si>
  <si>
    <t xml:space="preserve">Número de iniciativas de carácter diferencial para población en condición de discapacidad o grupos de interés apoyadas </t>
  </si>
  <si>
    <t>Apoyar 4 iniciativas  de equipamiento de los servicios culturales de impacto subregional (construcción, mejoramiento de la infraestructura, dotación cultural)</t>
  </si>
  <si>
    <t xml:space="preserve">Número de iniciativas  de equipamiento de los servicios culturales de impacto subregional (construcción, mejoramiento de la infraestructura, dotación cultural) apoyadas </t>
  </si>
  <si>
    <t xml:space="preserve">Consolidar en un 100% el Plan Departamental de lectura, escritura y bibliotecas </t>
  </si>
  <si>
    <t xml:space="preserve">Porcentaje del el Plan Departamental de lectura, escritura y bibliotecas consolidado </t>
  </si>
  <si>
    <t>Cauca lee y escribe</t>
  </si>
  <si>
    <t>Fortalecer las bibliotecas públicas en el marco de las políticas nacionales de lectura y bibliotecas</t>
  </si>
  <si>
    <t>Implementar el 40% del Plan departamental de Lectura, escritura y Bibliotecas</t>
  </si>
  <si>
    <t xml:space="preserve">Porcentaje del Plan departamental de Lectura, escritura y Bibliotecas implementado </t>
  </si>
  <si>
    <t xml:space="preserve">Implementar el 50% de municipios mecanismos de reconocimiento y valoración del patrimonio cultural </t>
  </si>
  <si>
    <t>Porcentaje de municipios con mecanismos de reconocimiento y valoración del patrimonio cultural</t>
  </si>
  <si>
    <t>Somos patrimonio, somos territorio</t>
  </si>
  <si>
    <t>Reafirmar la identidad y reconocer la diversidad cultural caucana, con la apropiación del patrimonio cultural material e inmaterial presente en las subregiones  del departamento del Cauca.</t>
  </si>
  <si>
    <t>Inventariar en 22 municipios las manifestaciones y bienes del patrimonio cultural caucano</t>
  </si>
  <si>
    <t>Número de municipios con manifestaciones y bienes del patrimonio cultural caucano inventariados</t>
  </si>
  <si>
    <t>Realizar 16 acciones de salvaguardia o protección del patrimonio cultural caucano</t>
  </si>
  <si>
    <t xml:space="preserve">Número de acciones de salvaguardia o protección del patrimonio cultural caucano realizadas </t>
  </si>
  <si>
    <t>Asistir técnicamente 7 subregiones del Cauca  en emprendimientos o unidades de negocio cultural</t>
  </si>
  <si>
    <t xml:space="preserve">Número de subregiones del Cauca  en emprendimientos o unidades de negocio cultural asistidas técnicamente </t>
  </si>
  <si>
    <t>Emprendiendo, creando e intercambiando cultura</t>
  </si>
  <si>
    <t>Consolidar la economía cultural caucana con la generación de valor simbólico y el mejoramiento de los ingresos de los emprendedores cultuales del Cauca.</t>
  </si>
  <si>
    <t>Asistir técnicamente a 22 municipios en emprendimiento cultural</t>
  </si>
  <si>
    <t xml:space="preserve">Número de municipios en emprendimiento cultural asistidos técnicamente </t>
  </si>
  <si>
    <t>Realizar 4 convocatorias  para entrega de estímulos al emprendimiento cultural</t>
  </si>
  <si>
    <t xml:space="preserve">Número de convocatorias  para entrega de estímulos al emprendimiento cultural realizadas </t>
  </si>
  <si>
    <t>Realizar 4 eventos de promoción  de la economía cultural regional</t>
  </si>
  <si>
    <t xml:space="preserve">Número de eventos de promoción  de la economía cultural regional realizados </t>
  </si>
  <si>
    <t>ND</t>
  </si>
  <si>
    <t>Apoyar 4 iniciativas comunitarias de turismo cultural</t>
  </si>
  <si>
    <t>Número de iniciativas de turismo cultural apoyadas</t>
  </si>
  <si>
    <t>Realizar 12 acciones de visibilización de la identidad caucana</t>
  </si>
  <si>
    <t>Número de acciones de visibilización de la identidad caucana realizadas</t>
  </si>
  <si>
    <t>Cauca vive en ti</t>
  </si>
  <si>
    <t>Promover el reconocimiento de los principales rasgos distintivos socioculturales del territorio caucano para la apropiación de su identidad.</t>
  </si>
  <si>
    <t>Realizar 4 encuentros de socialización de buenas prácticas, políticas, ambientales, sociales y de economías alternativas propias de la cultura caucana</t>
  </si>
  <si>
    <t xml:space="preserve">Número de encuentros de socialización de buenas prácticas, políticas, ambientales y sociales y de economías alternativas propias de la cultura caucana realizados </t>
  </si>
  <si>
    <t>Realizar 2 festivales escolares de identidad caucana</t>
  </si>
  <si>
    <t>Número de festivales escolares de la identidad caucana realizados</t>
  </si>
  <si>
    <t>Realizar 4 foros de intercambio de experiencias multiculturales presentes en el Departamento del Cauca</t>
  </si>
  <si>
    <t>Número de foros de experiencias multiculturales presentes en el Departamento del Cauca.</t>
  </si>
  <si>
    <t>Realizar 2 campañas culturales de identidad territorial sobre el cuidado del agua y del medio ambiente</t>
  </si>
  <si>
    <t>Número de campañas culturales de identidad territorial sobre el cuidado del agua y del medio ambiente realizadas</t>
  </si>
  <si>
    <t xml:space="preserve">Elaborado por: </t>
  </si>
  <si>
    <t>Nombre del funcionario</t>
  </si>
  <si>
    <t>cargo</t>
  </si>
  <si>
    <t>Firma</t>
  </si>
  <si>
    <t>Fecha:</t>
  </si>
  <si>
    <t>Garantizar el derecho fundamental a la educación en todos los niveles del sector, con criterios de equidad, inclusión, pertinencia y oportunidad a través de la aplicación de estrategias administrativas y metodológicas dirigidas a niños, niñas, adolescentes, jóvenes y adultos.</t>
  </si>
  <si>
    <t>DEPENDENCIA RESPONSABLE: Secretaría de Educación y Cultura</t>
  </si>
  <si>
    <t>Elias Larrahondo Carabalí</t>
  </si>
  <si>
    <t>secretario de Educación y Cultura</t>
  </si>
  <si>
    <t xml:space="preserve">DEPENDENCIAS DE APOYO:   Oficina de Planeación Educativa, Calidad, Cobertura, Administrativa y Financiera, Infraestructura Educativa, Servicios Informaticos, Cultura, Servicio de Atención al Ciudadano, Unidades Desconcentradas, Salud Ocupacional, Programa de Alimentación Escolar.                                   </t>
  </si>
  <si>
    <t>PLAN DE ACCIÓN 2017</t>
  </si>
  <si>
    <t>Mantenimiento</t>
  </si>
  <si>
    <t>Incremento</t>
  </si>
  <si>
    <t xml:space="preserve">Incremento </t>
  </si>
  <si>
    <t>META DE PRODUCTO VIGENCIA 2017</t>
  </si>
  <si>
    <t>RECURSOS PROGRAMADOS POR META VIGENCIA 2017 (MILES DE PESOS)</t>
  </si>
  <si>
    <t>0.5</t>
  </si>
  <si>
    <t>0.3</t>
  </si>
  <si>
    <t>17.31%</t>
  </si>
  <si>
    <t>Fernando Javier Delgado Bolaños
Profesional Especializado
Nombramiento en Propiedad</t>
  </si>
  <si>
    <t xml:space="preserve">Fernando Javier Delgado Bolaños
Profesional Especializado
Nombramiento en Propiedad.  Dayra Milena Achicanoy Achicanoy, profesional universitario, nombramiento en propiedad. </t>
  </si>
  <si>
    <t>Ing. Milton Muñoz, Juan Carlos Folleco y Jairo Emiro Dorado funcionarios de planta</t>
  </si>
  <si>
    <t>FERNANDO MURGUEITIO - Técnico- Provisional. Martha Liliana Quinchoa.Contratista.Astrid Carolina Barrera. Contratista. Alejandro Martínez. T.A.Provisional.Elizabeth Córdoba. P.U.Provisional.Maryury Luna. Contratista. Maritza Ceballos. T.A.Provisional.</t>
  </si>
  <si>
    <t>FELIPE GONZALEZ OROZCO - PROFESIONAL UNIVERSITARIO - PROVISIONAL CALIDAD EDUCATIVA</t>
  </si>
  <si>
    <t>FELIPE GONZALEZ OROZCO - LILIANA PATRICIA JACOME TORRADO - PROFESIONAL UNIVERSITARIO - PROVISIONAL CALIDAD EDUCATIVA</t>
  </si>
  <si>
    <t>Rosalbina Valdes Castillo- Lider Calidad Educativa - Provisional
Nidia M. Muñoz. Profesional Universitario - Propiedad</t>
  </si>
  <si>
    <t>ELIZABETH CORDOBA - Profesional Universitario - Propiedad</t>
  </si>
  <si>
    <t>José Alejandro Martinez-  Adiminsitrativo- Provisional.
Contatistas Calidad Educativa.
Liliana Herrera - Contratista
Astrid Carolina Barrera - Contratista
Elizabeth Códoba - Profesiona Universitario
Maryury Luna - Contratista</t>
  </si>
  <si>
    <t>Maritza Ceballos Marín (Técnico Administrativo - Provisionalidad)</t>
  </si>
  <si>
    <t>FABIOLA GRIJALBA MOLANO Profesional Especializado - Provisional</t>
  </si>
  <si>
    <t>José A. Martínez.Administrativo.Provisional</t>
  </si>
  <si>
    <t>ELIZABETH CORDOBA- Profesional Universitario - Propiedad</t>
  </si>
  <si>
    <t>Rosalbina Valdes Castillo- Lider Calidad Educativa - Provisional-Rooselveth Mosquera -Contratista-Martha Liliana Quinchoa Pinilla - Contratista.Astrid Carolina Barrera. Contratista.Maryuri Luna.Contratista.Liliana Herrera. Contratista. Liliana Jácome. P.U.Provisional.Enelia Villegas.Contratista.</t>
  </si>
  <si>
    <t>José Alejandro Martinez-  Adiminsitrativo- Provisional</t>
  </si>
  <si>
    <t>Rooselveth Mosquera -Contratista-Rosalbina Valdés .Profesional Universitario.Líder de Calidad. Provisional.</t>
  </si>
  <si>
    <t>Martha Liliana Quinchoa Pinilla - Contratista.
Rosalbina Valdés .Profesional Universitario.Líder de Calidad. Provisional.
Astrid Carolina Barrera. Contratista.</t>
  </si>
  <si>
    <t>FERNANDO MURGUEITIO</t>
  </si>
  <si>
    <t xml:space="preserve">FERNANDO MURGUEITIO - Técnico- Provisional. </t>
  </si>
  <si>
    <t xml:space="preserve">FABIOLA  GRIJALBA MOLANO- Profesional Especializado - Provisional ROSALBINA VALDES CASTILLO- Lider Calidad Educativa - Provisional </t>
  </si>
  <si>
    <t>José A. Martínez.Administrativo.Calidad Educativa</t>
  </si>
  <si>
    <t xml:space="preserve">LILIANA HERRERA - Contratista ELIZABETH CORDOBA -Profesional Universitario- Propiedad ROSALBINA VALDES CASTILLO- Lider Calidad Educativa - Provisional </t>
  </si>
  <si>
    <t>Enelia Villegas Mina - Contratista Calidad Educativa-Rosalbina Valdés .Profesional Universitario.Líder de Calidad. Provisional.</t>
  </si>
  <si>
    <t>Rosalbina Valdés Castillo 
Liliana Patricia Jácome Torrado</t>
  </si>
  <si>
    <t>ELIZABETH CORDOBA -Profesional Universitario- Propiedad ROSALBINA VALDES CASTILLO- Lider Calidad Educativa - Provisional 
CONTRATISTAS</t>
  </si>
  <si>
    <t>FABIOLA GRIJALBA MOLANO - - Profesional Especializado - Provisional-Alexander Ortiz-T.A.Provisional.</t>
  </si>
  <si>
    <t>MANUEL ALEXANDER ORTIZ - Técnico administrativo.</t>
  </si>
  <si>
    <t>Juan Paulo Guzmán Florez - Lider servicios informaticos del sector educativo - provisional.</t>
  </si>
  <si>
    <t>Alejandra M. Narváez Camayo - Profesional Universitario - Provisional</t>
  </si>
  <si>
    <t>Humberto Fernández Jembuel - Profesional Universitario - Provisional</t>
  </si>
  <si>
    <t>María del Socorro Olave Pérez - Profesional Universitario de Bienestar y Salud Ocupacional.</t>
  </si>
  <si>
    <t>Margarita Maria Rebolledo Manzano - Profesional Universitario Gestión Administrativa, Milton Fabian Perez Ayala - Profesional Universitario Adtva y Fcra</t>
  </si>
  <si>
    <t>Maria Paula Rodriguez Bermudez, Directora de núcleo en propiedad- Asignada como lider de la oficina de unidades desconcentradas</t>
  </si>
  <si>
    <t>Ana Lorena Gómez Guerrero Coordinadora de Cultura Departamental</t>
  </si>
  <si>
    <t>N/A</t>
  </si>
  <si>
    <t>41 Municipios No Certificados</t>
  </si>
  <si>
    <t>7 Subregiones del Departamento del Cauca</t>
  </si>
  <si>
    <t>217.607 
(Abril 2016)</t>
  </si>
  <si>
    <t>Implementación del programa de alimentación escolar en Departamento del Cauca</t>
  </si>
  <si>
    <t xml:space="preserve">138.861 niños, niñas, adolescentes y jovenes atendidos por el programa PAE.  Contratos del programa PAE debidamente supervisados con su respectivo seguimiento, monitoreo y control. </t>
  </si>
  <si>
    <t>Formulación de los Planes Escolares de Gestión del Riesgo en los Establecimientos Educativos de Carácter Oficial de los 41 Municipios No certificados del Departamento del Cauca</t>
  </si>
  <si>
    <t>2015-019000-0039</t>
  </si>
  <si>
    <t>10 Planes Escoalres de Gestión del Riesgo Actualizados</t>
  </si>
  <si>
    <t>10 Planes Escoalres de Gestión del Riesgo Formulados</t>
  </si>
  <si>
    <t>Población Beneficiaria:
Afrocolombianos: 47920
Indígena: 60392
Mayoritaria: 109274
Rom: 21</t>
  </si>
  <si>
    <t xml:space="preserve">
Población Beneficiaria: 
Afrocolombianos: 47920 
Indígena: 60392 
Mayoritaria: 109274 
Rom: 21</t>
  </si>
  <si>
    <t>Número de estudiantes en cobertura bruta en los niveles de preescolar, primaria, secundaria y media en los establecimientos educativos de carácter oficial</t>
  </si>
  <si>
    <t>Número de estudiantes en la Cobertura Neta para población en edades escolares realizando especial énfasis en el nivel de Educación Media incrementado</t>
  </si>
  <si>
    <t>Número de estudiantes mantenidos como límite para la Reprobación en los niveles de primaria, secundaria y media</t>
  </si>
  <si>
    <t>Número de personas iletradas de 15 años en adelante vinculadas al Sistema Educativo oficial en el Departamento del Cauca para reducción del analfabetismo</t>
  </si>
  <si>
    <t>Número de niños, niñas y jóvenes atendidos a través del Programa de Alimentación Escolar</t>
  </si>
  <si>
    <t>Número de docentes y directivos docentes beneficiados con la realización de 1 foro educativo</t>
  </si>
  <si>
    <t>Número de docentes con Programas de fortalecimeinto de Competencias de Lenguas Extranjeras (PFCLE) - Bilinguismo formados</t>
  </si>
  <si>
    <t>Número de docentes beneficados del programa excelencia docentes en becas de maestria</t>
  </si>
  <si>
    <t>Número de nuevos establecimientos educativos integrados en la red de dinamizadores de Proyectos Ambientales Escolares (REDEPRAE)</t>
  </si>
  <si>
    <t>Implementar 1 Plan Departamental de Educación Ambiental con enfoque diferencial</t>
  </si>
  <si>
    <t>Número de software implantados en la Secretaría de Educación</t>
  </si>
  <si>
    <t xml:space="preserve"> Software desarrollados en la Secretaría de Educación y Cultura del Cauca </t>
  </si>
  <si>
    <t>Número de docentes, directivos docentes  y administrativos del sector educativo, capacitados en inducción, reinducción, encuentro con rectores y prepensionados.</t>
  </si>
  <si>
    <t>Número de docentes y directivos docentes que participaron en los Juegos Deportivos Nacionales, en el encuentro Nacional Folclórico y  Cultural docente  y en el reconocimiento de incentivos por la excelencia en la labor de docentes y  administrativos.</t>
  </si>
  <si>
    <t>Porcentaje de docentes, directivos docentes y administrativos capacitados en el Sistema de Gestión de Seguridad y Salud en el Trabajo de acuerdo a los Decretos: 1655 de 2015 y 1072 de 2014.</t>
  </si>
  <si>
    <t>Número de unidades creadas</t>
  </si>
  <si>
    <t>41 Municipios</t>
  </si>
  <si>
    <t>Todas</t>
  </si>
  <si>
    <t xml:space="preserve">12000 Docentes, directivos docentes y administrativos </t>
  </si>
  <si>
    <t>x</t>
  </si>
  <si>
    <t>41 MUNICIPIOS NO CERTIFICADOS</t>
  </si>
  <si>
    <t>TODAS</t>
  </si>
  <si>
    <t>Mayoritaria, Afrodescendiente, Indígena</t>
  </si>
  <si>
    <t>Inducción, Encuentro con rectores y Prepensionados 2016.</t>
  </si>
  <si>
    <t>41 Municipios no certificados del Departamento del Cauca</t>
  </si>
  <si>
    <t>Docentes, Directivos Docentes y Administrativos del sector educativo</t>
  </si>
  <si>
    <t>Docentes, Directivos Docentes y Administrativos capacitados.</t>
  </si>
  <si>
    <t xml:space="preserve">Participación De Los Docentes y Directivos Docentes Del Departamento Del Cauca en La Fase Final Nacional de los Juegos Deportivos Nacionales del Magisterio y en el Encuentro Nacional Folclórico Y Cultural </t>
  </si>
  <si>
    <t>Docentes y/o Directivos Docentes que participaron en deportes individuales, deportes de conjunto y en el encuentro Nacional Folclórico y Cultural de la Fase Final Na</t>
  </si>
  <si>
    <t>Almaguer, Argelia, Balboa, Bolívar, Cajibio, Caldono, El Tambo, Florencia, Morales, Timbio, Piendamo, Purace, Santa Rosa, Silvia, Sotará, Suárez, Jambalo, Totoró, Patía, Paéz, Puerto Tejada, Santander, Sucre, Guapi, Timbiquí, López de Micay, La Sierra, la Vega, Rosas, Villarica.</t>
  </si>
  <si>
    <t>Dotación de mobiliario escolar para los docentes y tableros a los establecimientos educativos oficiales de los 37 Municipios no Certificados del Departamento del Cauca que reportaron necesidades</t>
  </si>
  <si>
    <t>2015-019000-0170</t>
  </si>
  <si>
    <t>Dotar de mobiliario escolar para los docentes y tableros a los establecimientos educativos a municipios no certificados del departamento</t>
  </si>
  <si>
    <t>Comunidades educativas</t>
  </si>
  <si>
    <t xml:space="preserve">Mantenimiento </t>
  </si>
  <si>
    <t>Construir y dotar 10 aulas en establecimientos educativos oficiales</t>
  </si>
  <si>
    <t>NA</t>
  </si>
  <si>
    <t>por definr</t>
  </si>
  <si>
    <t>Por definir</t>
  </si>
  <si>
    <t>Construir y dotar 10 aulas</t>
  </si>
  <si>
    <t xml:space="preserve">Estudios y Diseños internados </t>
  </si>
  <si>
    <t>Guapi, Lopez de Micay y Timbiqui.</t>
  </si>
  <si>
    <t>Pacifica</t>
  </si>
  <si>
    <t>Estudios y Diseños</t>
  </si>
  <si>
    <t xml:space="preserve">Estudios y Diseños de ambientes de formación para programas técnicos, tecnológicos y de formación superior en establecimientos educativos oficiales </t>
  </si>
  <si>
    <t>Inza, 2 por definir</t>
  </si>
  <si>
    <t>Oriente y 2 por definir</t>
  </si>
  <si>
    <t>Construir 1 aula de informática en establecimientos educativos oficiales</t>
  </si>
  <si>
    <t>Construir 1 aula de informática</t>
  </si>
  <si>
    <t>Construir 4 baterías sanitarias con tratamiento de aguas servidas en establecimientos educativos oficiales</t>
  </si>
  <si>
    <t>Construir 4 baterías sanitarias</t>
  </si>
  <si>
    <t>Intervenir 4 restaurantes escolares en establecimientos educativos oficiales</t>
  </si>
  <si>
    <t xml:space="preserve">Intervenir 4 restaurantes escolares </t>
  </si>
  <si>
    <t>Construir 1 laboratorio en establecimiento educativo oficiale</t>
  </si>
  <si>
    <t>Construir 1 laboratorio</t>
  </si>
  <si>
    <t>Construir 1 polideportivo para establecimiento educativo oficiale</t>
  </si>
  <si>
    <t>Construir 1 polideportivo</t>
  </si>
  <si>
    <t>Legalizar 25 predios de sedes educativas oficiales.</t>
  </si>
  <si>
    <t>Legalizar 25 predios</t>
  </si>
  <si>
    <t xml:space="preserve">Realizar 1 estudio y diseño para construcción de infraestructura educativa. </t>
  </si>
  <si>
    <t>Realizar 1 estudio y diseño</t>
  </si>
  <si>
    <t xml:space="preserve">Construir 10 aulas escolares musicales en sedes educativas oficiales </t>
  </si>
  <si>
    <t>Construir 10 aulas escolares musicales</t>
  </si>
  <si>
    <t>Jornada Unica</t>
  </si>
  <si>
    <t>Puerto Tejada, Caldono, Bolivar, Santander de Quilichao, Paez, Corinto.</t>
  </si>
  <si>
    <t>Norte, Sur, Oriente</t>
  </si>
  <si>
    <t>xx</t>
  </si>
  <si>
    <t>Todos a aprender</t>
  </si>
  <si>
    <t>37 Municipios</t>
  </si>
  <si>
    <t>Centro, Costa Pacifica, Macizo, Norte, Oriente, Piedemonte, Sur</t>
  </si>
  <si>
    <t>41413 estudiantes</t>
  </si>
  <si>
    <t>Nivelación de competencias</t>
  </si>
  <si>
    <t>Argelia, Balboa, Bolivar, El Tambo, Florencia, Guapi, Lopez de Micay, Mercaderes, Patia, Sucre, Timbiqui.</t>
  </si>
  <si>
    <t>Sur, Costa Pacifica, Centro</t>
  </si>
  <si>
    <t>3956 Estudiantes</t>
  </si>
  <si>
    <t>Formación docente</t>
  </si>
  <si>
    <t>Miranda, Puerto Tejada, Padilla,  Corinto, Villa Rica, Guachene, Paez, Inza. ,Guapi ,López de Micay y Timbiquí</t>
  </si>
  <si>
    <t>Norte, Oriente, Occidente</t>
  </si>
  <si>
    <t>Actualización de sistema de evaluación interna de estudiantes (SIET)</t>
  </si>
  <si>
    <t xml:space="preserve">29.313 Estudiantes </t>
  </si>
  <si>
    <t>Plan territorial de formación docente</t>
  </si>
  <si>
    <t>9685 docentes</t>
  </si>
  <si>
    <t>Un plan territorial de formación docente</t>
  </si>
  <si>
    <t>Fortalecimiento de ejes transversales</t>
  </si>
  <si>
    <t>El Tambo ,Cajibío ,Piendamó,Santander de Q. , Patía, Puerto Tejada, Miranda, Bolivar</t>
  </si>
  <si>
    <t>Centro, Norte, Sur</t>
  </si>
  <si>
    <t>Asistencia para la excelencia educativa en el Depto del Cauca</t>
  </si>
  <si>
    <t>2016-019000-0044</t>
  </si>
  <si>
    <t>41 municipios del Dpto Cauca</t>
  </si>
  <si>
    <t>Directivos docentes y docentes del departamento</t>
  </si>
  <si>
    <t>180 docentes y directivos docentes beneficiados con la realización de 1 foro educativo.</t>
  </si>
  <si>
    <t xml:space="preserve">Formación a docentes y agentes educativos de educación inicial. </t>
  </si>
  <si>
    <t>Cajibio, Piedamo, El Tambo, Santander de Quilichao, Argelia, Patia, Puracé, Puerto Tejada, Buenos Aires y Suarez</t>
  </si>
  <si>
    <t>Sur, Centro y Norte</t>
  </si>
  <si>
    <t xml:space="preserve">Cauca Bilingue </t>
  </si>
  <si>
    <t>Santander de Q , Totoró , Buenos Aires ,Timbío ,Morales,San Sebastian , Corinto,Piendamó , Puerto Tejada ,Patía</t>
  </si>
  <si>
    <t>Norte , Centro , Macizo , Sur</t>
  </si>
  <si>
    <t>Programa de Becas excelencia docente</t>
  </si>
  <si>
    <t>Guapi, Santander de Quilichao, Cajibio, Paez</t>
  </si>
  <si>
    <t>Costa pacifica, norte y centro</t>
  </si>
  <si>
    <t>Fortalecimiento a Experiencias Significativas</t>
  </si>
  <si>
    <t>Depende de las nuevas experiencias significativas identificadas</t>
  </si>
  <si>
    <t>Docentes autores de experiencias significativas identificadas</t>
  </si>
  <si>
    <t>Fortalecimiento de la educación basica y media en 64 establecimientos educativos</t>
  </si>
  <si>
    <t xml:space="preserve">13 Municipios: Santander de Quilichao, Buenos Aires, Villa Rica, Caldono,  Puerto Tejada,  Caloto,  </t>
  </si>
  <si>
    <t>Norte</t>
  </si>
  <si>
    <t>Acompañamiento a 64 establecimientos educativos con el programa Fortalecimiento de la Educación Básica y Media (FOCEB)</t>
  </si>
  <si>
    <t>Red de proyectos ambientales escolares</t>
  </si>
  <si>
    <t>El Tambo, Santander de Q , Piendamó , Patía , Buenos Aires , Cajibío</t>
  </si>
  <si>
    <t xml:space="preserve">Centro , Norte , Sur </t>
  </si>
  <si>
    <t xml:space="preserve">Resignificación de los proyectos eductaivos institucionales de los establecimientos educativos oficiales y privados del Departamento del Cauca. </t>
  </si>
  <si>
    <t>Santander de Q., Balboa, Mercaderes , Bolívar, El Tambo, Argelia</t>
  </si>
  <si>
    <t>Sur , norte y centro.</t>
  </si>
  <si>
    <t xml:space="preserve">7000 estudiantes, docentes, padres de famila y directivos docentes por municipio. </t>
  </si>
  <si>
    <t>Apoyo a la gestión de los planes de mejoramiento.</t>
  </si>
  <si>
    <t>41 municipios</t>
  </si>
  <si>
    <t>Comunidad educativa de los  establecimientos educativos</t>
  </si>
  <si>
    <t>Balboa, Guapi, Timbiqui, Lopez de Micay, Patia y Argelia</t>
  </si>
  <si>
    <t>Sur, Costa Pacifica</t>
  </si>
  <si>
    <t>300 estudiantes</t>
  </si>
  <si>
    <t>Beneficiar 300 estudiantes con el acceso de los programas de educación terciaria y en los procesos de articulación de la media con la superior</t>
  </si>
  <si>
    <t>Fortalecimiento de la educación media técnica a través de la estrategia de emprendiemiento</t>
  </si>
  <si>
    <t>100 estudantes</t>
  </si>
  <si>
    <t>100 estudiantes de establecimientos educativos técnicos formados a través de la estrategia escuelas emprendedoras.</t>
  </si>
  <si>
    <t>Atención com necesidades educativas especiales</t>
  </si>
  <si>
    <t xml:space="preserve">748 niños y niñas con necesidades educativas especiales en situación crítica atendidos </t>
  </si>
  <si>
    <t xml:space="preserve">Fortalecimiento de las prácticas pedagógicas que favorezcan la atención educativa a la población en situación de discapacidad o talentos excepcionales. </t>
  </si>
  <si>
    <t>41 mumicipios</t>
  </si>
  <si>
    <t>1784 estudiantes</t>
  </si>
  <si>
    <t xml:space="preserve">1784 estudiantes matriculados en condición de discapacidad y/o talentos excepcionales beneficiados en el programa de inclusión </t>
  </si>
  <si>
    <t>1 plan departamental de educación ambiental implementado.</t>
  </si>
  <si>
    <t>Escuela Nueva (Modelo Flexible)</t>
  </si>
  <si>
    <t xml:space="preserve">Argelia, Buenos Aires, Caldono, El Tambo, Guapi, Patia, Rosas, Sotará, Balboa, Cajibio, Caloto, Guachene, Morales, Piedamo, Santander de Quilichao, Timbio. </t>
  </si>
  <si>
    <t xml:space="preserve">Sur, Norte, Centro, Costa Pacifica, </t>
  </si>
  <si>
    <t>Fortalecimiento del proceso etnoeducativo afrocolombiano para visibilizar la transformación pluricultural de la sociedad caucana</t>
  </si>
  <si>
    <t>252.406 estudiantes</t>
  </si>
  <si>
    <t>Pendiente por definir cuando se contrate el ejecutor.</t>
  </si>
  <si>
    <t>Argelia, Balboa, Bolivar, El Tambo, Florencia, Guapi, Lopez de Micay, Mercaderes, Patia, Sucre, Timbiqui.        Sur, Costa Pacifica, Centro</t>
  </si>
  <si>
    <t>29.313 estudiantes</t>
  </si>
  <si>
    <t xml:space="preserve">3634 estudiantes de los establecimientos educativos se benefician con el programa Vive la Educación beneficiados  </t>
  </si>
  <si>
    <t>Realización de foros para la conformación de mesas pedagógicas</t>
  </si>
  <si>
    <t>Guapi , Timbiquí , López de Micay ,Santander de Quilichao , Puerto Tejada , Villa Rica , Caloto , Padilla , Guachené , Suárez , Buenos Aires , Corinto , Miranda , Bolívar , Mercaderes ;Argelia , Paéz , Balboa , Morales , Cajibío , El Tambo , La Sierra , La Vega</t>
  </si>
  <si>
    <t xml:space="preserve">Occidente , sur , centro , norte , macizo </t>
  </si>
  <si>
    <t>27.816 estudiantes . Población afro.</t>
  </si>
  <si>
    <t>Politica Pública etnoeducativa para comunidades afrodescendientes implementadas</t>
  </si>
  <si>
    <t>Florencia, Buenos Aires, El Tambo, Lopez de Micay y Timbiqui.</t>
  </si>
  <si>
    <t xml:space="preserve">Norte, Costa Pacificica, Centro, </t>
  </si>
  <si>
    <t>Sujeto al número docentes participantes en procesos de formación</t>
  </si>
  <si>
    <t xml:space="preserve">800 estudiantes beneficiados a través de la formación de docentes y directivos docentes en Prácticas Pedagógicas (derechos humanos, víctimas del conflicto armado, género, escuelas protectoras, escuela escenario de paz) </t>
  </si>
  <si>
    <t>30.000 estudiantes , 1550 grupos de investigación.</t>
  </si>
  <si>
    <t xml:space="preserve">4.700 estudiantes se benefician con el Programa Ondas beneficiados </t>
  </si>
  <si>
    <t>13270 estudiantes y 3500 docentes</t>
  </si>
  <si>
    <t>561 sedes educativas con conectividad</t>
  </si>
  <si>
    <t>561 sedes educativas dotadas de infraestructura tecnologica</t>
  </si>
  <si>
    <t xml:space="preserve">12 Establecimientos Educativos </t>
  </si>
  <si>
    <t>12 nuevos establecimientos educativos que se integran en la red de dinamizadores de Proyectos Ambientales Escolares (REDEPRAE).</t>
  </si>
  <si>
    <t>25 docentes</t>
  </si>
  <si>
    <t>25 docentes formados en Competencias de Lenguas Extranjeras (PFCLE) - Bilingüismo</t>
  </si>
  <si>
    <t>40 establecimientos educativos en el  proceso de Ruta de Mejoramiento: Autoevaluación  Institucional y Plan de Mejoramiento Institucional- PMI  articulados al PAM acompañados</t>
  </si>
  <si>
    <t>1200 Estudiantes</t>
  </si>
  <si>
    <t>1200 estudiantes se benefician de la implementación de la Jornada única</t>
  </si>
  <si>
    <t>1200 nuevos estudiantes con el Programa Todos Aprender (PTA) beneficiados</t>
  </si>
  <si>
    <t>16 establecimientos educativos con la estrategia de psicometría implementada para el mejoramiento de las Pruebas Saber.</t>
  </si>
  <si>
    <t>120 docentes</t>
  </si>
  <si>
    <t>120 docentes y directivos docentes formados en las evaluaciones anuales de desempeño (Decreto Ley 1278 de 2002)</t>
  </si>
  <si>
    <t>80 sistemas de Evaluación interna de estudiantes actualizados</t>
  </si>
  <si>
    <t>112 docentes</t>
  </si>
  <si>
    <t>112 docentes formados  en la formulación e implementación de proyectos pedagógicos transversales</t>
  </si>
  <si>
    <t>120 agentes</t>
  </si>
  <si>
    <t>120 agentes educativos, docentes y/o directivos docentes formados  en lineamientos de la política pública de primera infancia y/o educación inicial.</t>
  </si>
  <si>
    <t>55 docentes de aula y tutores (pta)</t>
  </si>
  <si>
    <t xml:space="preserve">55 docentes beneficiados con el programa excelencia docente en becas de maestría </t>
  </si>
  <si>
    <t>9 experiencias significativas sistematizadas</t>
  </si>
  <si>
    <t>Resignificar 50 Proyectos Educativos Institucionales - PEI en población mayoritaria</t>
  </si>
  <si>
    <t xml:space="preserve">382 estudiantes beneficados </t>
  </si>
  <si>
    <t>La mera física para el año 2016 cambio ya que los el valor inicial fue determinado por el Ministerio de Educación  (96), el cual fue modificado a (32) de los cuales se cumplieron en su totalidad</t>
  </si>
  <si>
    <t xml:space="preserve">Primera etapa:  Diagnóstico y formulación de los planes departamentales de consejos de área (Patrimonio, Cinematografía, Medios de Comunicación Ciudadanos y Comunitarios, Áreas Artísticas). </t>
  </si>
  <si>
    <t>42 municipios</t>
  </si>
  <si>
    <t>7 subregiones</t>
  </si>
  <si>
    <t>1.300.000 habitantes</t>
  </si>
  <si>
    <t xml:space="preserve">Diagnóstico y formulación de los planes departamentales de consejos de área (Patrimonio, Cinematografía, Medios de Comunicación Ciudadanos y Comunitarios, Áreas Artísticas). </t>
  </si>
  <si>
    <t>Primera Etapa: Formulación y diagnóstico del sistema de información cultural caucano.</t>
  </si>
  <si>
    <t>Formulación y diagnóstico del sistema de información cultural caucano.</t>
  </si>
  <si>
    <t xml:space="preserve">Plan Departamental de estimulos en iniciativas de proyectos en investigación, creación, formación, producción y circulación artística y cultural, con el programa departamental de estímulos impulsadas </t>
  </si>
  <si>
    <t>Plan Departamental de estimulos culturales</t>
  </si>
  <si>
    <t>2016-019000-0037</t>
  </si>
  <si>
    <t>6.562 personas (Afro, Indigenas, otros)</t>
  </si>
  <si>
    <t>Fortalecimiento y Promoción de la cultura de los territorios etnicos</t>
  </si>
  <si>
    <t>Fortalecimiento y promoción de la cultura de los territorios campesinos e indigena a través del encuentro de la identidad  Cauca, Occidente</t>
  </si>
  <si>
    <t>42 Municipios</t>
  </si>
  <si>
    <t xml:space="preserve">Iniciativas de carácter diferencial para población en condición de discapacidad o grupos de interés apoyadas </t>
  </si>
  <si>
    <t>Artistas de discapacidad en escena.</t>
  </si>
  <si>
    <t>RECURSOS POR PROYECTO PROGRAMADOS VIGENCIA 2017 (MILES DE PESOS)</t>
  </si>
  <si>
    <t>Establecer iniciativas  de equipamiento de los servicios culturales de impacto subregional en el Departamento del Cauca.</t>
  </si>
  <si>
    <t>Iniciativas  de equipamiento de los servicios culturales de impacto subregional</t>
  </si>
  <si>
    <t>Etapa 1: Formulación  y diagnóstico del Plan departamental de Lectura, escritura y Bibliotecas.</t>
  </si>
  <si>
    <t>Fortalecimiento de la música de Marimba y Cantos tradiconales en los Municpios de Guapi, Timbiquí y López de Micay, Cauca Occidente</t>
  </si>
  <si>
    <t>Guapi
Timbiquí
López de Micay</t>
  </si>
  <si>
    <t>Occidente</t>
  </si>
  <si>
    <t>29.797 - Guapi
21.738- Timbiqui
20.446- López de Micay
Total: 71.981 Habitantes</t>
  </si>
  <si>
    <t>3 Acciones de Salvaguardia realizadas</t>
  </si>
  <si>
    <t xml:space="preserve">Conservación y restauración de los bienes muebles que conforman las priocesions de semana santa de popayán </t>
  </si>
  <si>
    <t>Estudios para el diagnostico y propuesta de restauración de imágenes.</t>
  </si>
  <si>
    <t>Popayán</t>
  </si>
  <si>
    <t>Centro</t>
  </si>
  <si>
    <t xml:space="preserve">1300.000 habitantes </t>
  </si>
  <si>
    <t>Estudios de diagnostico</t>
  </si>
  <si>
    <t>Restauración de bienes muebles</t>
  </si>
  <si>
    <t>Convocatorias  para entrega de estímulos al emprendimiento cultural</t>
  </si>
  <si>
    <t>1300000 habitantes</t>
  </si>
  <si>
    <t xml:space="preserve">Entrega de estímulos al emprendimiento cultural realizadas </t>
  </si>
  <si>
    <t xml:space="preserve"> Fuente de financión debe ser cambiada al Impuesto Nacional al Consumo de la telefonia. </t>
  </si>
  <si>
    <t>Evento de promoción de la economía cultural regional realizados</t>
  </si>
  <si>
    <t>Promoción de la economía cultural regional realizados</t>
  </si>
  <si>
    <t>Iniciativas de turismo cultural apoyadas</t>
  </si>
  <si>
    <t>Encuentros de socialización de buenas prácticas, políticas, ambientales y sociales y de economías alternativas propias de la cultura caucana realizados</t>
  </si>
  <si>
    <t>Realización de foros de experiencias multiculturales presentes en el Departamento del Cauca.</t>
  </si>
  <si>
    <t>Foros de experiencias multiculturales presentes en el Departamento del Cauca.</t>
  </si>
  <si>
    <t>Directivos docentes, docentes, administrativos, ciudadania en general</t>
  </si>
  <si>
    <t xml:space="preserve">Directivos docentes, docentes, administrativos, ciudadania en general.
</t>
  </si>
  <si>
    <t>La población beneficiada corresponde a los docentes de los establecimientos educativos</t>
  </si>
  <si>
    <t xml:space="preserve">Población rural, afro, mayoritaria y campesina. </t>
  </si>
  <si>
    <t xml:space="preserve">Población mayoritaria, indigena, afro en 89 instituciones educativas ubicadas en 37 municipios. </t>
  </si>
  <si>
    <t xml:space="preserve">La población beneficada son estudiantes de grado 10 y 11. </t>
  </si>
  <si>
    <t xml:space="preserve">Población mayoritaria y afro. </t>
  </si>
  <si>
    <t xml:space="preserve"> Población Docentes y directivos docentes oficiales en servicios. Los recursos presupuestados para el año 2016 serán destinados para logística. </t>
  </si>
  <si>
    <t>Estudiantes de diferentes niveles educativos, padres de familia, maestros y directivos.</t>
  </si>
  <si>
    <t>Septiembre 19 de 2016</t>
  </si>
  <si>
    <t xml:space="preserve">Para el año 2016 se sobrepaso la meta fisica realizando 26 establecimientos mas. </t>
  </si>
  <si>
    <t>SGP</t>
  </si>
  <si>
    <t>Construcción de Política Pública de construcción rural</t>
  </si>
  <si>
    <t>Programa Vive la Educación</t>
  </si>
  <si>
    <t>Implementación Cauca diversa y en paz articulada con la construcción ciudadania</t>
  </si>
  <si>
    <t>Programa Ondas</t>
  </si>
  <si>
    <t>Fortalecimiento de la calidad educativa a traves de una estrategia d3e TIC para los 41 municipios no certificados  - Cauca Interactiva.</t>
  </si>
  <si>
    <t>12.5%</t>
  </si>
  <si>
    <t>6.5%</t>
  </si>
  <si>
    <t>9.5</t>
  </si>
  <si>
    <t>27.5%</t>
  </si>
  <si>
    <t>1.3</t>
  </si>
  <si>
    <t>DEPENDENCIA RESPONSABLE: SECRETARIA DE SALUD DEPARTAMENTAL DEL CAUCA</t>
  </si>
  <si>
    <t>VALOR META  AL CUATRIENIO</t>
  </si>
  <si>
    <t>MUNICIPIOS BENEFICIADOS</t>
  </si>
  <si>
    <t>POBLACION BENEFICIADA</t>
  </si>
  <si>
    <t>TIEMPO DE EJECUCION  (MESES)</t>
  </si>
  <si>
    <t>VALOR ACTUAL (2016)</t>
  </si>
  <si>
    <t>RENTAS CEDIDAS</t>
  </si>
  <si>
    <t>SISTEMA GENERAL DE PARTIICPACIONES</t>
  </si>
  <si>
    <t>PRESSUPUETO GENERAL DE LA NACIÓN</t>
  </si>
  <si>
    <t>PROGRMAS NACIONALES</t>
  </si>
  <si>
    <t xml:space="preserve">Desarrollo Humano Integral </t>
  </si>
  <si>
    <t>Adoptar el 100% la política integral de salud ambiental - PISA-</t>
  </si>
  <si>
    <t>Porcentaje de  la Política Integral de Salud Ambiental  PISA adoptada.</t>
  </si>
  <si>
    <t xml:space="preserve"> Salud Ambiental</t>
  </si>
  <si>
    <t>Promover la Salud de las poblaciones que por sus condiciones sociales son vulnerables a Procesos ambientales, mediante la modificación positiva de los determinantes Sociales , sanitarios y ambientales, fortaleciendo la gestión intersectorial y la participación comunitaria y social a nivel local, regional y con ello contribuir al mejoramiento de las condiciones de vida de la población mediante la prevención, vigilancia y control sanitario.</t>
  </si>
  <si>
    <t>Asistir técnicamente a los 42 municipios para la adopción de la Política  Integral  de Salud Ambiental - PISA</t>
  </si>
  <si>
    <t>Número de municipios asistidos técnicamente para la adopción de la Política  Integral  de Salud Ambiental - PISA</t>
  </si>
  <si>
    <t xml:space="preserve"> Dimension 1: Salud Ambiental</t>
  </si>
  <si>
    <t>Por asignar para la vigencia 2017.</t>
  </si>
  <si>
    <t>1. Almaguer 2. San Sebastián 3. La Vega 4.La Sierra 5. Rosas  6.Timbio 7.Santander de Qulihao 8. Suárez 9.Caloto 10.Guachené 11. Buenos Aires 12. Puerto</t>
  </si>
  <si>
    <t>Norte, Macizo y Centro</t>
  </si>
  <si>
    <t xml:space="preserve">1. Realizar la contratación de un profesional  ingeniero ambiental o ingeniero sanitario, con experiencia relacionada, para apoyar: a) La divulgación de la política integral de salud ambiental - PISA b) La vigilancia de establecimiento de interés sanitario (piscinas, morgues y cementerios) c) Diseño e implmentación de planes y programas municipales para la reducción del riesgo de enfermedades transmitidas por el agua en piscinas  d) La dinamización para el funcionamiento del consejo territorial de salud ambiental - COTSA.  Por 10 meses - valor honorarios mensual: $3.000.000, más gastos de desplazamiento.                                                                                                                                       
2. Realizar la contratación de un Ing. Ambiental, o Ing. Sanitario, con experiencia relacionada, para apoyar: a) estrategia de entornos saludables (Escuela, vivienda y entorno laboral), realizando coordinación interinstitucional e intersectorialmente, movilidad segura, disposición final de residuos sólidos. Por 10 meses - valor honorarios mensual: $3.000.000, más gastos de desplazamiento.                                                                                                                                       
3. Realizar la contratación de un ingeniero químico  o ingeniero ambiental o ingeniero sanitario, con experiencia relacionada, para apoyar: a) La implementación de las estrategias intersectoriales encaminadas a proteger a la población de los contaminantes del aire y de los residuos hospitalarios y similares, b) La determinación de la carga ambiental de los eventos mórbidos priorizados relacionados con la calidad del aire. Por 10 meses - valor honorarios mensual: $3.000.000, más gastos de desplazamiento.                                                                                                                                       
4. Realizar la contratación de una enfermera profesional, con experiencia relacionada, para apoyar la vigilancia epidemiológica en salud ambiental: .- Carga ambiental de la enfermedad relacionada con el agua, el aire, zoonosis, el saneamiento básico, la seguridad química y el riesgo biológico. Por 10 meses - valor honorarios mensual: $3.000.000, más gastos de desplazamiento.                                                                                                                                       
</t>
  </si>
  <si>
    <t>Dr. Giovanni Apráez - Profesional Especializado - Área Salud Ambiental</t>
  </si>
  <si>
    <t>Población indígena femenino:  30428 - Población indígena  masculino: 31676 - Población afro femenino:  67278 - Población afro masculino:: 66952</t>
  </si>
  <si>
    <t xml:space="preserve">Implementar   al 100%   Sistema Unificado de Información en Salud Ambiental -SUISA-según directriz Nacional </t>
  </si>
  <si>
    <t>Porcentaje del  Sistema Unificado de Información en salud Ambiental SUISA implementado.</t>
  </si>
  <si>
    <t>Adoptar en el 100% de la Política Departamental de Salud Ambiental en el  Área Salud Ambiental en el marco de la Política  Integral  de Salud Ambiental - PISA según directrices nacionales</t>
  </si>
  <si>
    <t>Porcentaje  de  la Política Departamental de Salud Ambiental en el marco de la Política  Integral  de Salud Ambiental - PISA según directrices nacionales adoptada</t>
  </si>
  <si>
    <t>7 (Norte, Sur, Oriente, Pacífico, Macizo, Centro y Bota Caucana</t>
  </si>
  <si>
    <t>1. Realizar la asignación de gastos de viaje y desplazamiento para los contratistas del Área Salud Ambiental.  (Desplaz personal técnico contratista de los municipios de López de Micay, Timbiquí, Piamonte)
2. Realizar la contratación de 3 Técnicos para los municipios de difícil acceso (López de Micay, Timbiquí y Piamonte) para apoyar algunas de las acciones de inspección y vigilancia del Área de Salud Ambiental - Pago de honorarios mensuales $1.390.000.oo por 10 meses más gastos de desplazamientos.</t>
  </si>
  <si>
    <t>Total, Población 2017: 1.404.205 de los cuales son: Afro (masculino:175.461) (Femenino: 170.821) Indígenas (Femenino:179.120 Masculino: 186.152) Otra: 685.834).</t>
  </si>
  <si>
    <t xml:space="preserve">Capacitar al 100%   técnicos y auxiliares en el área de la salud  para la implementación del Sistema Unificado de Información en Salud Ambiental -SUISA- directriz Nacional </t>
  </si>
  <si>
    <t xml:space="preserve">Porcentaje de técnicos y auxiliares en el área de la salud capacitados   para la implementación del Sistema Unificado de Información en Salud Ambiental -SUISA- directriz Nacional </t>
  </si>
  <si>
    <t xml:space="preserve">
1.Realizar la contratación para brindar apoyo el Sistema de Información del área salud ambiental en la plataforma DHIS2 - con experiencia relacionada, Vs SUISA. Valor: $50.000.000.oo
2. Realizar la contratación del pago de servicios de celulares y planes de datos de salud pública y cuentas de correos electrónicos - Valor: $28.500.000.oo
</t>
  </si>
  <si>
    <t xml:space="preserve">Efectuar 2 Informes ( semestral) de implementación del  Sistema Unificado de Información en Salud Ambiental -SUISA- según directriz Nacional </t>
  </si>
  <si>
    <t>Número de informes de implementación del  Sistema Unificado de Información en Salud Ambiental -SUISA- según directriz Nacional efectuados</t>
  </si>
  <si>
    <t>1. Realizar la contratación de 3 técnicos en sistemas, como apoyo al proceso de sistemas de información de los componentes ambiente (aire, agua suelo), consumo y zoonosis para los 42 municipios - DHIS2 - Valor honorarios $1.890.000 mensual, por 10 meses</t>
  </si>
  <si>
    <t>Implementar  al 100%   Programa orientado al suministro del agua apta para consumo humano  de la población, articulando políticas nacionales, tales como la Política Nacional de Agua y Saneamiento para las Zonas Rurales, y la Política Nacional para la Gestión Integral del Recurso Hídrico; y estrategias, tales como la de Producción más Limpia, Educación en Salud Ambiental y Vigilancia Sanitaria</t>
  </si>
  <si>
    <t>Porcentaje del  programa  orientado al  suministro del agua apta para consumo humano para  la población,  articulando políticas nacionales implementado.</t>
  </si>
  <si>
    <t xml:space="preserve">Implementar al 100% el  programa orientado al suministro del agua apta para consumo humano para  la población, articulando políticas nacionales </t>
  </si>
  <si>
    <t xml:space="preserve">Porcentaje del programa orientadas al suministro del agua apta para consumo humano para  la población, articulando políticas nacionales  implementado </t>
  </si>
  <si>
    <t xml:space="preserve">1. Realizar la contratación de un ingeniero como apoyo a la elaboración de mapas de riesgo y vigilancia de la calidad del agua para consumo humano con sus respectivos planes correctivos en los municipios priorizados. Por 10 meses - valor honorarios mensual: $3.000.000, más gastos de desplazamiento.   
2 Asignar gastos de viaje y desplazamiento para los contratistas del Área Salud Ambiental. (Desplazamiento profesional contratista a cargo del cumplimiento de ésta meta)
</t>
  </si>
  <si>
    <t>Adoptar en un 100% La estrategia de gestión integrada de las zoonosis de interés en salud pública.</t>
  </si>
  <si>
    <t>Porcentaje de  la  estrategia de gestión integrada de las zoonosis de interés en salud pública adoptada.</t>
  </si>
  <si>
    <t xml:space="preserve">Lograr el  80%  de cobertura de vacunación antirrábica en caninos y felinos </t>
  </si>
  <si>
    <t xml:space="preserve">Porcentaje de Cobertura de vacunación antirrábica en caninos y felinos logrado
   </t>
  </si>
  <si>
    <t>1.404.205</t>
  </si>
  <si>
    <t xml:space="preserve">1. Realizar capacitación a comunidad estudiantil de los municipios seleccionados, secretarías de salud municipales, sector educativo en la política de tenencia responsable de animales de compañía y producción, en el marco de la prevención de la rabia humana. valor $50.000.000.oo
2. Realizar acciones de promoción, prevención, inspección, vigilancia y control de los establecimientos de interés en salud pública en salud ambiental y ejecutar jornadas de vacunación antirrábica canina y felina en los municipios del departamento (Viaticos y/o combustible)
3. Realizar la contratación para la ejecución de las jornadas de vacunación antirrábicas caninas y felinas en: 1) Suroriente (Almaguer, San Sebastián); 2) Suroccidente (Argelia, Balboa, Sucre); 3) Norte 1 (Buenos Aires); 4) Popayán (Caldono, Totoró); 5) Norte 2 (Corinto, Guachené, Miranda); 6) Norte 3 (Villarrica); 7) Suroccidente (Florencia); 8) Centro 2 (La Sierra); 9) Hospital Nivel I El Bordo (Patía); 10) Cxayutce Juxt (Toribio)
3. Realizar la contratación de un auxiliar para apoyar la entrega del biológico del Área de Salud Ambiental y seguimiento al mismo en las IPS (Remuneración por servicios técnicos: $15,125 millones por 11 meses y gastos de viaje, más gastos de desplazamiento) y gestionar la contratación de un técnico con experiencia en SIVIGILA para la consolidación de los reportes de PAI web que requieren la validación de datos de los pacientes notificados en SIVIGILA, de los Municipios del Departamento (Remuneración por servicios técnicos: $18,9 millones por 10 meses, más gastos de desplazamiento)
4. Realizar la contratación de 1 profesional en medicina veterinaria como apoyo: a) A la asesoría para la elaboración e implementación de los planes municipales para la prevención y la contención de los patógenos emergentes y reemergentes de alta transmisibilidad y potencial epidémico; b) apoyar las visitas de IVC a los establecimientos veterinarios, agropecuarios, y afines - Por 10 meses - valor honorarios mensual: $3.000.000, más gastos de desplazamiento.                  
5. Realizar la contratación de un profesional en biología con énfasis en entomología para continuar con el proceso de atención a las enfermedades desatendidas y otras zoonosis en Municipios priorizados del Departamento  - Por 10 meses - valor honorarios mensual: $3.000.000, más gastos de desplazamiento.            
6. Realizar la contratación con una ESE, para realizar acciones contra la ricketsiosos de promoción de la salud, prevención, vigilancia y control de la misma. valor $30.000.000.oo
7. Realizar la asignación de gastos de viaje y desplazamiento para los contratistas del Área Salud Ambiental. (Desplaz personal técnico contratista )
8. Realizar la asignación de gastos de viaje y desplazamiento para los contratistas del Área Salud Ambiental. (Desplazamiento profesionales contratistas)
9. Realizar capacitación a líderes comunitarios de los municipios, técnicos en área de la salud, red unidos, secretarías de salud municipales, sector educativo en la política de tenencia responsable de animales de compañía y producción.  valor $50.000.000.oo 10. Impresión de material IEC requerido por el área salud ambiental - valor: $24.000.000.oo
</t>
  </si>
  <si>
    <t xml:space="preserve">Atender en un 100%  las emergencias notificadas, inherentes a los componentes ambiente, medicamentos  y zoonosis,  desde las competencias del área salud ambiental. </t>
  </si>
  <si>
    <t>Porcentaje de emergencias notificadas, inherentes a los componentes ambiente, medicamentos  y zoonosis atendidas.</t>
  </si>
  <si>
    <t>Atender en un 100%  las emergencias notificadas, inherentes a los componentes ambiente, medicamentos  y zoonosis,  desde las competencias del área salud ambiental</t>
  </si>
  <si>
    <t xml:space="preserve">Porcentaje de las emergencias notificadas, inherentes a los componentes ambiente, medicamentos  y zoonosis,  desde las competencias del área salud ambiental atendidas </t>
  </si>
  <si>
    <t xml:space="preserve">1. Realizar el mantenimiento de los vehículos terrestres (camionetas y motocicletas) ($10 millones para la camioneta asignada a los componentes ambiente, consumo y zoonosis y $20.000.000.oo para motocicletas) 
2. Realizar la Revisión técnico mecánica de los vehículos de salud ambiental (motocicletas y camionetas)  - $5.000.000.oo
3. Realizar la adquisición del Seguro Obligatorio de los vehículos de salud ambiental (motocicletas y camionetas) - Valor $5.000.000.oo
4. Realizar la contratación de 1 conductor como apoyo a las actividades del área de salud ambiental en sus componentes ambiente, consumo y zoonosis, valor honorarios mensual $1.250.000.oo por 10 meses, más gastos de desplazmientos.
5. Realizar asignación de gastos de viaje y desplazamiento para los contratistas del Área Salud Ambiental. (Desplaz personal aux -conductor- contratista)
</t>
  </si>
  <si>
    <t>Adoptar en un 100%  la Política Nacional para la Gestión Integral de Sustancias Químicas.</t>
  </si>
  <si>
    <t>Porcentaje de la Política Nacional para la Gestión Integral de Sustancias Químicas adoptada.</t>
  </si>
  <si>
    <t>Brindar asistencia técnica a los 42 municipios en la Política Nacional para la Gestión Integral de Sustancias Químicas</t>
  </si>
  <si>
    <t xml:space="preserve">Número de municipios que en la Política Nacional para la Gestión Integral de Sustancias Químicas se les brinda asistencia técnica </t>
  </si>
  <si>
    <t>1. Realizar la contratación de un ingeniero ambiental o ingeniero sanitario, para apoyar: a) La seguridad química (plaguicidas, minería, agroindustria, etc) para la población b) La implementación de la política nacional para la gestión integral de sustancias químicas c) La implementación de la red departamental de toxicología d) La implementación de la política integral de salud ambiental - PISA e) La gestión de residuos peligrosos con respecto a agroindustria f) La implementación de lineamientos para la gestión del riesgo tecnológico - Valor por honorarios $3.000.000.oo mensuales, por 10 meses, más gastos de desplazamientos
2. Realizar la asignación de gastos de viaje y desplazamiento para los contratistas del Área Salud Ambiental.  (Desplazamiento profesionales contratistas)</t>
  </si>
  <si>
    <t>Reducir en un 5% la tasa de infección por helicobacter pylori en 8 municipios del Cauca, mediante el cumplimiento de los objetivos propuestos en el estudio "Uso y manejo del agua y su relación con enfermedades emergentes", financiado por el Fondo Nacional de Regalías, a través de los convenios de asociación - ejecución y supervisado por el profesional designado por la SDSC</t>
  </si>
  <si>
    <t>% De la tasa de infección por helicobacter pylori en los municipios objeto del proyecto, evaluado a través de lo previsto en la estructura DNP/FNR para el proyecto reducida.</t>
  </si>
  <si>
    <t>Tamizar 13.000  personas en condición de vulnerabilidad de adquirir helicobacter pylori  a través de pruebas moleculares en ocho municipios del departamento</t>
  </si>
  <si>
    <t xml:space="preserve">Número de personas en condición de vulnerabilidad de adquirir helicobacter pylori  a través de pruebas moleculares en ocho municipios del departamento tamizadas </t>
  </si>
  <si>
    <t>Municipios de Cajibio, Piendamo, Popayan, El Tambo, Timbio, Bolivar, Paez y San Sebastian.</t>
  </si>
  <si>
    <t>Oriente, Sur, Centro y Macizo.</t>
  </si>
  <si>
    <t xml:space="preserve">Procesamiento y lectura de emision de resultados de 3 mil muestras para determinar el Helicobacter Pylori, Sistema de Vigilancia en Salud Ambiental.
</t>
  </si>
  <si>
    <t xml:space="preserve">Jose Libardo Pomeo Pabon- Profesional Universitario-Area Red de Prestacion de los Servicios                                                 </t>
  </si>
  <si>
    <t xml:space="preserve">1- En lo referente a la Población a ser beneficiada que corresponde 549.267 (411.951 SON Campesinos y 137.316 Son Indígenas APROX.
2- En lo que corresponde a los recursos programados en el Plan Indicativo y Plan de Acción de la vigencia 2016 que corresponden a $ 3.128.849 me permito explicar lo siguiente:
1.895.930 Corresponden al Convenio 1546/2014 –El cual se viene ejecutando desde 3 DE marzo de 2015 hasta el 29 de Febrero de 2017, de estos recursos a 31 de Diciembre de 2016 se espera una ejecución de $ 1.695.930 quedando un saldo de 200 Millones de este convenio los cuales se ejecutaran en los meses de Enero y Febrero de 2017 .a los 200 millones de pesos mencionados , se suma el valor de 1.260.886 Aprobados en el OCAD de Noviembre de 2012, es decir se aclara que de los  $ 3.128.849 Programados solo se lograran ejecutar en la Vigencia 2016 :$ 1.695.930 y se programan para la vigencia 2017  el valor restante $1.460.886  cuya ejecución está sujeta a directrices del Señor Gobernador y de la Secretaria de salud Departamental del Cauca.
</t>
  </si>
  <si>
    <t>Incrementar en un 5% las coberturas de prevención y detección temprana de las ENT, las alteraciones de la salud bucal, visual, auditiva y comunicativa y sus factores de riesgo.</t>
  </si>
  <si>
    <t>Porcentaje de  las coberturas de prevención y detección temprana de las ENT, las alteraciones de la salud bucal, visual, auditiva y comunicativa y sus factores de riesgo incrementadas.</t>
  </si>
  <si>
    <t>SD</t>
  </si>
  <si>
    <t>Vida saludable y condiciones no transmisibles</t>
  </si>
  <si>
    <t>Favorecer la reducción a la exposición a los factores de riesgo modificables en todas las etapas del transcurso de vida</t>
  </si>
  <si>
    <t>Aumentar en 0.5% de personas de 13 a 64 años la práctica de actividad física (enmarcado en la aplicación de la estrategia 4*4 ampliada)</t>
  </si>
  <si>
    <t xml:space="preserve">Porcentaje de personas de 13 a 64 años con la práctica de actividad física aumentada (enmarcado en la aplicación de la estrategia 4*4 ampliada) </t>
  </si>
  <si>
    <t xml:space="preserve"> 13 - 17 años:  34.9%                                            18 a 64 años: 31.2% </t>
  </si>
  <si>
    <t xml:space="preserve"> Dimension 2: Vida saludable y condiciones no transmisibles</t>
  </si>
  <si>
    <t>San Sebastián, Guapi, Popayán, Puerto tejada, Villa Rica, Santander de Quilichao, Almaguer, El Tambo, Silvia, Bolívar,  Timbio, Caloto, Miranda, Corinto Toribio</t>
  </si>
  <si>
    <t>Sur, Costa Pacifica, Norte,  Macizo y Centro</t>
  </si>
  <si>
    <t>Personas de 13 a 64 años realizando actividad fisica</t>
  </si>
  <si>
    <t>Kelly Tello-Profesional Especializada</t>
  </si>
  <si>
    <t xml:space="preserve">Poblacion Afro: 189.206, poblacion indigena : 79.625- </t>
  </si>
  <si>
    <t>Aumentar en un 0,5% en personas de 5 a 64 años el consumo de frutas y verduras (enmarcado en la aplicación de la estrategia 4*4 ampliada)</t>
  </si>
  <si>
    <t>Porcentaje de personas de 5 a 64 años que aumentan el consumo de frutas y verduras  (enmarcado en la aplicación de la estrategia 4*4 ampliada)</t>
  </si>
  <si>
    <t xml:space="preserve"> Consumo de frutas  de 5 a 64 años: 61,9 %                                                               Consumo de verduras y hortalizas de 5 a 64 años: 27,4%</t>
  </si>
  <si>
    <t>Personas de 5  a 64 años consumiendo frutas y verduras</t>
  </si>
  <si>
    <t>Poblacion Afro: 189.206, poblacion indigena : 79.625-</t>
  </si>
  <si>
    <t>Reducir en 0,3% del uso de tabaco en  edades de 11  a 18 años (enmarcado en la aplicación de la estrategia 4*4 ampliada)</t>
  </si>
  <si>
    <t>Porcentaje de reducción del uso de tabaco en  edades de 11  a 18 años (enmarcado en la aplicación de la estrategia 4*4 ampliada)</t>
  </si>
  <si>
    <t>De 11 a 18 años : 9,7%</t>
  </si>
  <si>
    <t xml:space="preserve">Reduccion </t>
  </si>
  <si>
    <t>Uso de tabco reducido en las edades 11 a 18 años</t>
  </si>
  <si>
    <t>Reducir en 0,3% el consumo de alcohol en edades 11 a 18 años (enmarcado en la aplicación de la estrategia 4*4 ampliada)</t>
  </si>
  <si>
    <t>Porcentaje de reducción del consumo de alcohol en edades 11 a 18 años (enmarcado en la aplicación de la estrategia 4*4 ampliada)</t>
  </si>
  <si>
    <t>De 11 a 18 años : 37,5%</t>
  </si>
  <si>
    <t>Uso de alcohol reducido en las edades 11 a 18 años</t>
  </si>
  <si>
    <t>Aumentar en un  20% el número de municipios con implementación de la estrategia visión 20/20 (enmarcado en la aplicación de la estrategia 4*4 ampliada)</t>
  </si>
  <si>
    <t>Porcentaje aumentado de municipios con implementación de la estrategia visión 20/20 (enmarcado en la aplicación de la estrategia 4*4 ampliada)</t>
  </si>
  <si>
    <t>municipios con implementacion de la estrategia vision 20/20</t>
  </si>
  <si>
    <t>Implementar en 20% de  los municipios la estrategia "somos todo oídos" (enmarcado en la aplicación de la estrategia 4*4 ampliada)</t>
  </si>
  <si>
    <t xml:space="preserve">Porcentaje de  los municipios la estrategia "somos todo oídos" implementada (enmarcado en la aplicación de la estrategia 4*4 ampliada) </t>
  </si>
  <si>
    <t>municipios con implementacion de la estrategia somos todos oidos</t>
  </si>
  <si>
    <t>Aumentar en un 30 % la cobertura de actividades de autocuidado en salud bucal en sedes de  instituciones educativas, (10% gestantes y adulto mayor, enmarcado en la aplicación de la estrategia 4*4 ampliada)</t>
  </si>
  <si>
    <t>Porcentaje aumentado de cobertura de actividades de autocuidado en salud bucal en sedes de  instituciones educativas (10% gestantes y adulto mayor, enmarcado en la aplicación de la estrategia 4*4 ampliada)</t>
  </si>
  <si>
    <t>Sedes de Instituciones educativas: 16,7%(430),                                              gestantes :0,                                                     adulto mayor:0</t>
  </si>
  <si>
    <t>Niños, gestantes y adultos mayores que realizan autocuidado de salud bucal</t>
  </si>
  <si>
    <t>Formular 1  estrategia de detección temprana de Cáncer (Estómago y leucemias)</t>
  </si>
  <si>
    <t>Número de estrategias de detección temprana de Cáncer (Estómago y leucemias) formulada</t>
  </si>
  <si>
    <t xml:space="preserve">Estragtegia de detecciòn temparana de cancer formulada </t>
  </si>
  <si>
    <t>Poblacion Afro:  343.033, poblacion indigena : 361.997</t>
  </si>
  <si>
    <t xml:space="preserve">Formular 1  plan con EPS, IPS para garantizar una atención oportuna y seguimiento a los pacientes con cáncer de estómago y leucemias </t>
  </si>
  <si>
    <t xml:space="preserve">Número de planes con EPS, IPS para garantizar una atención oportuna y seguimiento a los pacientes con cáncer de estómago y leucemias formulados </t>
  </si>
  <si>
    <t xml:space="preserve">Plan de atencion intersectorial para paceintes con cancer de estomago y leucemias formulado </t>
  </si>
  <si>
    <t>Reducción en un 2% el número de casos enfermedades crónicas (Hipertensión ,Diabetes Y Enfermedad Renal Crónica)</t>
  </si>
  <si>
    <t>Porcentaje reducido de casos enfermedades crónicas (Hipertensión, Diabetes Y Enfermedad Renal Crónica)</t>
  </si>
  <si>
    <t>Hipertensión 17853 casos ,   Diabetes 4383 casos,               Enfermedad Renal Crónica 490)</t>
  </si>
  <si>
    <t>Casos reducidos de ECNT</t>
  </si>
  <si>
    <t>Incrementar en 5% la frecuencia de uso de los servicios de salud mental.</t>
  </si>
  <si>
    <t>Porcentaje de  Frecuencia de uso de servicios en salud mental incrementados.</t>
  </si>
  <si>
    <t>Convivencia Social y Salud Mental</t>
  </si>
  <si>
    <t>Generar espacios que contribuyan al desarrollo de oportunidades y capacidades de la población, la gestión integral de los riesgos asociados, el fortalecimiento y la ampliación de la oferta de servicios institucionales y comunitarios en salud mental para el fortalecimiento de la salud mental, la convivencia y el desarrollo humano y social.</t>
  </si>
  <si>
    <t>Conformar en 42 municipios la red integrada de servicios en salud mental con promoción en salud pública y gestión del riesgo, incluyendo la generación de capacidades para el fortalecimiento de los prestadores primarios en el marco de la implementación de la  Política de Atención Integral (PAIS)</t>
  </si>
  <si>
    <t xml:space="preserve">Número de municipios la red integrada de servicios en salud mental con promoción en salud pública y gestión del riesgo conformada, incluyendo la generación de capacidades para el fortalecimiento de los prestadores primarios en el marco de la implementación de la  Política de Atención Integral (PAIS) </t>
  </si>
  <si>
    <t xml:space="preserve"> Dimension 3:Convivencia Social y Salud Mental</t>
  </si>
  <si>
    <t>Corinto, totoro, almaguer,caloto, timbio, guapi, paez, Inza, toribio, argelia</t>
  </si>
  <si>
    <t xml:space="preserve">
Oriente
Sur
Costa Pacifica
Norte
</t>
  </si>
  <si>
    <r>
      <t xml:space="preserve">Modelo ruta integral de atencion en salud mental implementada en sus 4 fases: </t>
    </r>
    <r>
      <rPr>
        <b/>
        <sz val="11"/>
        <color theme="1"/>
        <rFont val="Calibri"/>
        <family val="2"/>
        <scheme val="minor"/>
      </rPr>
      <t>Fase 1:</t>
    </r>
    <r>
      <rPr>
        <sz val="11"/>
        <color rgb="FF000000"/>
        <rFont val="Calibri"/>
        <family val="2"/>
      </rPr>
      <t xml:space="preserve">Detección Temprana e Identificación de Pacientes; </t>
    </r>
    <r>
      <rPr>
        <b/>
        <sz val="11"/>
        <color theme="1"/>
        <rFont val="Calibri"/>
        <family val="2"/>
        <scheme val="minor"/>
      </rPr>
      <t>Fase 2</t>
    </r>
    <r>
      <rPr>
        <sz val="11"/>
        <color rgb="FF000000"/>
        <rFont val="Calibri"/>
        <family val="2"/>
      </rPr>
      <t xml:space="preserve">: Canalización efectiva al Prestador Primario en Salud Mental, </t>
    </r>
    <r>
      <rPr>
        <b/>
        <sz val="11"/>
        <color theme="1"/>
        <rFont val="Calibri"/>
        <family val="2"/>
        <scheme val="minor"/>
      </rPr>
      <t xml:space="preserve">Fase3: </t>
    </r>
    <r>
      <rPr>
        <sz val="11"/>
        <color rgb="FF000000"/>
        <rFont val="Calibri"/>
        <family val="2"/>
      </rPr>
      <t xml:space="preserve">Caracterización y programación del paciente en el Prestador Primario; </t>
    </r>
    <r>
      <rPr>
        <b/>
        <sz val="11"/>
        <color theme="1"/>
        <rFont val="Calibri"/>
        <family val="2"/>
        <scheme val="minor"/>
      </rPr>
      <t>Fase 4:</t>
    </r>
    <r>
      <rPr>
        <sz val="11"/>
        <color rgb="FF000000"/>
        <rFont val="Calibri"/>
        <family val="2"/>
      </rPr>
      <t xml:space="preserve"> Implementación del Plan Básico de Manejo en el Prestador Primario 
</t>
    </r>
  </si>
  <si>
    <t>Omar Felipe Murillo Muñoz-Profesional Especializado</t>
  </si>
  <si>
    <t>Hombres: 138470; Mujeres: 113.962;  Indigenas: 61.726;  Afrodescendientes: 59352</t>
  </si>
  <si>
    <t>Aumentar  en un  15.5%  la edad promedio del inicio de consumo de sustancias ilícitas (Psicoactivas)</t>
  </si>
  <si>
    <t>Porcentaje de  la edad promedio del inicio de consumo de sustancias ilícitas aumentada.</t>
  </si>
  <si>
    <t>Fortalecer en 42 municipios las capacidades de gestión del riesgo y  reducción del daño por consumo de Psicoactivos (mediante  estrategias de gestión del conocimiento, dispositivos ZOE Y CE, Familias Fuertes, otros</t>
  </si>
  <si>
    <t>Número de municipios con las capacidades de gestión del riesgo y  reducción del daño por consumo de Psicoactivos fortalecidos (mediante  estrategias de gestión del conocimiento, dispositivos ZOE Y CE, Familias Fuertes, otros)</t>
  </si>
  <si>
    <t>Piendamo, Puerto tejada, Villa Rica, La sierra,Rosas, Miranda, Sotara, Totoro, San Sebastian, Sucre</t>
  </si>
  <si>
    <t xml:space="preserve">Centro
Norte
Sur
Macizo
</t>
  </si>
  <si>
    <t>Dispositivos comunitarios ZOE y CE implemnetados en sus 7 fases y la estrategia familias fuertes amor y limites en sus 7 sesiones tanto para adolescentes, padres y familias</t>
  </si>
  <si>
    <t>X</t>
  </si>
  <si>
    <t>Hombres: 104.786 ;  Mujeres: 200.447;  Indigenas: 79.362;  Afrodescendientes: 76.310</t>
  </si>
  <si>
    <t xml:space="preserve">Reducir  a 13,4 por 100.000 habitantes la tasa de mortalidad por agresiones </t>
  </si>
  <si>
    <t>Tasa de mortalidad por agresiones reducida.</t>
  </si>
  <si>
    <t xml:space="preserve">Fortalecer en 42 municipios capacidades (institucionales y comunitarias) para la promoción de la salud mental y la convivencia, la detección temprana de problemas y trastornos mentales y la gestión de riesgos asociados (como las diferentes formas de violencias, mediante la implementación de estrategias como Mapa y Rehabilitación Basada en Comunidad –RBC- en salud mental, Habilidades para la vida, entre otras)   </t>
  </si>
  <si>
    <t xml:space="preserve">Número de municipios con capacidades (institucionales y comunitarias) para la promoción de la salud mental y la convivencia, la detección temprana de problemas y trastornos mentales y la gestión de riesgos asociados fortalecidas (como las diferentes formas de violencias, mediante la implementación de estrategias como Mapa y Rehabilitación Basada en Comunidad –RBC- en salud mental, Habilidades para la vida, entre otras)   </t>
  </si>
  <si>
    <t>Timbiqui, Guapi, lopez de Micay, Mercaderes, Florencia, jambalo, Corinto, Balboa, Silvia, Morales, purace</t>
  </si>
  <si>
    <t>Costa Pacifica
Sur
Norte
centro</t>
  </si>
  <si>
    <t xml:space="preserve">Modelo ruta integral de atencion en salud mental implementada en sus 4 fases: Fase 1:Detección Temprana e Identificación de Pacientes; Fase 2: Canalización efectiva al Prestador Primario en Salud Mental, Fase3: Caracterización y programación del paciente en el Prestador Primario; Fase 4: Implementación del Plan Básico de Manejo en el Prestador Primario 
</t>
  </si>
  <si>
    <t>Hombres: 101.123;  Mujeres: 95.188;  Indigenas: 51.041;  Afrodescendientes: 49.078</t>
  </si>
  <si>
    <t xml:space="preserve">Reducir a 2.6% en niños y niñas menores de 5 años la prevalencia de la DNT Global   </t>
  </si>
  <si>
    <t>Porcentaje de  niños y niñas menores de 5 años  con  la prevalencia de la DNT Global reducida.</t>
  </si>
  <si>
    <t>Seguridad Alimentaria y Nutricional</t>
  </si>
  <si>
    <t>Propender por la Seguridad Alimentaria y Nutricional SAN de la población colombiana en sus tres componentes a través de la implementación, seguimiento y evaluación de acciones transectoriales, con el fin de asegurar la salud de las personas y el derecho de los consumidores.</t>
  </si>
  <si>
    <t>Fortalecer en 34 Municipios el sistema de información nutricional que les permita monitorear la desnutrición y la malnutrición</t>
  </si>
  <si>
    <t xml:space="preserve">Número de Municipios con el sistema de información nutricional fortalecido que les permita monitorear la desnutrición y la malnutrición </t>
  </si>
  <si>
    <t>Dimension 4:Seguridad Alimentaria y Nutricional</t>
  </si>
  <si>
    <t>2016-019000-00-63</t>
  </si>
  <si>
    <t xml:space="preserve">Piedemonte
Oriente
Sur
Costa Pacifica
Norte
Macizo
Centro
</t>
  </si>
  <si>
    <t xml:space="preserve">Municipios con el sistema de información nutricional fortalecido que les permita monitorear la desnutrición y la malnutrición </t>
  </si>
  <si>
    <t xml:space="preserve">0-6 años 184.618 (90.526 Mujeres, 94.092Hombres)
Total Población Etnica 94155 (22.631 mujeres afro, 23.593 hombres afro - 23.536 mujeres Indigena, 24.463 hombres indigena)
</t>
  </si>
  <si>
    <t>Mantener en menos del 10% la proporción de bajo peso al nacer a termino</t>
  </si>
  <si>
    <t>Porcentaje de la proporción de bajo peso al nacer a termino mantenido</t>
  </si>
  <si>
    <t>numero de niños que nacen con bajo peso</t>
  </si>
  <si>
    <t xml:space="preserve">13-55 Años 18.224 Mujeres en periodo Fertil:               Población  Afro 4556,  Indigena 4738
</t>
  </si>
  <si>
    <t xml:space="preserve">Reducir  en 2% la mortalidad infantil evitable por desnutrición en forma progresiva en niños menores de 5 años </t>
  </si>
  <si>
    <t>Porcentaje de la mortalidad infantil evitable por desnutrición en forma progresiva.(Tasa) en niños menores de 5 años reducida.</t>
  </si>
  <si>
    <t>5,3 %</t>
  </si>
  <si>
    <t>Mantener  en 34 municipios  el proceso de concertación y manejo de rutas nutricionales que permite ubicar los casos detectados</t>
  </si>
  <si>
    <t xml:space="preserve">Número de municipios con el proceso de concertación y manejo de rutas nutricionales que permite ubicar los casos detectados </t>
  </si>
  <si>
    <t>municipios con el proceso de concertación y manejo de rutas nutricionales que permite ubicar los casos detectados de desnutricion</t>
  </si>
  <si>
    <t>0-6 años 184.618 (90.526 Mujeres, 94.092Hombres)
Total Población Etnica 94155 (22.631 mujeres afro, 23.593 hombres afro - 23.536 mujeres Indigena, 24.463 hombres indigena)
7 - 14 años 203.963 (99.741 Mujeres, 104.222 Hombres)
15 -17 años 80.402 (39.055 Mujeres, 41.347 Hombres)
13-55 Años 18.224 Mujeres en periodo Fertil:               Población  Afro 4556,  Indigena 4738</t>
  </si>
  <si>
    <t xml:space="preserve">Mantener en  4   meses la duración de la mediana de la lactancia materna exclusiva </t>
  </si>
  <si>
    <t>Número de meses de  duración de la mediana de la lactancia materna exclusiva mantenida.</t>
  </si>
  <si>
    <t xml:space="preserve">La Sierra, Sotará, </t>
  </si>
  <si>
    <t>Costa Pacifica
Sur</t>
  </si>
  <si>
    <t>linea de base de mediana de lactancia materna levantada</t>
  </si>
  <si>
    <t>Reducir  en 2%  el promedio de escolares entre 5 y 12 años con anemia nutricional.</t>
  </si>
  <si>
    <t>Porcentaje del promedio de escolares entre 5 y 12 años con anemia nutricional.(Prevalencia) reducida.</t>
  </si>
  <si>
    <t>Formular en 16   municipios  estrategias de seguridad alimentaria y nutricional de carácter interinstitucional e intersectorial</t>
  </si>
  <si>
    <t>Número de    municipios con estrategias de seguridad alimentaria y nutricional de carácter interinstitucional e intersectorial formuladas</t>
  </si>
  <si>
    <t>Balboa , Bolivar, Buenos Aires, Caldono, Cajibio, La Sierra, Morales, Silvia y Sotará</t>
  </si>
  <si>
    <t>Sur, Norte, Centro; Macizo, Oriente</t>
  </si>
  <si>
    <t xml:space="preserve"> municipios con estrategias de seguridad alimentaria y nutricional de carácter interinstitucional e intersectorial formuladas</t>
  </si>
  <si>
    <t xml:space="preserve">0-6 años 7.951 (4.047 Mujeres, 3.904 Hombres)
7-14 años 8.511 (4.171 Mujeres, 4.341 Hombres)
15 -17 años 3.297 (1.608 Mujeres, 1.689 Hombres)
18 – 49 años 2.352 Mujeres
Mayores de 60 años 6.316 (3.338 Mujeres, 2.978 Hombres)
Total población 28.426 (15.515 Mujeres, 12.911 Hombres) 
Total  Población Etnica 14.497 </t>
  </si>
  <si>
    <t>Aumentar en  un 5 % las toneladas  de  producción de la canasta SAN</t>
  </si>
  <si>
    <t>Porcentaje de  las toneladas de producción  de la canasta SAN aumentadas</t>
  </si>
  <si>
    <t>Incorporar en el  50 %  de  los Planes Territoriales de Seguridad Alimentaria y Nutricional la canasta SAN  correspondiente</t>
  </si>
  <si>
    <t>Porcentaje de Planes Territoriales de Seguridad Alimentaria y Nutricional con la canasta SAN  correspondiente incorporada</t>
  </si>
  <si>
    <t>Argelia, Sucre y Toribio</t>
  </si>
  <si>
    <t>Sur, Norte</t>
  </si>
  <si>
    <t>Planes Territoriales de Seguridad Alimentaria y Nutricional con la canasta SAN  correspondiente incorporada</t>
  </si>
  <si>
    <t>65361 Población total (32015 mujeres, 33.346 hombres)
Indigena total 16.994 (8324 Mujeres, 8670 Hombres)
Afro Total 16340 (8004 Mujeres, 8337 Hombres)</t>
  </si>
  <si>
    <t xml:space="preserve">Disminuir en un 5%   las enfermedades transmitidas por alimentos </t>
  </si>
  <si>
    <t>%  De   las enfermedades transmitidas por alimentos (incidencia) disminuidas.</t>
  </si>
  <si>
    <t>Ejecutar  en un  40%  las acciones de IVC de alimentos   bajo el Enfoque  de riesgo</t>
  </si>
  <si>
    <t>Porcentaje de   acciones de IVC en alimentos   bajo el Enfoque  de riesgo ejecutadas</t>
  </si>
  <si>
    <t>41 MUNICIPIOS EXCEPTO POPAYÁN  INSTITUCIONES EDUCATIVAS A</t>
  </si>
  <si>
    <t>acciones de IVC en alimentos   bajo el Enfoque  de riesgo ejecutadas realizadas</t>
  </si>
  <si>
    <t>5-18 años Poblacion escolar 168312 ( 86189 hombres, 82.123 mujeres )</t>
  </si>
  <si>
    <t>Disminuir a 72X100.000 nacidos vivos la Razón de mortalidad materna evitable  anuales en el departamento</t>
  </si>
  <si>
    <t>Razón de Mortalidad materna disminuida.</t>
  </si>
  <si>
    <t>75 x 100.000 N.V.  (2015)</t>
  </si>
  <si>
    <t>Sexualidad Derechos Sexuales y Reproductivos</t>
  </si>
  <si>
    <t>Mejorar la salud sexual y reproductiva mediante la Promoción y garantía las condiciones que permitan el ejercicio pleno y autónomo de la sexualidad en un marco de los derechos sexuales y reproductivos, con enfoque de derechos de género y diferencial</t>
  </si>
  <si>
    <t>Incluir en los 42 municipios acciones para garantizar los derechos sexuales y reproductivos y asegurar la participación de las Organizaciones y redes de mujeres, Jóvenes, grupos étnicos, EAPB, IPS, Y SSM</t>
  </si>
  <si>
    <t xml:space="preserve">Número de municipios con acciones para garantizar los derechos sexuales y reproductivos y asegurar la participación de las Organizaciones y redes de mujeres, Jóvenes, grupos étnicos, EAPB, IPS, Y SSM incluidos </t>
  </si>
  <si>
    <t>Dimension 5:Sexualidad Derechos Sexuales y Reproductivos</t>
  </si>
  <si>
    <t xml:space="preserve">Cajibio, Timbio, Argelia, Sucre, Balboa, Puerto tejada, Suarez, Corinto, Villa Rica, Patia  </t>
  </si>
  <si>
    <t>Centro, Sur, Norte</t>
  </si>
  <si>
    <t>85180 mujeres en edad fertil (10 a 49 años) y 111799 hombres en edad fertil (10 a 69 años)</t>
  </si>
  <si>
    <t>1.Realizar una jornada de promocion de los derechos sexuales y reproductivos dirigida a la comunidad en general en los municipios del departamento del Cauca. 2. Realizar una Jornada de movilizacion social para la Conmemoración  del dia de la no violencia contra la mujer 3.Realizar una Jornada de movilizacion social para la Conmemoración  del dia internacional de la mujer 4.Realizar una Jornada de movilizacion social para la Conmemoración  de la semana andina de prevencion de embarazos en adolesecentes  5.Conmemoracion del dia internacional de cancer de  Mama</t>
  </si>
  <si>
    <t xml:space="preserve">Incrementar a 88% en los 42 municipios las mujeres que tienen 4 o más controles prenatales
</t>
  </si>
  <si>
    <t>Porcentaje incrementado en los 42 municipios donde las mujeres que tienen 4 o más controles prenatales</t>
  </si>
  <si>
    <t>Guapi, Lopez de Micay, Timbiqui, Silvia, Argelia, San Sebastian, Almaguer, Paez, Inzá, Caldono, Totoro, Toribio, Piendamo</t>
  </si>
  <si>
    <t>Costa Pacifica, Centro, Macizo, Norte, Sur y Oriente</t>
  </si>
  <si>
    <t>4373 Gestantes</t>
  </si>
  <si>
    <t>1. Construir una linea de base municipal que identifique la adherencia al control prenatal de las gestantes de la ESE y realizar el seguimiento del indicador de forma mensual.                                                                             
2. Diseñar una estrategia de servicios integrales que involucre a Secretaria Municipal de Salud, EAPB, prestadores de servicios y comunidad para mejorar la adherencia a los controles prenatales de acuerdo al lineamiento dado por la SDSC. 3. Implementar una estrategia de servicios integrales que involucre a Secretaria Municipal de Salud, EAPB, prestadores de servicios y comunidad para mejorar la adherencia a los controles prenatales de acuerdo al linamiento dado por la SDSC. 
4. Realizar la contratacion de un profesional de Enfermería, con experiencia en el manejo del programa de maternidad segura, para la ejecución de las actividades del proyecto de salud sexual y reproductiva en el componente de maternidad segura, realizar la articulación y enlace de la Empresa Social del Estado con la ONG, SINERGIAS (Alianzas Estratégicas para la Salud y el desarrollo Social) y demás actores del sistema, para el fortalecimiento de la atención integral al binomio madre hijo durante la atención del embarazo y atención del parto                                                                                                         
5. Realizar 2 talleres educativos dirigidos a lideres comunitarios para el fortalecimiento del programa de vigilancia comunitaria  en la estrategia del binomio madre - hijo articulada entre ESE IPS SSM incluyendo el proceso de evaluación  
6.  Implementar un modelo de mejoramiento de los servicios de salud prenatal, del parto, puerperio  y del recien nacido con adecuacion intercultural  y enfoque de humanizacion de los servicios para reducir la morbimortalidad materna y neonatal del departamento del Cauca, tomando en cuenta la estructura establecida por la SDSC</t>
  </si>
  <si>
    <t xml:space="preserve"> Poblacion mujeres  15 a 49 años: Indigena 1.297, Afro 216</t>
  </si>
  <si>
    <t>Incrementar en 5 % las mujeres gestantes que ingresan al control prenatal antes de la semana 12 de edad gestacional</t>
  </si>
  <si>
    <t>Porcentaje incrementado de las mujeres gestantes que ingresan al control prenatal antes de la semana 12 de edad gestacional</t>
  </si>
  <si>
    <t>Jambalo, La Vega, Rosas, Guachene, Cajibio, Villa Rica, Santander de Quilichao</t>
  </si>
  <si>
    <t>Oriente, Macizo, norte y Centro</t>
  </si>
  <si>
    <t>2350 gestantes</t>
  </si>
  <si>
    <t xml:space="preserve">1. Realizar dos jornadas de capacitación dirigida al personal de salud de la ESE e IPS en habilidades de comunicación para el fortalecimiento de acciones de canalización de mujeres antes de la semana 12 de gestación. 
2. Realizar un documento que describa los aspectos que facilitan y limitan el acceso de las gestantes antes de la semana 12 de gestación a los servicios de salud del municipio y establecer un plan de mejoramiento respecto de las limitaciones en el acceso y el fortalecimiento de los aspectos que facilitan la intervención, realizando la correspondiente evaluación. 
3. Realizar un seguimiento mensual  a las gestantes para identificar el trimestre de ingreso a los servicios de salud.
4. Implantar un plan para  identificación temprana de gestantes que fomente acciones relacionadas con la maternidad segura.  </t>
  </si>
  <si>
    <t>Poblacion mujeres: Indigena 179, Afro  170</t>
  </si>
  <si>
    <t>Disminuir a 61 por 1.000 la tasa específica de fecundidad en mujeres adolescentes de 15 a 19 años.</t>
  </si>
  <si>
    <t>Tasa especifica de fecundidad disminuida.</t>
  </si>
  <si>
    <t xml:space="preserve"> 73,74</t>
  </si>
  <si>
    <t xml:space="preserve">Implementar acciones en  27  municipios para promover el acceso a servicios integrales en SSR de la población de adolescentes y jóvenes. </t>
  </si>
  <si>
    <t>Número de municipios con acciones  para promover el acceso a servicios integrales en SSR  de la población de adolescentes y jóvenes implementadas</t>
  </si>
  <si>
    <t>Piendamo,Santander de Quilichao,Bordo,Bolivar,La vega Popayan</t>
  </si>
  <si>
    <t>Centro, Sur, Norte,Macizo</t>
  </si>
  <si>
    <t>24.058 mujeres  en edad de 15 a 19 años Dpto del cauca</t>
  </si>
  <si>
    <t>Realizar una caracterización de la poblaciòn de hombres y mujeres en edad fértil para establecer el conocimiento que se tiene  en el uso de métodos de planificación familiar en 10 municipios del Departamento.</t>
  </si>
  <si>
    <t>Municipios Piendamo,Santander de Quilichao,Bordo,Bolivar,La vega Popayan: Poblacion Indigena 75.343, Afro 100.289</t>
  </si>
  <si>
    <t xml:space="preserve">Implementar acciones en 37 municipios para  garantizar el acceso y la atención integral  en SSR para disminuir la proporción de adolescentes alguna vez embarazadas </t>
  </si>
  <si>
    <t xml:space="preserve">Número de municipios con acciones implementadas para  garantizar el acceso y la atención integral en SSR para disminuir la proporción de adolescentes alguna vez embarazadas </t>
  </si>
  <si>
    <t>Piendamo,Santander de Quilichao,Bordo,Bolivar,La vega, Popayan</t>
  </si>
  <si>
    <t>Realizar dos jornadas de sensibilizacion sobre el uso de metodos  de anticoncepcion dirigida poblacion  2. Realizar jornada se sensibilizacion de los derechos sexuales y reproductivos</t>
  </si>
  <si>
    <t>Incrementar al 15% el uso de métodos modernos de anticoncepción en todas las adolescentes de 15 a 19 años sexualmente activas</t>
  </si>
  <si>
    <t xml:space="preserve">Porcentaje incrementado del uso de métodos modernos de anticoncepción en todas las adolescentes de 15 a 19 años sexualmente activas </t>
  </si>
  <si>
    <t>Realizar jornadas de  movilizacion y sensibilizacion sobre el uso de metodos modernos de anticoncepcion dirigida poblacion escolarizada de 15 a 19 años.</t>
  </si>
  <si>
    <t>Aumentar a 80% el uso de métodos modernos de anticoncepción en mujeres en edad fértil (de 15 a 49 años).</t>
  </si>
  <si>
    <t>% De  mujeres en edad fértil (de 15 a 49 años), que usan métodos de anticoncepción modernos.</t>
  </si>
  <si>
    <t xml:space="preserve">Implementar acciones en los 42 municipios para aumentar el porcentaje de uso de métodos modernos de anticoncepción en mujeres de 15 a 49 años </t>
  </si>
  <si>
    <t>Número de municipios con acciones implementadas para aumentar el porcentaje de uso de métodos modernos de anticoncepción en mujeres de 15 a 49 años</t>
  </si>
  <si>
    <t>146.618 Mujeres y Hombres 148.055 en edades de 15 a 49 años del Dpto del Cauca</t>
  </si>
  <si>
    <t>Realizar dos jornadas de sensibilizacion sobre el uso de metodos modernos de anticoncepcion dirigida poblacion  de 15 a 49 años.</t>
  </si>
  <si>
    <t>Mantener la prevalencia de infección por VIH en menos de 1% en población de 15 a 49 años</t>
  </si>
  <si>
    <t xml:space="preserve">% De Prevalencia de infección por VIH  en población de 15 a 49 años </t>
  </si>
  <si>
    <t xml:space="preserve"> 0,06%</t>
  </si>
  <si>
    <t>Implementar acciones en los 21  municipios para mantener la prevalencia de infección por VIH en menos de 1% en población de 15 a 49 años</t>
  </si>
  <si>
    <t>Número de municipios con acciones para mantener la prevalencia de infección por VIH en menos de 1% en población de 15 a 49 años implementadas.</t>
  </si>
  <si>
    <t>Popayán, Santander, Puerto tejada,  Suarez, Timbio, Cajibio, Piendamo, Miranda, Buenos Aires, Caldono</t>
  </si>
  <si>
    <t xml:space="preserve">Centro, Macizo, Norte </t>
  </si>
  <si>
    <t>8000 gestantes</t>
  </si>
  <si>
    <t>1. Realizar una socializacion de  la ruta de atencion integral a pacientes con VIH dirigida a ESE e IPS del municipio.   
2. Realizar una reunión de articulacion con IPS, EPS; secretarias municipales de salud para la socializacion de la ruta, guias y protocolos de manejo del paciente con VIH.    
3. Realizar dos seguimientos (uno inicial y otro final) a las condiciones de accesibilidad a las rutas, guias y protocolos de manejo del paciente con VIH, al 100%  de las EAPB.                                                                                                                           
4. Realizar  una  Jornada de Promoción para la toma de la prueba voluntaria de VIH, dirigida a la comunidad en general.
5. Realizar un seguimiento al 100% de los pacientes reportados con prueba rapida de VIH  positiva, para asegurar la atención integral y oportuna en la IPS de referencia para pacientes con VIH.</t>
  </si>
  <si>
    <t>Poblacion mujeres:  indigena 50113, Afro  78.528</t>
  </si>
  <si>
    <t>Mantener  en el 7%  la transmisión materno infantil del VIH, sobre el número de niños expuestos.</t>
  </si>
  <si>
    <t>% De  la transmisión materno infantil del VIH, sobre el número de niños expuestos.</t>
  </si>
  <si>
    <t>Implementar en 21 municipios acciones para prevenir la transmisión materno infantil del VIH</t>
  </si>
  <si>
    <t>Número de municipios con acciones para prevenir la transmisión materno infantil del VIH implementadas</t>
  </si>
  <si>
    <t>Guapi, Popayan, Santander, Puerto tejada, Miranda, Caldono, El Tambo, Morales, Piendamo</t>
  </si>
  <si>
    <t xml:space="preserve">Costa Pacifica, Centro, Norte </t>
  </si>
  <si>
    <t>8695 gestantes</t>
  </si>
  <si>
    <t>1. Realizar un diagnóstico comunitario sobre factores de riesgo de las gestantes que permita generar estrategias de acuerdo a las necesidades específicas de la comunidad.  
2. Realizar tres seguimientos al 100%  de las gestantes diagnosticadas con VIH, en el puerperio y periodo de lactancia que viven en  zonas rurales  de difícil acceso, por medio del componente comunitario.</t>
  </si>
  <si>
    <t>Municipios Guapi, Popayan, Santander, Puerto tejada, Miranda, Caldono, El Tambo, Morales, Piendamo; poblacion mujeres:  indigena 50113, Afro  78.528</t>
  </si>
  <si>
    <t>Mantener en 3.14  casos por x 1.000  nacidos vivos o menos, incluidos los mortinatos,   la incidencia de sífilis congénita.</t>
  </si>
  <si>
    <t>Tasa de incidencia de sífilis congénita mantenida.</t>
  </si>
  <si>
    <t xml:space="preserve"> 3,14</t>
  </si>
  <si>
    <t>Implementar en 21 municipios estrategias para mantener la incidencia de sífilis congénita en 3.14 casos por x 1.000 nacidos vivos o menos (incluidos los mortinatos)</t>
  </si>
  <si>
    <t>Número de municipios con estrategias para mantener la incidencia de sífilis congénita en 3.14 casos por x 1.000 nacidos vivos o menos implementadas (incluidos los mortinatos)</t>
  </si>
  <si>
    <t>Guapi, Mercaderes, La Vega, Almaguer, Paez, Villa Rica, Lopez, Timbiqui, Silvia, Bolivar,  Popayán</t>
  </si>
  <si>
    <t>7377 gestantes</t>
  </si>
  <si>
    <t xml:space="preserve">1. Realizar una socializacion de   protocolos y guias de manejo de pacientes con Sifilis dirigida al personal de salud de las IPS del municipio de acuerdo a los lineamientos definidos por la SDSC. 
2. Realizar un seguimiento sobre las condiciones de acesibilidad con relacion a medios diagnosticos y tratamiento integral de gestantes diagnosticadas con sifilis y su compañero sexual. </t>
  </si>
  <si>
    <t>Municipios Guapi, Mercaderes, La Vega, Almaguer, Paez, Villa Rica, Lopez, Timbiqui, Silvia, Bolivar,  Popayán; Poblacion mujeres: Indigena 54.467, Afro 63.005</t>
  </si>
  <si>
    <t>Mantener la cobertura de tamización de Cáncer de Cuello Uterino (citología) en el 76% de la población objeto (mujeres entre los 25 a 69 años)</t>
  </si>
  <si>
    <t xml:space="preserve">Cobertura de tamización con citología </t>
  </si>
  <si>
    <t xml:space="preserve">Implementar en 21 municipios acciones para mantener la tamización de cáncer de cuello uterino (CACU) en el  76%) </t>
  </si>
  <si>
    <t>Número de municipios con acciones para mantener la tamización de cáncer de cuello uterino (CACU) en el  76%) implementadas</t>
  </si>
  <si>
    <t>Suarez, ,La Sierra,EL Tambo,Bolivar.Rosas</t>
  </si>
  <si>
    <t>Norte ,Macizo, Centro,   Sur.</t>
  </si>
  <si>
    <t>338.158 Mujeres de 25 a 69 años Dpto cauca</t>
  </si>
  <si>
    <t>1. Realizar coordinación intersectorial e interinstitucional para el desarrollo de una jornada municipal de salud para la prevención de cáncer de cuello uterino.2 El proceso de articulación se debe hacer con todas las EPS a cargo de la población del Municipio</t>
  </si>
  <si>
    <t>Municipios SUAREZ,LA SIERRA,EL TAMBO,BOLIVAR.ROSAS; Población mujeres: Indigena 6.122, Afro 7.031</t>
  </si>
  <si>
    <t>Implementar en un 80% en las IPS publicas, privadas e indígenas, el protocolo de atención integral en salud para victimas violencia sexual</t>
  </si>
  <si>
    <t>%  De las IPS publicas, privadas e indígenas del  protocolo de atención integral en salud para victimas violencia sexual implementado.</t>
  </si>
  <si>
    <t>Implementar en 21 municipios el Protocolo de Atención Integral en Salud para Victimas Violencia Sexual</t>
  </si>
  <si>
    <t>Número de municipios con el Protocolo de Atención Integral en Salud para Victimas Violencia Sexual</t>
  </si>
  <si>
    <t xml:space="preserve">Morales, La Sierra, Toribio, Timbio, Inza </t>
  </si>
  <si>
    <t xml:space="preserve">Centro, Macizo, Norte, Oriente </t>
  </si>
  <si>
    <t xml:space="preserve">133243 hombres y mujeres en edades desde los 0 hasta los 90 años </t>
  </si>
  <si>
    <t>Realizar una socializacion del protocolo de atencion integral en salud a victimas de violencia sexual al personal de salud de las IPS del municipio de acuerdo a los lineamientos definidos por la SDSC, para verificar el 100% de su implementacion en la IPS .</t>
  </si>
  <si>
    <t>Poblacion Indigena 368.930 y  Afro 349.441</t>
  </si>
  <si>
    <t xml:space="preserve"> Incrementar en  un 30 % de los municipios    espacios transectoriales y comunitarios en donde se coordine la promoción y garantía de los derechos sexuales y reproductivos así mismo una mesa departamental de promoción de los derechos sexuales y reproductivos</t>
  </si>
  <si>
    <t xml:space="preserve">  % De   municipios  con  espacios transectoriales y comunitarios en donde se coordine la promoción y garantía de los derechos sexuales y reproductivos así mismo una mesa departamental de promoción de los derechos sexuales y reproductivos incrementados.</t>
  </si>
  <si>
    <t>Conformar en 14 municipios un espacio transectorial y comunitario que coordine la promoción y garantía de los derechos sexuales y reproductivos y  una mesa de promoción de los derechos sexuales y reproductivos</t>
  </si>
  <si>
    <t xml:space="preserve">Número de municipios con un espacio transectorial y comunitario que coordine la promoción y garantía de los derechos sexuales y reproductivos y  una mesa de promoción de los derechos sexuales y reproductivos conformada </t>
  </si>
  <si>
    <t xml:space="preserve">Santander de Quilichao, la vega, Guapi, Silvia </t>
  </si>
  <si>
    <t xml:space="preserve">Norte, Costa Pacifica, Centro, Macizo </t>
  </si>
  <si>
    <t>61237 mujeres en edad fertil (10 a 49 años) y 77732 hombres en edad fertil (10 a 69 años)</t>
  </si>
  <si>
    <t>1. Realizar dos reuniones intersectoriales que incluya a organizaciones y redes de mujeres, Jóvenes, grupos étnicos, EAPB, IPS y Secretarias Municipales de Salud (SMS) para socializar las acciones relacionadas con los derechos sexuales y reproductivos 2.Conformar mesa de promoción y garantia  de los derechos sexuales y reproductivos, mediante acto administrativo 3.</t>
  </si>
  <si>
    <t>Municipios Santander de Quilichao, la vega, Guapi, Silvia; Poblacion Indigena 57.063, Afro 56.964</t>
  </si>
  <si>
    <t>Mantener la tasa de violencia sexual  en 37,1  y de violencia intrafamiliar en 65,1</t>
  </si>
  <si>
    <t>Tasa de violencia sexual y de violencia intrafamiliar mantenida</t>
  </si>
  <si>
    <t>37.1 y 65.1</t>
  </si>
  <si>
    <t>Implementar en 21 Municipios los  Comités Interinstitucionales Municipales para la prevención de la violencia sexual, violencias de género y atención integral de los niños, niñas y adolescentes víctimas de abuso sexual, y  el Comité Interinstitucional Consultivo Departamental para la prevención de la violencia sexual, violencias de género y atención integral de los niños, niñas y adolescentes víctimas de abuso sexual  con Rutas Municipales de Atención Victimas Violencia Sexual</t>
  </si>
  <si>
    <t xml:space="preserve">Número de municipios con los  Comités Interinstitucionales Municipales para la prevención de la violencia sexual, violencias de género y atención integral de los niños, niñas y adolescentes víctimas de abuso sexual, y  el Comité Interinstitucional Consultivo Departamental para la prevención de la violencia sexual, violencias de género y atención integral de los niños, niñas y adolescentes víctimas de abuso sexual  con Rutas Municipales de Atención Victimas Violencia Sexual implementados </t>
  </si>
  <si>
    <t xml:space="preserve">Piendamo, Sotara,guapi, Timbiqui, caldono </t>
  </si>
  <si>
    <t xml:space="preserve">Centro, costa pacifica, y norte </t>
  </si>
  <si>
    <t xml:space="preserve">147190 hombres y mujeres en edades desde los 0 hasta los 90 años </t>
  </si>
  <si>
    <t xml:space="preserve">1.Realizar dos reuniones para establecer la operatividad de las rutas de atencion intersectorial a victimas de violencia sexual 2.Realizar un documento que describa la operatividad de las rutas de atencion integral a victimas de violencia sexual. 3.Establecer los Comités Interinstitucionales Municipales para la prevención de la violencia sexual, violencias de género y atención integral de los niños, niñas y adolescentes víctimas de abuso sexual. </t>
  </si>
  <si>
    <r>
      <t>Reducir en un 5</t>
    </r>
    <r>
      <rPr>
        <strike/>
        <sz val="11"/>
        <color theme="1"/>
        <rFont val="Calibri"/>
        <family val="2"/>
        <scheme val="minor"/>
      </rPr>
      <t xml:space="preserve">% </t>
    </r>
    <r>
      <rPr>
        <sz val="11"/>
        <color rgb="FF000000"/>
        <rFont val="Calibri"/>
        <family val="2"/>
      </rPr>
      <t xml:space="preserve">la mortalidad  por cáncer de cuello uterino </t>
    </r>
  </si>
  <si>
    <t>Tasa de mortalidad por cáncer de cuello uterino reducida.</t>
  </si>
  <si>
    <t xml:space="preserve">4.4 X 100.000 mujeres </t>
  </si>
  <si>
    <t>Tamizar 77.438 mujeres de 25 a 65 años en condición de vulnerabilidad a través del cotest ( citología liquida* ADN-VPH) en 12 municipios del departamento</t>
  </si>
  <si>
    <t xml:space="preserve">Número de mujeres entre 25 a 65 años  a través  del cotest ( citología liquida+ADN-VPH) en 12 municipios tamizadas </t>
  </si>
  <si>
    <t>13.066 mujeres año 1 y 2 ( 2014-2015)</t>
  </si>
  <si>
    <t>Dimension 5: Sexualidad Derechos Sexuales y Reproductivos</t>
  </si>
  <si>
    <t>Buenos Aires, Corinto, Guachene, Puerto Tejada, Santander de Quilichao, Piendamo, El Tambo, Totoro, Patia, San Sebastian, Florencia y Paez</t>
  </si>
  <si>
    <t>Norte, Centro, Macizo y Oriente</t>
  </si>
  <si>
    <t xml:space="preserve">10.005 mujeres en situacion de vulnerabilidad entre 25 y 65 años de los doce municipios e indirectamente </t>
  </si>
  <si>
    <t>Estrategia de capacitaciòn para el talento humano involucrado en el programa en los doce municipios, apoyo a la gestiòn intersectorial para mejorar el desarrollo social, identificaciòn y tamizaciòn de la poblaciòn a riesgo de la zona urbana y rural de los doce municipios, estrategia de informaciòn, educaciòn y comunicaciòn en salud sexual y reproductiva en los doce municipios, modelo de monitoreo, seguimiento y evaluaciòn para el programa, red intersectorial para la prevenciòn y control de cancer de cuello uterino.</t>
  </si>
  <si>
    <t>ADRIANA RODRIGUEZ GOMEZ - Profesional Especializado Área de Gestión en Salud Pública.</t>
  </si>
  <si>
    <t>La  meta de Producto  fue calculada  para el cuatrienio, pero solo se  asignaron recursos por parte de la Gobernacion de SGR para dos años de este Plan de Desarrollo por lo tanto la meta de 77.438 tamizajes disminuye a :22.511, en el año 2016 se proyecto efectuar 12506 tamizajes y en el año 2017 10005 La meta de tamizaciòn a traves del cotest para el año 2017 de ejecuciòn será de 10.005  y no de 64.932 .</t>
  </si>
  <si>
    <t>Reducir en un  5%  las muertes por TB</t>
  </si>
  <si>
    <t>% De  las muertes por TB reducidas.</t>
  </si>
  <si>
    <t>2,2  muertes por 100,000 habitantes</t>
  </si>
  <si>
    <t xml:space="preserve">Vida saludable y enfermedades  transmisibles  </t>
  </si>
  <si>
    <t>Contribuir a la reducción de la carga de las Enfermedades Transmitidas por Vectores ETV (Malaria, Dengue, Leishmaniasis, Enfermedad de Chagas), producto de su discapacidad, mortalidad y morbilidad, que afecta a la población colombiana, a través de la implementación, monitoreo, evaluación y seguimiento de la estrategia de gestión integral para las ETV, así mismo como Reducir la carga de enfermedades transmitidas por vía aérea y de contacto directo, como la Tuberculosis, Enfermedad de Hansen, mediante acciones promocionales, gestión del riesgo y acciones intersectoriales basado en el modelo integral en salud. (captación 60%,deteccion 30% y  lograr  un éxito terapéutico del  85%)</t>
  </si>
  <si>
    <t>Captar el  60% de sintomáticos respiratorios reales</t>
  </si>
  <si>
    <t>Porcentaje de   sintomáticos respiratorios captados</t>
  </si>
  <si>
    <t xml:space="preserve">Dimension 6:Vida saludable y enfermedades  transmisibles  </t>
  </si>
  <si>
    <t>(Norte, Sur, Oriente, Pacífico, Macizo, Centro, Bota Caucana)</t>
  </si>
  <si>
    <t>Sintomaticos respiratorios captados (Formato de indicadores de captacion del  Ministerio de Salud y Proteccion Social.)</t>
  </si>
  <si>
    <t xml:space="preserve">Aumentar al 30% la detección   de BK positivos </t>
  </si>
  <si>
    <t>Porcentaje de detección de tuberculosis BK positiva aumentada</t>
  </si>
  <si>
    <t>Personas diagnosticadas mediante Baciloscopia positiva, base de datos e informe trimestral enviado   al Ministerio de Salud y proteccion social</t>
  </si>
  <si>
    <t xml:space="preserve">lograr  un éxito terapéutico del  85% de personas con enfermedad de tuberculosis </t>
  </si>
  <si>
    <t>Porcentaje de éxito terapéutico de personas con enfermedad de tuberculosis logrado.</t>
  </si>
  <si>
    <t xml:space="preserve">Informe trimestral de Cohortes(Analisis Base de datos de pacientes curados y con tratamientos terminados) </t>
  </si>
  <si>
    <t>Implementar  al 100%  programa que contenga  líneas de acción del Plan de eliminación de Tuberculosis post 2015, normas técnicas, guías de atención integral para aliviar la carga y sostener las actividades de control en TB</t>
  </si>
  <si>
    <t>Porcentaje del  programa que contenga  líneas de acción del Plan de eliminación de Tuberculosis post 2015, normas técnicas, guías de atención integral para aliviar la carga y sostener las actividades de control en TB implementado</t>
  </si>
  <si>
    <t>Documento, plan de eliminación de la tuberculosis post 2015</t>
  </si>
  <si>
    <t xml:space="preserve">Mantener a una tasa de 0.15 casos por 100.000 la discapacidad severa por Enfermedad de Hansen (lepra)  entre los casos nuevos con discapacidad grado 2 </t>
  </si>
  <si>
    <t>No  De casos de discapacidad severa por  lepra disminuidos.</t>
  </si>
  <si>
    <t>0,15 casos de discapacidad severa por lepra por 100,000 habitantes</t>
  </si>
  <si>
    <t xml:space="preserve">Mantener a menos de 1x10.000 habitantes la prevalencia de lepra </t>
  </si>
  <si>
    <t xml:space="preserve">Número de casos de lepra 10.000 habitantes </t>
  </si>
  <si>
    <t>Número de casos diagnosticados y notificados al SIVIGILA</t>
  </si>
  <si>
    <t xml:space="preserve">Reducir  a una tasa mediana de incidencia menor de 60 casos por 100.000 habitantes.  progresivamente la morbilidad por dengue (10%) a una tasa mediana de incidencia menor de 60 casos por 100.000 habitantes. </t>
  </si>
  <si>
    <t>% De  la morbilidad por dengue reducida.</t>
  </si>
  <si>
    <t xml:space="preserve">Línea de base: tasa mediana 2003 – 2013 de 67.09 casos por 100.000 </t>
  </si>
  <si>
    <t>Mantener  en el 100%  en   los Municipios con  mayor riesgo   acciones regulares para la prevención de  dengue, Zika y chikunguña</t>
  </si>
  <si>
    <t xml:space="preserve">Porcentaje mantenido de  Municipios  con  mayor riesgo  con acciones regulares para la prevención de  dengue, Zika y chikunguña </t>
  </si>
  <si>
    <t>Argelia, Buenos Aires, Caloto, Corinto, El Tambo, Florencia, Guachene, Guapi, Lopez de Micay, Mercaderes, Miranda, Padilla, Paez, Patia, Puerto Tejada, Santander de Quilichao, Suarez, Timbiqui, y Villarica</t>
  </si>
  <si>
    <t>Sur - Costa Pacifica - Norte</t>
  </si>
  <si>
    <t>Municipios a mayor riesgo para ETV con implementacion de acciones regulares para la prevención de  dengue, Zika y chikunguña</t>
  </si>
  <si>
    <t>Anderson Piamba - Profesional Universitario</t>
  </si>
  <si>
    <t>Poblacion 303.017</t>
  </si>
  <si>
    <t xml:space="preserve">Reducir en un 20%  progresivamente la morbilidad por malaria en las áreas endémicas del Cauca. (Meta departamental 847 casos en 2012-2021). </t>
  </si>
  <si>
    <t>% De  la morbilidad por malaria reducida.</t>
  </si>
  <si>
    <t xml:space="preserve">Línea base 2002-2011 = 1.987 casos). </t>
  </si>
  <si>
    <t xml:space="preserve">Mantener en el 100% de las viviendas en las localidades focalizadas de los Municipios de Guapi, Timbiqui y López de Micay la distribución de toldillos </t>
  </si>
  <si>
    <t xml:space="preserve">Porcentaje de las viviendas en las localidades focalizadas de los Municipios de Guapi, Timbiqui y López de Micay con distribución de toldillos </t>
  </si>
  <si>
    <t xml:space="preserve"> Guapi, Timbiqui y López de Micay </t>
  </si>
  <si>
    <t xml:space="preserve">Costa pacifica </t>
  </si>
  <si>
    <t>Informe tecnico con el numero de viviendas con cobertura de toldillos - TILD</t>
  </si>
  <si>
    <t>Poblacion 46.487</t>
  </si>
  <si>
    <t>Adoptar en un  100%  en la Secretaría de Salud del Cauca  la EGI ETV para los municipios a riesgo para las ETV</t>
  </si>
  <si>
    <t>%   En la Secretaría de Salud del Cauca  de  la EGI ETV para los municipios a riesgo para las ETV adoptada.</t>
  </si>
  <si>
    <t>Adoptar en un 100% en las DTS  estrategia EGI para las ETV según pertinencia epidemiológica</t>
  </si>
  <si>
    <t>Porcentaje de la  estrategia EGI  en las DTS para las ETV según pertinencia epidemiológica adoptada</t>
  </si>
  <si>
    <t>Popayan, Villarica, Miranda, Puerto Tejada y Santander de Quilichao</t>
  </si>
  <si>
    <t>Centro - Norte</t>
  </si>
  <si>
    <t>Documento EGI departamental estructurado, adaptado y con seguimiento a su ejecucion.</t>
  </si>
  <si>
    <t>Poblacion 214.077</t>
  </si>
  <si>
    <t>Alcanzar el 95% o mas de cobertura en los biológicos que hacen parte del esquema nacional</t>
  </si>
  <si>
    <t>%De cobertura de vacunación en menores de 1 año alcanzada</t>
  </si>
  <si>
    <t xml:space="preserve">Incrementar al 95% las coberturas de vacunación en menores de 1 año </t>
  </si>
  <si>
    <t xml:space="preserve">Porcentaje incrementado de coberturas útiles de vacunación en menores de 1 año </t>
  </si>
  <si>
    <t>Piedemonte, sur, costa pacìfica, norte, macizo, centro</t>
  </si>
  <si>
    <t>Coberturas ùtiles de vacunación en los niños menores de 1 año</t>
  </si>
  <si>
    <t>22,448 niños menores de 1 año. Meta programática</t>
  </si>
  <si>
    <t>% De cobertura de vacunación en menores de 1 año alcanzada.</t>
  </si>
  <si>
    <t xml:space="preserve">Incrementar al 95% las coberturas de vacunación en niños de 1 año </t>
  </si>
  <si>
    <t>Porcentaje de Coberturas útiles de vacunación en niños de un 1 año incrementadas</t>
  </si>
  <si>
    <t>92.1%</t>
  </si>
  <si>
    <t>Coberturas ùtiles de vacunación en los niños  de 1 año</t>
  </si>
  <si>
    <t>23,092 niños de 1 año. Meta programática</t>
  </si>
  <si>
    <t xml:space="preserve">Mantener en ceros los casos de  poliomielitis, sarampión, rubéola, síndrome de rubéola congénita y el tétanos neonatal </t>
  </si>
  <si>
    <t>No. de casos de poliomielitis  sarampión, rubéola, síndrome de rubéola congénita y el tétanos neonatal  mantenidos.</t>
  </si>
  <si>
    <t xml:space="preserve">Mantener la erradicación de la  poliomielitis, y consolidar la eliminación del sarampión, rubéola, síndrome de rubéola congénita y el tétanos neonatal </t>
  </si>
  <si>
    <t>Tasas de morbilidad por sarampión, rubéola, síndrome de rubéola congénita y el tétanos neonatal</t>
  </si>
  <si>
    <t xml:space="preserve">Cero casos de poliomielitis, sarampión, rubéola, síndrome de rubéola congénita y el tétanos neonatal  </t>
  </si>
  <si>
    <t>68.995 niños menores de 5 años. Meta programática</t>
  </si>
  <si>
    <t>Controlar la incidencia de casos de fiebre amarilla, difteria, tosferina, tuberculosis meníngea, hepatitis A y B, neumococo, hemophilus influenza tipo B, diarreas por rotavirus, parotiditis e influenza</t>
  </si>
  <si>
    <t>% De incidencia de  Casos  de fiebre amarilla, difteria, tosferina, tuberculosis meníngea, hepatitis A y B, neumococo, hemophilus influenza tipo B, diarreas por rotavirus, parotiditis e influenza controlados</t>
  </si>
  <si>
    <t xml:space="preserve">Mantener en 0.08 las Tasas de morbilidad por fiebre amarilla, difteria, tosferina, tuberculosis meníngea, hepatitis A y B, neumococo, haemophillus influenza tipo B, diarreas por rotavirus, parotiditis e influenza </t>
  </si>
  <si>
    <t xml:space="preserve">Tasas de morbilidad por fiebre amarilla, difteria, tosferina, tuberculosis meníngea, hepatitis A y B, neumococo, haemophillus influenza tipo B, diarreas por rotavirus, parotiditis e influenza </t>
  </si>
  <si>
    <t>0,08</t>
  </si>
  <si>
    <t>Mantener la incidencia de  fiebre amarilla, difteria, tosferina, tuberculosis meníngea, hepatitis A y B, neumococo, hemophilus influenza tipo B, diarreas por rotavirus, parotiditis e influenza</t>
  </si>
  <si>
    <t>Disminuir la tasa de  mortalidad por  IRA en niños menores de 5 años.</t>
  </si>
  <si>
    <t>Tasa de mortalidad por 100.000 menores de 5 años disminuida.</t>
  </si>
  <si>
    <t>10.6 muertes por cada a 100.000 menores de 5 años</t>
  </si>
  <si>
    <t>Mantener en 4.5 la tasa de mortalidad por Neumonía en menores de 5 años en 4,5 por 100000 menores de 5 años.</t>
  </si>
  <si>
    <t>Tasa de mortalidad por neumonía en menores de 5 años mantenida.</t>
  </si>
  <si>
    <t xml:space="preserve">4,5 </t>
  </si>
  <si>
    <t>cero casos de mortalidad por enfermedades inmunoprevenibles en menores de 5 años.</t>
  </si>
  <si>
    <t>22,448 niños menores de 1 año. 23,092 niños de 1 año y 23.668 niños de 5 años. Total: 69.202 niños de 0 a 5 ños. Meta programática</t>
  </si>
  <si>
    <t>Implementar en 37  municipios el componente comunitario  para la prevención y cuidado de los casos de IRA en el contexto de AIEPI. Difusión de los tres mensajes claves.</t>
  </si>
  <si>
    <t>Número de municipios con  el componente comunitario  para la prevención y cuidado de los casos de IRA en el contexto de AIEPI. Difusión de los tres mensajes claves implementado</t>
  </si>
  <si>
    <t>El tambo, Jambalo, Buenos Aires, Popayán, Caldono, Guapi, Corinto, Caloto, Suarez, Inza</t>
  </si>
  <si>
    <t>Norte, Costa, Centro, Oriente</t>
  </si>
  <si>
    <t xml:space="preserve">Componente comunitario de la Estrategia AIEPI.   Difusión de los tres mensajes claves </t>
  </si>
  <si>
    <t>INDIGENAS: 45.886    AFRO: 44.121</t>
  </si>
  <si>
    <t xml:space="preserve">Implementar en 16 municipios la modalidad sala ERA </t>
  </si>
  <si>
    <t xml:space="preserve">Número de municipios con la modalidad sala ERA implementados </t>
  </si>
  <si>
    <t>Popayán, Guapi, Caldono, Caloto</t>
  </si>
  <si>
    <t>Centro, Costa, Norte</t>
  </si>
  <si>
    <t>Sala ERA implementadas</t>
  </si>
  <si>
    <t>INDIGENAS: 30.646      AFRO: 29.486</t>
  </si>
  <si>
    <t>Implementar en los 42 municipios el programa nacional de prevención, manejo y control de la infección respiratoria aguda (IRA) en menores de 5 años en articulación con EPS, Secretarias de Salud Municipal y ESE del Departamento. (Tasa de mortalidad por IRA 10.6 por cada 100.000 menores de 5 años)</t>
  </si>
  <si>
    <t>Número de municipios con del programa nacional de IRA en EAPB, ESE Y SSM implementado</t>
  </si>
  <si>
    <t>Programa implementado de prevención, manejo y control de la infección respiratoria aguda (IRA) en menores de 5 años en articulación con EPS, Secretarias de Salud Municipal y ESE del Departamento</t>
  </si>
  <si>
    <t>Reducir la mortalidad por enfermedades inmunoprevenibles en menores de 5 años.</t>
  </si>
  <si>
    <t>% De la  mortalidad por enfermedades inmunoprevenibles en menores de 5 años reducida.</t>
  </si>
  <si>
    <t>Mantener en cero los casos de PFA en menores de 15 años en el cuatrienio</t>
  </si>
  <si>
    <t>Número de casos de  PFA (poliomielitis) en menores de 15 años mantenidos.</t>
  </si>
  <si>
    <t>Reducir la morbilidad por enfermedades desatendidas</t>
  </si>
  <si>
    <t>% De  la  morbilidad por enfermedades  desentendidas reducidas.</t>
  </si>
  <si>
    <t>Implementar en 10 municipios el plan  integral e interprogramático  para la prevención, control y eliminación de las enfermedades infecciosas desatendidas</t>
  </si>
  <si>
    <t>Número de municipios  con el plan  integral e interprogramático  para la prevención, control y eliminación de las enfermedades infecciosas desatendidas implementado</t>
  </si>
  <si>
    <t>7 (Norte, Sur, Oriente, Pacífico, Macizo, Centro y Piedemonte)</t>
  </si>
  <si>
    <t xml:space="preserve"> municipios  con el plan  integral e interprogramático  para la prevención, control y eliminación de las enfermedades infecciosas desatendidas implementado</t>
  </si>
  <si>
    <t xml:space="preserve">Giovanni aparaez -Profesional Especializado-Area Salud ambiental </t>
  </si>
  <si>
    <t>Fortalecer en el 80% la articulación del Centro Regulador de Urgencias, Emergencias y Desastres del Departamento con el Sistema de Emergencias Medicas Red Publica y Privada.</t>
  </si>
  <si>
    <t>% De articulación del Centro Regulador de Urgencias, Emergencias y Desastres del Departamento fortalecido.</t>
  </si>
  <si>
    <t>Salud Pública ante Emergencias y Desastres</t>
  </si>
  <si>
    <t>Apoyar técnicamente el Centro Regulador de Urgencias y Emergencias como herramienta de Planificación, organización y toma de decisiones con el fin de apoyar la gestión de la operación de la red de la prestación de los servicios.</t>
  </si>
  <si>
    <t>Asesorar al 100% de la Red Hospitalaria del Departamento del Cauca  en la identificación de riesgos, vulnerabilidad y amenazas ante eventos adversos antrópicos e inotrópicos y enfermedades de interés en salud publica, acompañamiento y asesoría en la verificación de Índice de Seguridad Hospitalaria</t>
  </si>
  <si>
    <t>Porcentaje de la Red Hospitalaria del Departamento del Cauca  en la identificación de riesgos, vulnerabilidad y amenazas ante eventos adversos antrópicos e inotrópicos y enfermedades de interés en salud publica, acompañamiento y asesoría en la verificación de Índice de Seguridad Hospitalaria asesorada.</t>
  </si>
  <si>
    <t>Dimension 7: Salud Pública ante Emergencias y Desastres</t>
  </si>
  <si>
    <t>Piedemonte, Oriente, Sur, Costa Pacifica, Norte, Macizo, Centro</t>
  </si>
  <si>
    <t>Planes de Contingencia y Mitigacion de riesgo</t>
  </si>
  <si>
    <t>Oscar Eduardo angola lasso</t>
  </si>
  <si>
    <t>Efectuar en el 100 % de la Red Publica   el levantamiento del  Índice de Seguridad Hospitalaria.</t>
  </si>
  <si>
    <t>Porcentaje de la Red Pública con levantamiento del Índice de Seguridad Hospitalaria  efectuada.</t>
  </si>
  <si>
    <t>Documento de Verificacion de riesgo de vulnerabilidad  en las instituciones de salud  (Indice de Seguridad Hospitalaria:Proceso Estructutral, No Estructural  y Funcional)</t>
  </si>
  <si>
    <t>Capacitar en 100% las  Secretarias De Salud Municipales y  Comités Municipales de Gestión del Riesgo   en planes preventivos de mitigación y superación de las emergencias y desastres que queden inmersos dentro de los Planes de Ordenamiento Territorial</t>
  </si>
  <si>
    <t>Porcentaje de Secretarias De Salud Municipales y  Comités Municipales de Gestión del Riesgo   en planes preventivos de mitigación y superación de las emergencias y desastres que queden inmersos dentro de los POT capacitadas.</t>
  </si>
  <si>
    <t>Documento Plan  Municipal de Gestion del Riesgo (Conocimiento y reduccion del riesgo en el antes, durante y despues de la emergencia)</t>
  </si>
  <si>
    <t>Articular en el 100% el Centro Regulador de Urgencias y Emergencias CRUE  con la Red Nacional de Bancos de Sangre y Servicios Transfusionales.</t>
  </si>
  <si>
    <t>Porcentaje de   Centro Regulador de Urgencias y Emergencias CRUE  con la Red Nacional de Bancos de Sangre y Servicios Transfusionales articulado.</t>
  </si>
  <si>
    <t>Reporte diario de verificacion de unidades disponibles en sangre (Registro en plantilla CRUE-CAUCA)</t>
  </si>
  <si>
    <t>Capacitar en un 100% el  Personal Sanitario de la Red Publica y Privada del Departamento del Cauca con verificación, control, seguimiento, autorización  del uso del emblema de Misión Medica  para la ejecución de las actividades y atención integral de la salud.</t>
  </si>
  <si>
    <t>Porcentaje del  Personal sanitario de la Red Publica y Privada del Departamento del Cauca con verificación, control, seguimiento, autorización  del uso del emblema de Misión Medica  para la ejecución de las actividades y atención integral de la salud capacitados.</t>
  </si>
  <si>
    <t>Registro y carnetización  con el emblema de mision medica del personal sanitario en las instituciones de salud.</t>
  </si>
  <si>
    <t>Reubicación en un 100% del Centro Regulador de Urgencias y Emergencias  en cumplimiento a la normatividad vigente.</t>
  </si>
  <si>
    <t>Porcentaje del Centro Regulador de Urgencias y Emergencias  en cumplimiento a la normatividad vigente reubicado.</t>
  </si>
  <si>
    <t>En producto de la Construccion -Reubicacion del CRUE se tendra probablemente al final d ela vigencia de este periodo Gubernamental.</t>
  </si>
  <si>
    <t>Lograr que un 50% las Entidades territoriales respondan con eficacia a las emergencias y desastres que enfrenten.</t>
  </si>
  <si>
    <t>Porcentaje de las Entidades territoriales que responden con eficacia a las emergencias y desastres que enfrenten</t>
  </si>
  <si>
    <t>Articulacion con la Red  Hospitalaria de Urgencias y Ermergencias de las instituciones de la Baja, Mediana y alta  Complejidad.</t>
  </si>
  <si>
    <t xml:space="preserve">Fortalecer en un 100% la Instancia de gestión intersectorial  de la dimensión salud y ámbito laboral, para el cumplimiento de sus dos componentes: Seguridad y Salud en el trabajo y situaciones prevalentes de origen laboral  </t>
  </si>
  <si>
    <t>% De instituciones públicas del sector salud que adoptan la dimensión salud y ámbito laboral con sus dos componentes fortalecidos.</t>
  </si>
  <si>
    <t>Salud y ámbito laboral</t>
  </si>
  <si>
    <t>Ampliar la cobertura en el Sistema general de riesgos laborales y Gestionar a nivel intersectorial que las Instituciones públicas del sector salud adopten la dimensión salud y ámbito laboral con sus dos componentes</t>
  </si>
  <si>
    <t>Adoptar en el 100% de las Instituciones públicas del sector salud  la dimensión salud y ámbito laboral con sus dos componentes</t>
  </si>
  <si>
    <t>Porcentaje de  las Instituciones públicas del sector salud  con a dimensión salud y ámbito laboral con sus dos componentes adoptada.</t>
  </si>
  <si>
    <t>Dimension 8: Salud y ámbito laboral</t>
  </si>
  <si>
    <t>Bolivar, Baloboa, Villa Rica, Padilla, Rosas, Sotara, Morales, Silvia, Paez, Totoro</t>
  </si>
  <si>
    <t xml:space="preserve">Norte, Sur, Oriente,Centro </t>
  </si>
  <si>
    <t>Instituciones públicas del sector salud  con a dimensión salud y ámbito laboral con sus dos componentes adoptada.</t>
  </si>
  <si>
    <t>Afro ( masculino: 25.310 Femenino: 23.928)  Indigenas  (Femenino: 46.651 Masculino: 50.163).</t>
  </si>
  <si>
    <t xml:space="preserve">Incrementar  en un  5% la cobertura del sistema general de riesgos profesionales </t>
  </si>
  <si>
    <t>% De  la cobertura en riesgos profesionales comparada con el periodo anterior incrementada.</t>
  </si>
  <si>
    <t>Desarrollar  32  muestreos para la caracterización de salud y de riesgos laborales de la población informal según el formato de la encuesta nacional de salud del MSPS</t>
  </si>
  <si>
    <t>Número de  muestreos para la caracterización de salud y de riesgos laborales de la población informal según el formato de la encuesta nacional de salud del MSPS desarrollados</t>
  </si>
  <si>
    <t>caracterización de salud y de riesgos laborales de la población informal según el formato de la encuesta nacional de salud del MSPS desarrollados</t>
  </si>
  <si>
    <t xml:space="preserve">Implementar  en 32  municipios acciones de sensibilización y de gestión en salud publica para la mitigación de riesgos laborales de la población informal </t>
  </si>
  <si>
    <t>Número de  municipios con  acciones de sensibilización y de gestión en salud publica para la mitigación de riesgos laborales de la población informal implementadas.</t>
  </si>
  <si>
    <t>municipios con  acciones de sensibilización y de gestión en salud publica para la mitigación de riesgos laborales de la población informal implementadas.</t>
  </si>
  <si>
    <t>Fortalecer en un 50% las estrategias de Información , Educación y Comunicación con inclusión de toda la comunidad</t>
  </si>
  <si>
    <t>% De  las estrategias de Información , Educación y Comunicación con inclusión de toda la comunidad fortalecidas.</t>
  </si>
  <si>
    <t>Gestión diferencial de poblaciones vulnerables</t>
  </si>
  <si>
    <t>Fomentar el desarrollo de capacidades socio institucionales y comunitaria para atender los determinantes particulares que conllevan a inequidades sociales y sanitarias en poblaciones diferenciales y vulnerables.</t>
  </si>
  <si>
    <t>Implementar en un 45%  de municipios la estrategia de Rehabilitación Basada en Comunidad RBC, como un proceso de desarrollo local inclusivo, de carácter intersectorial</t>
  </si>
  <si>
    <t>Porcentaje de la estrategia de Rehabilitación Basada en Comunidad RBC, como un proceso de desarrollo local inclusivo, de carácter intersectorial implementada.</t>
  </si>
  <si>
    <t>Dimension 9: Gestión diferencial de poblaciones vulnerables</t>
  </si>
  <si>
    <t>Cajibio, Caldono, Puerto Tejada,  Toribio, Villa Rica, Guapi</t>
  </si>
  <si>
    <t>Sur, norte, oriente, Centro</t>
  </si>
  <si>
    <t>Municipios con estrategia RBC implementada</t>
  </si>
  <si>
    <t>Poblacion afro: 4.901 , poblacion indigena: 2.510</t>
  </si>
  <si>
    <t>Formular en un 100% una estrategia de sensibilización y capacitación en humanización de los servicios de salud prestados a las personas mayores</t>
  </si>
  <si>
    <t>Porcentaje de una estrategia de sensibilización y capacitación en humanización de los servicios de salud prestados a las personas mayores formulada</t>
  </si>
  <si>
    <t>Sur, norte, oriente, Centro, piedemonte, costa pacifica</t>
  </si>
  <si>
    <t>Estrategia de humanizacion formulada</t>
  </si>
  <si>
    <t>Adultos mayores 18.549</t>
  </si>
  <si>
    <t>Mantener en un 100%  la cobertura  de Secretarías de Salud  Municipales   y  ESE con  implementación de procesos de IEC para las dimensiones priorizadas</t>
  </si>
  <si>
    <t>Porcentaje de las Secretarías de Salud Municipales  Y ESE con  procesos de IEC para las dimensiones priorizadas implementados.</t>
  </si>
  <si>
    <t>52% ( 22 municipios)</t>
  </si>
  <si>
    <t xml:space="preserve">Sucre, Mercaderes, Florencia, Almaguer, Balboa Santander de Quilichao,  Timbio, Rosas, Corinto, Sotara, Caldono, Guapi, Inzá, Puerto Tejada, Paez, Bolívar, Silvia, Piendamo, ,  la Vega, Villa Rica, La Sierra, Popayan
</t>
  </si>
  <si>
    <t>Sur, norte, oriente, Centro, costa pacifica</t>
  </si>
  <si>
    <t>municipios con estrategia IEC implementada</t>
  </si>
  <si>
    <t xml:space="preserve">Poblacion afro: 122.092, poblacion indigena: 47.361, </t>
  </si>
  <si>
    <t>Difundir en 10 municipios  mensajes saludables con enfoque diferencial</t>
  </si>
  <si>
    <t>Número de municipios con  mensajes saludables con enfoque diferencial difundidos</t>
  </si>
  <si>
    <t xml:space="preserve">Mercaderes,  Almaguer,  Santander de Quilichao,   Sotara, Puerto Tejada, Patia, Villa Rica  Piendamo,   la Vega, Gauchene
</t>
  </si>
  <si>
    <t>Sur, norte,  Centro</t>
  </si>
  <si>
    <t xml:space="preserve">Mensajes saludables, con enfoque  diferencial difundidos </t>
  </si>
  <si>
    <t xml:space="preserve">Poblacion afro:  343.033, poblacion indigena: 361.997, </t>
  </si>
  <si>
    <t>Fortalecer en 10 municipios los procesos de  participación social en salud a través de redes de organizaciones sociales que influyen de manera positiva en las políticas públicas orientadas a intervenir los Determinantes Sociales de la Salud</t>
  </si>
  <si>
    <t>Número de municipios con los procesos de  participación social en salud a través de redes de organizaciones sociales que influyen de manera positiva en las políticas públicas orientadas a intervenir los Determinantes Sociales de la Salud fortalecidos.</t>
  </si>
  <si>
    <t>16 municipios con comités definidos por decreto 1757 de 1994 conformados</t>
  </si>
  <si>
    <t>El Tambo, Caldono, Piendamo, Santander de Quilichao, Villa Rica</t>
  </si>
  <si>
    <t>Norte, Centro</t>
  </si>
  <si>
    <t>Municipios con mecanismos de participacion social activos</t>
  </si>
  <si>
    <t>Poblacion afro: 115.908 , poblacion indigena: 135.138,</t>
  </si>
  <si>
    <t>Lograr que mas del 60% de las poblaciones especiales y victimas tengan  acceso a la atención en salud con adecuación intercultural.</t>
  </si>
  <si>
    <t>% De poblaciones especiales y victimas con acceso a prestación de servicios de salud.</t>
  </si>
  <si>
    <t>Fortalecer en  21 municipios sus capacidades de oferta institucional para brindar servicios de atención integral y psicosocial.</t>
  </si>
  <si>
    <t>Número de Municipios con capacidades resolutivas de oferta para brindar Atención Psicosocial  a las Victimas del Conflicto Armado fortalecidas.</t>
  </si>
  <si>
    <t>Buenos Aires, Jambaló, Caldono, Mercaderes, Bolivar.</t>
  </si>
  <si>
    <t>Sur, Norte.</t>
  </si>
  <si>
    <t>Atención Psicosocial en el marco del Programa de Atención Psicosocial y Salud Integral a Víctimas.</t>
  </si>
  <si>
    <t xml:space="preserve">La Población Beneficiada, está sujeta a la reportarda por la Red Nacional de Información,  en donde se registra el número de víctimas en el país y se actualiza mensualmente. 
</t>
  </si>
  <si>
    <t xml:space="preserve">Garantizar en 34  municipios el acceso a los servicios de salud de la población víctima del conflicto armado </t>
  </si>
  <si>
    <t>Número de municipios con acceso a los servicios de salud a la población víctima del conflicto armado garantizado.</t>
  </si>
  <si>
    <t xml:space="preserve">Mercaderes, Piamonte, Argelia, Lopez de Micay, Corinto, Suarez, Caldono, Inza, Silva, Florencia </t>
  </si>
  <si>
    <t>Macizo, Centro, Sur, Costa Pacífica, Norte, Oriente.</t>
  </si>
  <si>
    <t xml:space="preserve"> oferta institucional con enfoque diferencial Victimas del Conflicto Armado-VCA, personas VCA en el departamento afiliadas al SGSSS, Empoderamiento de derechos y deberes en salud y generación de demanda de servicios por las VCA y Prestaciones de servicios acordes a las necesidades de esta población. 
</t>
  </si>
  <si>
    <t>la gestón relacionada con esta meta  esta basada en la gestión de cumplmento de los indicadores de Goce Efectivo de Derechos en Salud del Auto 116 de la Sentencia T-025 de 2004., se beneficiara a mas de 45.000 personas Victimas del Conflicto Armado</t>
  </si>
  <si>
    <t xml:space="preserve">Efectuar en  el 100%  las sesiones de manera permanente de : 1- Comité Seguridad alimentaria y nutricional, 2- la Mesa Psicosocial y 3- la Mesa Interétnica e intercultural y campesinos </t>
  </si>
  <si>
    <t>Porcentaje de sesiones de manera permanente de l : 1- Comité Seguridad alimentaria y nutricional, 2- la Mesa Psicosocial y 3- la Mesa Interétnica e intercultural y campesinos efectuadas</t>
  </si>
  <si>
    <t>Los 42 Municipios.</t>
  </si>
  <si>
    <t xml:space="preserve">Macizo, Centro, Sur, Costa Pacífica, Norte, Oriente, Piedemonte </t>
  </si>
  <si>
    <t>Encuentros con organizaciones, entidades, Asociaciones de víctimas, Organizaciones de la Sociedad Civil (ONG), UNICEF, OIM, Autoridades tradicionales indígenas y afro descendientes, para garantizar la articulación de las politicas publicas en salud con la comunidad agro, indígena y campesina, además de la atención integral en nutrición y atención psicosocial.</t>
  </si>
  <si>
    <t>Las Mesas se realizan con un encuentro mensual, y el comité 3 veces al año.</t>
  </si>
  <si>
    <t>Asesorar en un 100% las ESE y Administraciones municipales  sobre normatividad para la atención a poblaciones especiales.</t>
  </si>
  <si>
    <t>Porcentaje de las ESE y  Administraciones municipales  en normatividad para la atención a poblaciones especiales asesoradas.</t>
  </si>
  <si>
    <t>No requiere Proyecto.</t>
  </si>
  <si>
    <t>Siete subregiones: Macizo, Centro, Sur, Costa Pacífica, Norte, Oriente, Piedemonte.</t>
  </si>
  <si>
    <t xml:space="preserve">ESE  y  Administraciones municipales  asesoradas en normatividad para la atención a poblaciones especiales , y asesoradas en procesos de referencia y contrareferencia ambulatorios para poblaciones especiales </t>
  </si>
  <si>
    <t xml:space="preserve">Héctor Mauricio Montilla Cardona  _ Libardo Pomeo                                                      </t>
  </si>
  <si>
    <t>Efectuar en 5 zonas aplicación de estrategias  teniendo en cuenta las  condiciones específicas poblacionales, de contexto, territorio y enfoque diferencial  de salud adecuados socioculturalmente</t>
  </si>
  <si>
    <t xml:space="preserve">Número de zonas con aplicación de estrategias  teniendo en cuenta las  condiciones específicas poblacionales, de contexto, territorio y enfoque diferencial  de salud adecuados socioculturalmente efectuadas </t>
  </si>
  <si>
    <t>1 Zona (8 municipios: Suaréz, Buenos Aires, Toribio, Caldono, Jambaló,Santander, Puerto Tejada, Guachené).</t>
  </si>
  <si>
    <t>Institucionales y comunidad con capacidad  para atender los determinantes particulares que conllevan a inequidades sociales y sanitarias en poblaciones diferenciales y vulnerables.</t>
  </si>
  <si>
    <t>Omar Felipe Murillo Muñoz-Profesional Especializado-Carmen Banguero.</t>
  </si>
  <si>
    <t>TOTAL DE LA POBLACIÓN INDÍGENA Y AFRO: 193.152  ; 8 municipios (Suaréz: 13.958 POB., Buenos Aires: 28.894,  Caldono:23.372,  Santander:50.372, Puerto Tejada:44.929, Guachené: 3.503. Toribio:28.124.</t>
  </si>
  <si>
    <t>Apoyar en un 100% los  planes de salvaguarda étnica.</t>
  </si>
  <si>
    <t xml:space="preserve">Porcentaje de planes de salvaguarda étnica liderados y apoyados. </t>
  </si>
  <si>
    <t xml:space="preserve">Totoro , Silvia ,Tmbiqui </t>
  </si>
  <si>
    <t>Oriente ,Costa Pacifica.</t>
  </si>
  <si>
    <t>Gestionar y monitorear los acuerdos intersectoriales del Plan de salvaguarda. Que quedan suscritos mediante actas de concertacion.</t>
  </si>
  <si>
    <t>La poblacion a intervenor correspondera a los pueblos indigenas Misak-Silvia , Totoreos-Totoro , Embera-Ciapidara-Timbiqui)</t>
  </si>
  <si>
    <t>Disminuir la tasa de mortalidad infantil a 15 por 1000 NV.</t>
  </si>
  <si>
    <t>Tasa de mortalidad infantil disminuidas.</t>
  </si>
  <si>
    <t>10,6 muertes por cada 100.000 menores de 5 años</t>
  </si>
  <si>
    <t>Mantener en cero los casos de poliomelitis  en menores de 15 años .</t>
  </si>
  <si>
    <t>Número de casos de poliomelitis  en menores de 15 años .</t>
  </si>
  <si>
    <t>42 municipios del departamento</t>
  </si>
  <si>
    <t>Jornadas de vacunacion casa a casa.                                                                          Por concentracion para los niños menores de 5 años. Seguimiento a niños sin vacunar</t>
  </si>
  <si>
    <t>Incrementar en  80%  de las  ESE de baja complejidad  programas y políticas de la primera infancia, infancia  y adolescencia; tomando en cuenta la estructura de la Política de Atención Integral en Salud (PAIS) y el Modelo de Atención Integral en Salud (MIAS)</t>
  </si>
  <si>
    <t>Porcentaje de las  ESE de baja complejidad  con programas y políticas de la primera infancia, infancia  y adolescencia incrementados.</t>
  </si>
  <si>
    <t>Santander de Quilichao, Suarez, Toribio, Jambalo, Buenos Aires.</t>
  </si>
  <si>
    <t xml:space="preserve">1. Ruta de primera infancia, infancia y adolescencia institucional de la ESE para la atención integral de esta población. 
2.  Operativización de la ruta de primera infancia, infancia y adolescencia institucional en las ESE para la atención integral de esta población. 
3. Seguimiento de la politica pùblica de primera infancia, infancia y adolescencia con los actores sociales presentes en el municipio. 
4. Talleres de desarrollo de capacidades institucionales dirigido a profesionales y técnicos de la ESE en relación a la dinamización de estrategias de la primera infancia (AIEPI, IAMI, de cero a siempre, programa nacional de IRA, mètodo madre canguro, entres otras estrategias definidas en las dimensiones prioritarias del plan decenal de salud pùblica) (Seis)
5. Jornada de movilizaciòn social para la conmemoración del dìa mundial de la lactancia materna.
6. Seguimiento al comitè de primera infancia, infancia y adolescencia que describa las acciones realizadas y los compromisos adquiridos interinstitucionalmente.  
7. Talleres de generaciòn de capacidades comunitarias dirigidos a la comunidad en general para socializar los derechos para la atenciòn de la PIIA.  (dos)
8. Estrategia de movilización social dirigida al fortalecimiento de las acciones de la primera infanciai, infancia y adolescencia tomando en cuenta los lineamientos de la SDSC. 
9. Encuentro de participación social con niños, niñas y adolescentes a lo largo del ciclo de la politica pùblica y el ejercicio democrático de la exigibilidad de los derechos con metodologias acorde a esta etapa del ciclo vital. </t>
  </si>
  <si>
    <t>Indigenas:  22.801       Afro: 23480</t>
  </si>
  <si>
    <t>Implementar en los 42 municipios acciones  para disminuir la tasa de mortalidad por desnutrición  en menores de 5 años.</t>
  </si>
  <si>
    <t>Número de  municipios  con acciones  para disminuir la tasa de mortalidad por desnutrición  en menores de 5 años  implementadas.</t>
  </si>
  <si>
    <t>Santander de Quilichao, Suarez, Puerto Tejada, Toribio, Jambalo, Guapi, Popayán, Caldono, Purace, Buenos Aires.</t>
  </si>
  <si>
    <t>Costa, Norte, Centro.</t>
  </si>
  <si>
    <t>1.Seguimiento a las politicas de intervención para el mantenimiento de la nutrición de los menores de cinco años. (cuatro)</t>
  </si>
  <si>
    <t>Indigenas:  53.827       Afro: 51.757</t>
  </si>
  <si>
    <t>Mantener en los 42 municipios acciones   para disminuir la tasa de mortalidad por EDA   en menores de 5 años.</t>
  </si>
  <si>
    <t>Número de  municipios  con acciones  para disminuir la tasa de mortalidad por EDA  en menores de 5 años implementadas.</t>
  </si>
  <si>
    <t>1. Talleres de desarrollo de capacidades con los profesionales y técnicos de las IPS del municipio para socialización, dinamización y evaluación de las guias y protocolos para el manejo de la enfermedad Diarrèica Aguda tomando en cuenta los lineamientos del MInisterio de Salud y Protección Social. (cuatro).
2. Talleres de generación de capacidades comunitarias para fortalecer y dinamizar las 18 practicas claves de AIEPI dirigidas a la comunidad en general. (Seis).
3. Mesas tècnicas intersectoriales donde se aborde la incorporación de las 18 prácticas claves de AIEPI  con el fin de adoptar estas acciones en el contexto donde se interviene (ICBF, mas familias en acciòn, educación, red unidos, IPS, EAPB, secretaria municipal de salud) (dos).</t>
  </si>
  <si>
    <t>Mantener en los 42 municipios acciones   para disminuir la tasa de mortalidad por IRA   en menores de 5 años.</t>
  </si>
  <si>
    <t>Número de  municipios  con acciones  para disminuir la tasa de mortalidad por IRA  en menores de 5 años implementadas.</t>
  </si>
  <si>
    <t xml:space="preserve">1. Seguimiento a la implementación del programa nacional de IRA en sus cuatro componentes en los municipios del departamento del Cauca. </t>
  </si>
  <si>
    <t>Implementar en los 42 municipios y ESE del Departamento en el proceso de dinamización de estrategias de atención y prestación de servicios en salud con adecuación en el curso de vida, género, etnicidad, y enfoque diferencial basado en la Política de Atención Integral en Salud (PAIS)</t>
  </si>
  <si>
    <t xml:space="preserve">Número de municipios y ESE del Departamento con el proceso de dinamización de estrategias de atención y prestación de servicios en salud con adecuación en el curso de vida, género, etnicidad, y enfoque diferencial basado en la Política de Atención Integral en Salud (PAIS) implementado </t>
  </si>
  <si>
    <t xml:space="preserve">1. Dinamización de la estrategia de atención y prestación de servicios en salud con adecuación cultural, género, etnicidad, y enfoque diferencia y curso de vida basado en la PAIS y el MIAS. 
2. Prestar asistencia técnica en estrategias de atención en salud basadas en la PAIS y el MIAS. </t>
  </si>
  <si>
    <t>Adecuar en un 100% un modelo de atención integral en salud con enfoque de género</t>
  </si>
  <si>
    <t>Porcentaje de un modelo de atención integral en salud con enfoque de género adoptado</t>
  </si>
  <si>
    <t>piedemonte, sur, costa pacìfica, norte, macizo, centro</t>
  </si>
  <si>
    <t>Modelo de atencion integral con enfoque de genero implementado</t>
  </si>
  <si>
    <t>Poblacion indigena: 179.120, Afro: 170820, Resto de poblacion mestiza.</t>
  </si>
  <si>
    <t xml:space="preserve">Fortalecer en el 100%  de las administraciones municipales, IPS y EPS RS-RC y Regímenes especiales con procesos de gestión de las acciones de salud publica individuales y colectivas </t>
  </si>
  <si>
    <t>% De administraciones municipales, IPS y EPS RS-RC y Regímenes especiales con procesos de gestión de las acciones de salud publica individuales y colectivas fortalecidas.</t>
  </si>
  <si>
    <t>Fortalecimiento de la autoridad sanitaria para la gestión de la salud</t>
  </si>
  <si>
    <t>Lograr que las autoridades sanitarias nacionales y locales recuperen, desarrollen o perfeccionen, sus capacidades básicas  para actuar como planificadores e integradores de las acciones relacionadas con la producción social de la salud.</t>
  </si>
  <si>
    <t>Mantener  en el  100% de las EPS,  administraciones municipales e IPS   asistencia técnica, inspección, vigilancia para el fortalecimiento de la gestión de las acciones de salud pública del departamento.</t>
  </si>
  <si>
    <t>Porcentaje de EPS,  administraciones municipales e IPS con asistencia técnica, inspección, vigilancia para el fortalecimiento de la gestión de las acciones de salud pública del departamento efectuada.</t>
  </si>
  <si>
    <t>Dimension 10: Fortalecimiento de la autoridad sanitaria para la gestión de la salud</t>
  </si>
  <si>
    <t>Administraciones municipales e IPS con asistencia técnica, inspección, vigilancia para el fortalecimiento de la gestión de las acciones de salud pública del departamento efectuada.</t>
  </si>
  <si>
    <t>Adria Rodriguez Gomez - Profesional Especializado Área de Gestión en Salud Pública.</t>
  </si>
  <si>
    <t>Desarrollar  3  modelos de atención integrados en salud con base en la estrategia de atención primaria .</t>
  </si>
  <si>
    <t>No De  modelos   de atención integrados en salud con base en la estrategia de atención primaria  desarrollados.</t>
  </si>
  <si>
    <t>Desarrollar en un  50% de las EPS, ESE Y  administraciones municipales e IPS  acciones concertadas de gestión en salud publica para el desarrollo de modelos integrados e integrales en APS.</t>
  </si>
  <si>
    <t>Porcentaje de las EPS, ESE Y  administraciones municipales e IPS con acciones concertadas de gestión en salud publica para el desarrollo de modelos integrados e integrales en APS desarrolladas.</t>
  </si>
  <si>
    <t>Administraciones municipales e IPS con acciones concertadas de gestión en salud publica para el desarrollo de modelos integrados e integrales en APS desarrolladas.</t>
  </si>
  <si>
    <t>Hernando Gil Gomez-Lider de Salud Publica-Grupo Salud Pública.</t>
  </si>
  <si>
    <t>Fortalecer en el 100%  de las administraciones municipales Y ESE,  procesos priorizados del Plan de Intervenciones Colectivas  y de  gestión de las acciones de salud publica de las dimensiones del Plan decenal.</t>
  </si>
  <si>
    <t>% De administraciones municipales Y ESE con  procesos priorizados del Plan de Intervenciones Colectivas  y de  gestión de las acciones de salud publica de las dimensiones del Plan decenal  fortalecidos.</t>
  </si>
  <si>
    <t xml:space="preserve">Desarrollar en un  100% de las  administraciones municipales y ESE  asistencia técnica para la Gestión en Salud Publica y para el desarrollo de los planes de intervenciones colectivas priorizados en su territorio. </t>
  </si>
  <si>
    <t>Porcentaje de administraciones municipales y ESE que reciben  asistencia técnica para la Gestión en Salud Publica y para  la priorización  de los planes de intervenciones colectivas desarrollada.</t>
  </si>
  <si>
    <t>Administraciones municipales y ESE que reciben  asistencia técnica para la Gestión en Salud Publica y para  la priorización  de los planes de intervenciones colectivas desarrollada.</t>
  </si>
  <si>
    <t>Lograr que en el 100% de los servicios farmacéuticos de mediana y alta complejidad ubicados en el departamento del Cauca, implementen y ejecuten el sistema de distribución de medicamentos en dosis unitaria.</t>
  </si>
  <si>
    <t>% De servicios farmacéuticos de mediana y alta complejidad con implementación y ejecución del sistema de distribución de medicamentos en dosis unitaria.</t>
  </si>
  <si>
    <t>Ejercer las acciones de inspección, vigilancia y control a servicios farmacéuticos de IPS de mediana y alta complejidad..</t>
  </si>
  <si>
    <t>Garantizar en un 100% los servicios farmacéuticos de mediana y alta complejidad de las IPS con implementación y ejecución del sistema de distribución de medicamentos en dosis unitaria.</t>
  </si>
  <si>
    <t>Porcentaje de los servicios farmacéuticos de mediana y alta complejidad de las IPS con implementación y ejecución del sistema de distribución de medicamentos en dosis unitaria garantizados</t>
  </si>
  <si>
    <t>2 (Popayán y Santander de Quilichao)</t>
  </si>
  <si>
    <t>Centro y Norte</t>
  </si>
  <si>
    <t>Actas de inspeciion , vigilancia y control en salud publica  a servicios farmaceuticos, contratos suscritos por las IPS con centrales de mezcalas parenterales o Construccion de la Central de Mezclas.</t>
  </si>
  <si>
    <t>Lograr el 100% del suministro a la población del departamento del Cauca, de medicamentos de control especial monopolio del estado.</t>
  </si>
  <si>
    <t>% De medicamentos de control especial suministrados a usuarios y establecimientos y servicios farmacéuticos inscritos ante el Fondo Rotatorio de Estupefacientes.</t>
  </si>
  <si>
    <t>Ejercer seguimiento y control de la disponibilidad de medicamentos de control especial en el Fondo Rotatorio de Estupefacientes del Cauca.</t>
  </si>
  <si>
    <t>Suministrar el 100% de los medicamentos de control especial monopolio del estado a la población del departamento del Cauca, para el tratamiento de las patologías indicadas.</t>
  </si>
  <si>
    <t>Porcentaje de medicamentos de control especial monopolio del estado a la población del departamento del Cauca, para el tratamiento de las patologías indicadas suministrados.</t>
  </si>
  <si>
    <t>Inventario de medicamentos de control disponibles para distribuccion y /o dispensación a inscritos y a pacientes , la base de datos de distribuccion y dispensacion.</t>
  </si>
  <si>
    <t>Cumplir en el  100%  el funcionamiento de la red  departamental  de bancos Sangre acorde a  los estándares de calidad.</t>
  </si>
  <si>
    <t>% De la red  departamental  de bancos Sangre funcionando  con los estándares de calidad cumplidos.</t>
  </si>
  <si>
    <t xml:space="preserve">Red Departamental de Laboratorios y Laboratorio de Salud Pública </t>
  </si>
  <si>
    <t>Fortalecer  la red departamental de laboratorios y los bancos de sangre  como apoyo a la gestión de la vigilancia en salud pública.</t>
  </si>
  <si>
    <t xml:space="preserve">Efectuar  en un  100% de la red departamental de bancos de sangre visitas de asistencia técnica para el fortalecimiento  y apoyo en la hemovigilancia </t>
  </si>
  <si>
    <t>Porcentaje de la red departamental de bancos de sangre con visitas de asistencia técnica para el fortalecimiento  y apoyo en la hemovigilancia  efectuados.</t>
  </si>
  <si>
    <t>No requiere presentación de Proyecto.</t>
  </si>
  <si>
    <r>
      <rPr>
        <b/>
        <sz val="11"/>
        <color theme="1"/>
        <rFont val="Calibri"/>
        <family val="2"/>
        <scheme val="minor"/>
      </rPr>
      <t>1.</t>
    </r>
    <r>
      <rPr>
        <sz val="11"/>
        <color rgb="FF000000"/>
        <rFont val="Calibri"/>
        <family val="2"/>
      </rPr>
      <t xml:space="preserve"> Planes de Mejoramiento Bancos de Sangre
</t>
    </r>
    <r>
      <rPr>
        <b/>
        <sz val="11"/>
        <color theme="1"/>
        <rFont val="Calibri"/>
        <family val="2"/>
        <scheme val="minor"/>
      </rPr>
      <t>2.</t>
    </r>
    <r>
      <rPr>
        <sz val="11"/>
        <color rgb="FF000000"/>
        <rFont val="Calibri"/>
        <family val="2"/>
      </rPr>
      <t xml:space="preserve"> USO (Unidades de Sangre Obtenidas)  por mes y resportadas al INS
</t>
    </r>
    <r>
      <rPr>
        <b/>
        <sz val="11"/>
        <color theme="1"/>
        <rFont val="Calibri"/>
        <family val="2"/>
        <scheme val="minor"/>
      </rPr>
      <t>3.</t>
    </r>
    <r>
      <rPr>
        <sz val="11"/>
        <color rgb="FF000000"/>
        <rFont val="Calibri"/>
        <family val="2"/>
      </rPr>
      <t xml:space="preserve"> Pruebas infecciosas confirmadas por los Bancos de Sangre y reportadas a VSP y al INS
</t>
    </r>
    <r>
      <rPr>
        <b/>
        <sz val="11"/>
        <color theme="1"/>
        <rFont val="Calibri"/>
        <family val="2"/>
        <scheme val="minor"/>
      </rPr>
      <t>4.</t>
    </r>
    <r>
      <rPr>
        <sz val="11"/>
        <color rgb="FF000000"/>
        <rFont val="Calibri"/>
        <family val="2"/>
      </rPr>
      <t xml:space="preserve"> Apoyo a los Bancos de Sangre en las actividades de Donación voluntaria y altruista de sangre bajo las directrices de la Red Nacional de Sangre INS</t>
    </r>
  </si>
  <si>
    <t xml:space="preserve">Victoria Esther Eljach Pacheco-Profesional Especializado Laboratorio de Salud Pública. </t>
  </si>
  <si>
    <t>Cumplir en el 80% la participación de la red departamental de laboratorios  con la participación  de los programas de la evaluación del desempeño.</t>
  </si>
  <si>
    <t>% De la red  departamental de laboratorios  con  participación  de los programas de la evaluación del desempeño cumplidos.</t>
  </si>
  <si>
    <t xml:space="preserve"> Efectuar en un 100% análisis y consolidación de la participación en los programas de evaluación del desempeño del Laboratorio de salud pública y los laboratorios de la red departamental de laboratorios como apoyo a la gestión de la vigilancia en salud pública</t>
  </si>
  <si>
    <t xml:space="preserve">Porcentaje del análisis y consolidación de la participación en los programas de evaluación del desempeño del Laboratorio de salud pública y los laboratorios de la red departamental de laboratorios como apoyo a la gestión de la vigilancia en salud pública efectuado </t>
  </si>
  <si>
    <r>
      <rPr>
        <b/>
        <sz val="11"/>
        <color theme="1"/>
        <rFont val="Calibri"/>
        <family val="2"/>
        <scheme val="minor"/>
      </rPr>
      <t>1.</t>
    </r>
    <r>
      <rPr>
        <sz val="11"/>
        <color rgb="FF000000"/>
        <rFont val="Calibri"/>
        <family val="2"/>
      </rPr>
      <t xml:space="preserve"> IRCA Departamental mensual de los acueductos Municipales y veredales
</t>
    </r>
    <r>
      <rPr>
        <b/>
        <sz val="11"/>
        <color theme="1"/>
        <rFont val="Calibri"/>
        <family val="2"/>
        <scheme val="minor"/>
      </rPr>
      <t>2.</t>
    </r>
    <r>
      <rPr>
        <sz val="11"/>
        <color rgb="FF000000"/>
        <rFont val="Calibri"/>
        <family val="2"/>
      </rPr>
      <t xml:space="preserve"> Informes de vigilancia y/o diagnostico de organofosforados y carbamatos
</t>
    </r>
    <r>
      <rPr>
        <b/>
        <sz val="11"/>
        <color theme="1"/>
        <rFont val="Calibri"/>
        <family val="2"/>
        <scheme val="minor"/>
      </rPr>
      <t xml:space="preserve">3. </t>
    </r>
    <r>
      <rPr>
        <sz val="11"/>
        <color rgb="FF000000"/>
        <rFont val="Calibri"/>
        <family val="2"/>
      </rPr>
      <t xml:space="preserve">Informes de vigilancia de calidad de agua de piscinas
</t>
    </r>
    <r>
      <rPr>
        <b/>
        <sz val="11"/>
        <color theme="1"/>
        <rFont val="Calibri"/>
        <family val="2"/>
        <scheme val="minor"/>
      </rPr>
      <t>4.</t>
    </r>
    <r>
      <rPr>
        <sz val="11"/>
        <color rgb="FF000000"/>
        <rFont val="Calibri"/>
        <family val="2"/>
      </rPr>
      <t xml:space="preserve"> Informes de control de calidad de los distrubuidores de medicamentos
</t>
    </r>
    <r>
      <rPr>
        <b/>
        <sz val="11"/>
        <color theme="1"/>
        <rFont val="Calibri"/>
        <family val="2"/>
        <scheme val="minor"/>
      </rPr>
      <t>5.</t>
    </r>
    <r>
      <rPr>
        <sz val="11"/>
        <color rgb="FF000000"/>
        <rFont val="Calibri"/>
        <family val="2"/>
      </rPr>
      <t xml:space="preserve"> Informes de control de calidad de los distribuidores, transportadores y almacenadores de alimentos y bebidas alcoholicas.
</t>
    </r>
    <r>
      <rPr>
        <b/>
        <sz val="11"/>
        <color theme="1"/>
        <rFont val="Calibri"/>
        <family val="2"/>
        <scheme val="minor"/>
      </rPr>
      <t xml:space="preserve">6. </t>
    </r>
    <r>
      <rPr>
        <sz val="11"/>
        <color rgb="FF000000"/>
        <rFont val="Calibri"/>
        <family val="2"/>
      </rPr>
      <t xml:space="preserve">Resultados de la EEID de los Laboratorios Públicos y Privados de los Eventos de Interes en Salud Pública
</t>
    </r>
    <r>
      <rPr>
        <b/>
        <sz val="11"/>
        <color theme="1"/>
        <rFont val="Calibri"/>
        <family val="2"/>
        <scheme val="minor"/>
      </rPr>
      <t>7.</t>
    </r>
    <r>
      <rPr>
        <sz val="11"/>
        <color rgb="FF000000"/>
        <rFont val="Calibri"/>
        <family val="2"/>
      </rPr>
      <t xml:space="preserve"> Reporte a VSP del número de muestras para EISP.
</t>
    </r>
    <r>
      <rPr>
        <b/>
        <sz val="11"/>
        <color theme="1"/>
        <rFont val="Calibri"/>
        <family val="2"/>
        <scheme val="minor"/>
      </rPr>
      <t>8.</t>
    </r>
    <r>
      <rPr>
        <sz val="11"/>
        <color rgb="FF000000"/>
        <rFont val="Calibri"/>
        <family val="2"/>
      </rPr>
      <t xml:space="preserve"> Informe de la vigilancia rutinaria de Cólera en muetras biologicas y ambientales
</t>
    </r>
    <r>
      <rPr>
        <b/>
        <sz val="11"/>
        <color theme="1"/>
        <rFont val="Calibri"/>
        <family val="2"/>
        <scheme val="minor"/>
      </rPr>
      <t xml:space="preserve">9. </t>
    </r>
    <r>
      <rPr>
        <sz val="11"/>
        <color rgb="FF000000"/>
        <rFont val="Calibri"/>
        <family val="2"/>
      </rPr>
      <t xml:space="preserve">Informe de la vigilancia microbiologica de los microoganismos objetos de interes en salud pública.
</t>
    </r>
    <r>
      <rPr>
        <b/>
        <sz val="11"/>
        <color theme="1"/>
        <rFont val="Calibri"/>
        <family val="2"/>
        <scheme val="minor"/>
      </rPr>
      <t>10.</t>
    </r>
    <r>
      <rPr>
        <sz val="11"/>
        <color rgb="FF000000"/>
        <rFont val="Calibri"/>
        <family val="2"/>
      </rPr>
      <t xml:space="preserve"> Actas de Visita de Asistencia Técnica y/o capacitaciones a la Red Departamental de Laboratorio
</t>
    </r>
    <r>
      <rPr>
        <b/>
        <sz val="11"/>
        <color theme="1"/>
        <rFont val="Calibri"/>
        <family val="2"/>
        <scheme val="minor"/>
      </rPr>
      <t xml:space="preserve">11. </t>
    </r>
    <r>
      <rPr>
        <sz val="11"/>
        <color rgb="FF000000"/>
        <rFont val="Calibri"/>
        <family val="2"/>
      </rPr>
      <t>Actas de visitas de inspección sanitaria a los prestadores de acuerductos</t>
    </r>
  </si>
  <si>
    <t>Adecuar en el 100% la infraestructura del laboratorio de salud pública  adecuada a los estándares de calidad</t>
  </si>
  <si>
    <t>% Del laboratorio de salud pública con infraestructura  y  estándares de calidad adecuados.</t>
  </si>
  <si>
    <t xml:space="preserve"> Construir en un 100% el Laboratorio de salud publica </t>
  </si>
  <si>
    <t>Porcentaje del Laboratorio de salud publica construido.</t>
  </si>
  <si>
    <t>Por Asignar para la vigencia 2018 y 2019.</t>
  </si>
  <si>
    <t>Esta meta  esta programada  para ser ejecutada en las vigencias 2018 y 2019.</t>
  </si>
  <si>
    <t>Acreditar en un 50%  en calidad  los ensayos realizados en el Laboratorio de salud pública</t>
  </si>
  <si>
    <t>% De calidad de los ensayos realizados en el Laboratorio de salud pública acreditados.</t>
  </si>
  <si>
    <t>Realizar en un  50%  parámetros analíticos  en el laboratorio de salud publica acreditadas por organismo nacional de acreditación</t>
  </si>
  <si>
    <t>Porcentaje de parámetros analíticos  en el laboratorio de salud publica acreditadas por organismo nacional de acreditación realizados</t>
  </si>
  <si>
    <t>1. Manual de Calidad revisado y ajustado.
2. Hoja de vida de los equipos del LSP
3. Procedimiento operativos estandarizados Técnicos 
4. Procedimiento operativos estandarizados de la Dirección
5. Formato de Acuerdo de Confidencialidad ajustado al Código de Ética Vigente de la Gobernación
6. Manual de Bioseguridad del LSP</t>
  </si>
  <si>
    <t>Operar en un 90% en  el Departamento  el  sistema de Vigilancia en Salud Publica integrado a los sistemas de información, inspección, vigilancia y control sanitario en coordinación con las entidades territoriales , las aseguradoras, los prestadores de servicios de salud y organismos de control.</t>
  </si>
  <si>
    <t>%  Del Sistema de Vigilancia funcionando y operando .</t>
  </si>
  <si>
    <t>81.13%</t>
  </si>
  <si>
    <t>Sistema de Vigilancia en salud publica</t>
  </si>
  <si>
    <t>Vigilar la presencia y ausencia de los eventos de Interés en Salud Publica</t>
  </si>
  <si>
    <t xml:space="preserve">Efectuar al 100% seguimiento  al sistema de vigilancia en salud publica </t>
  </si>
  <si>
    <t>Porcentaje de seguimiento al sistema de vigilancia efectuado.</t>
  </si>
  <si>
    <t>Cauca</t>
  </si>
  <si>
    <t>Documento con soportes de inspeccion vigilancia y control a las entidades territoriales para la operatividad del sistema de vigilancia en Salud Pública.</t>
  </si>
  <si>
    <t>Duban Ely Quintero Muñoz-Profesional Especializado-Area Vigilancia en salud Pública.</t>
  </si>
  <si>
    <t>Vigilar en 100 % los  eventos de interés en salud publica.</t>
  </si>
  <si>
    <t xml:space="preserve">% De eventos de interés en salud publica vigilados </t>
  </si>
  <si>
    <t xml:space="preserve">Lograr que el 95% de los eventos de intereses en salud publica sean vigilados    </t>
  </si>
  <si>
    <t>Porcentaje de eventos  de interés en salud publica vigilados logrados.</t>
  </si>
  <si>
    <t>Documento con eventos de interes en salud publica vigilados y analizados</t>
  </si>
  <si>
    <t>Avanzar hacia el aseguramiento universal con sostenibilidad financiera en el 100% de los 42 municipios con el objeto de mejorar en la garantía de la prestación de los servicios de salud a la población caucana por parte de las EPS.</t>
  </si>
  <si>
    <t>% De municipios con asistencia técnica en flujo de recursos, vigilancia a la garantía en la prestación de servicios de salud y actualización en BDUA</t>
  </si>
  <si>
    <t>Aseguramiento</t>
  </si>
  <si>
    <t>Velar por el acceso al aseguramiento en salud de la población del Departamento del Cauca</t>
  </si>
  <si>
    <t>Brindar  en un 100% de los 42 municipios asistencia técnica en el financiamiento del régimen subsidiado y mejoramiento en acciones de inspección vigilancia y control en el flujo de los recursos.</t>
  </si>
  <si>
    <t>Porcentaje de municipios con asistencia técnica en el financiamiento del régimen subsidiado y mejoramiento en acciones de inspección vigilancia y control en el flujo de los recursos</t>
  </si>
  <si>
    <t>Popayan,,Almaguer, Argelia, Balboa, Bolívar, Buenos Aires, Cajibío, Caldono, Caloto, Corinto, El Tambo,Florencia, Guachene, Guapi, Inzá, Jambaló, La Sierra, La Vega, López, Mercaderes, Miranda, Morales, Padilla, Paez, Patía, Piamonte, Piendamó, Puerto Tejada, Puracé, Rosas, San Sebastián, Santander De Quilichao, Santa Rosa, Silvia, Sotara, Suárez, Sucre, Timbío, Timbiquí, Toribio, Totoró y Villa Rica.</t>
  </si>
  <si>
    <t>Centro, Norte,Macizo, Sur, Oriente, Costa Pacifica y Piedemonte</t>
  </si>
  <si>
    <t>Reuniones, mesas de trabajo,  retroalimentacion de informes de deuda y/o visitas de asistencia técnica en el financiamiento del régimen subsidiado y mejoramiento en acciones de inspección vigilancia y control en el flujo de los recursos</t>
  </si>
  <si>
    <t>Jairo Muñoz Jalvin-Profesional Universitario y Nury Shirley Herrerra-Profesional Universitario- Area Aseguramiento.</t>
  </si>
  <si>
    <t>Brindar en un 100% de los 42 municipios asistencia técnica para que realicen vigilancia permanente a las EPS y que estas cumplan con las obligaciones en la prestación de servicios de salud a sus afiliados.</t>
  </si>
  <si>
    <t>Porcentaje de municipios con asistencia técnica para que realicen vigilancia permanente a las EPS y que estas cumplan con las obligaciones en la prestación de servicios de salud a sus afiliados.</t>
  </si>
  <si>
    <t>Reuniones, mesas de trabajo, retroalimentacion de informes de auditoria y/o visitas de asistencia técnica para que los municipios realicen vigilancia permanente a las EPS y que estas cumplan con las obligaciones en la prestación de servicios de salud a sus afiliados.</t>
  </si>
  <si>
    <t>Brindar en un 100% de los 42 municipios y EPS asistencia técnica y seguimiento para que cada uno de los actores actualice la BDUA de acuerdo con sus competencias y los plazos establecidos para tal fin, incluyendo la afiliación al régimen subsidiado de la población más vulnerable (PPNA)</t>
  </si>
  <si>
    <t>Porcentaje de municipios y EPS con asistencia técnica y seguimiento para que cada uno de los actores actualice la BDUA de acuerdo con sus competencias y los plazos establecidos para tal fin, incluyendo la afiliación al régimen subsidiado de la población más vulnerable (PPNA)</t>
  </si>
  <si>
    <t>Reuniones, mesas de trabajo, retroalimentacion de cruces de bases de datos y/o visitas de asistencia técnica para que cada uno de los actores actualice la BDUA de acuerdo con sus competencias y los plazos establecidos para tal fin, incluyendo la afiliación al régimen subsidiado de la población más vulnerable (PPNA)</t>
  </si>
  <si>
    <t>Lograr en un 100%  cobertura de la prestación de servicios en la PPNA y tecnologías y servicios NO POS al régimen subsidiado</t>
  </si>
  <si>
    <t>% De  la prestación de servicios en la PPNA y tecnologías y servicios NO POS al régimen subsidiado con cobertura lograda.</t>
  </si>
  <si>
    <t>Prestación de los servicios</t>
  </si>
  <si>
    <t>Garantizar la prestación de los servicios a la PPNA</t>
  </si>
  <si>
    <t xml:space="preserve">Mantener en el 100%  la población asegurada con servicios NO POS            </t>
  </si>
  <si>
    <t xml:space="preserve">Porcentaje de la población asegurada  con servicios NO POS cubierta           </t>
  </si>
  <si>
    <t>Norte (272.652), Centro (338.454), Sur (135.839), Pacífico (62.110), Oriente (73.060), Macizo (75.311) y Piedemonte (6.818)</t>
  </si>
  <si>
    <t xml:space="preserve">Población asegurada con servicios NO POS </t>
  </si>
  <si>
    <t>René Zúñiga López-Profesional Especializado-Area Prestacion de los Servicios.</t>
  </si>
  <si>
    <t>La población asegurada que es beneficiaria de los eventos NO POS, es la cargada en la BDUA de la Secretaría Departamental de Salud</t>
  </si>
  <si>
    <t>Mantener en el 100%  la población pobre no asegurada (PPNA) cubierta con servicios POS</t>
  </si>
  <si>
    <t>Porcentaje de   la población pobre no asegurada (PPNA) cubierta con servicios POS</t>
  </si>
  <si>
    <t>Norte (5.002), Centro (4.106), Sur (1.879), Pacífico (4.576), Oriente (531), Macizo (757) y Piedemonte (283)</t>
  </si>
  <si>
    <t>Población pobre no asegurada (PPNA) cubierta con servicios POS</t>
  </si>
  <si>
    <t>La PPNA cubierta con servicios POS es la cargada en la BDUA de la Secretaría Departamental de Salud</t>
  </si>
  <si>
    <t>Tramitar en el  100%  la facturación por servicios de salud prestados a la población pobre no afiliada y en los eventos NO POS  dentro de los términos establecidos por la norma vigente</t>
  </si>
  <si>
    <t>Porcentaje de la facturación por servicios de salud prestados a la población pobre no afiliada y en los eventos NO POS  dentro de los términos establecidos por la norma vigente tramitada.</t>
  </si>
  <si>
    <t>Facturación por servicios de salud prestados a la población pobre no afiliada y en los eventos NO POS tramitada</t>
  </si>
  <si>
    <t>Es la facturación que entregan los prestadores de primer, segundo y tercer nivel y en los eventos NO POS</t>
  </si>
  <si>
    <t xml:space="preserve">Auditar en el 100%  la facturación por servicios de salud prestados a la población pobre no afiliada y en los eventos NO POS      </t>
  </si>
  <si>
    <t>Porcentaje de   la facturación por servicios de salud prestados a la población pobre no afiliada y en los eventos NO POS   auditada</t>
  </si>
  <si>
    <t>Facturación por servicios de salud prestados a la población pobre no afiliada y en los eventos NO POS auditada</t>
  </si>
  <si>
    <t>Es la facturación que entrega la auditoría, de la facturación radicada por los prestadores de primer, segundo y tercer nivel y en los eventos NO POS</t>
  </si>
  <si>
    <t>Lograr que el 21% de las ESE  sean  Instituciones constructoras de paz.</t>
  </si>
  <si>
    <t>% De las ESE del Departamento del Cauca convertidas en Instituciones constructoras de paz.</t>
  </si>
  <si>
    <t xml:space="preserve">Red de Prestación de Servicios </t>
  </si>
  <si>
    <t>Realizar monitoreo, seguimiento y apoyo a la gestión de la operación de la red de prestación de los servicios de salud.</t>
  </si>
  <si>
    <t xml:space="preserve">Trabajar en  4  ESE   una estrategia piloto de atención integral en salud, en el marco del post conflicto, con capacidad para el desarrollo de la oferta de servicios en términos de calidad, acceso y oportunidad.
</t>
  </si>
  <si>
    <t xml:space="preserve">Número de ESE   con  una estrategia piloto de atención integral en salud, en el marco del post conflicto, con capacidad para el desarrollo de la oferta de servicios en términos de calidad, acceso y oportunidad trabajada.
</t>
  </si>
  <si>
    <t xml:space="preserve">Por Asignar </t>
  </si>
  <si>
    <t>Jambalo, Toribio, Santander de Quilichao y El Tambo</t>
  </si>
  <si>
    <t>Zona Norte y Zona Centro</t>
  </si>
  <si>
    <t>Línea de base de estado de dotación hospitalaria, Infraestrutura Hospitalaría, problemas en la atención y plan de intervención.</t>
  </si>
  <si>
    <t>Hector Mauricio Montilla Cardona - Profesional Especializado -Area Red de Prestación de los Servicios.</t>
  </si>
  <si>
    <t>Mujeres:94.024, Hombres: 96.326;  Urbano: 64.372; Rural: 125.978;  Indígenas:66.367 y Afros: 35.582</t>
  </si>
  <si>
    <t>Mejorar en un 15% la oportunidad y resolutividad de  las ESE en consulta medica especializada.</t>
  </si>
  <si>
    <t>% De  oportunidad y resolutividad de  las ESE en consulta medica especializada mejorada.</t>
  </si>
  <si>
    <t>Asesorar en un 100%  las  ESE de la Costa Pacifica y Bota Caucana con demanda de servicios de Telemedicina, para su implementación.</t>
  </si>
  <si>
    <t>Porcentaje de las  ESE de la Costa Pacifica y Bota Caucana con demanda de servicios de Telemedicina, para su implementación asesoradas.</t>
  </si>
  <si>
    <t>Guapi, López de Micay, Timbiqui y Piamonte.</t>
  </si>
  <si>
    <t>Costa Pacifica y Bota caucana</t>
  </si>
  <si>
    <t>Implementación del servicio de Telemedicina en la Costa Pacifica y Bota Caucana, que permita mejorar acceso a servicios (especialidades básicas), que no ofertan las ESE de la región.</t>
  </si>
  <si>
    <t>Mujeres: 38.681, Hombres:40.679; Urbanos: 28.969, Rural: 50.391; Indígenas: 4.576,  Afros: 63.749.</t>
  </si>
  <si>
    <t>Optimizar en un 60%  en las ESE     las condiciones en   infraestructura y dotación, para prestar un  mejor  servicio de salud.</t>
  </si>
  <si>
    <t>% De ESE  con condiciones en  infraestructura y dotación, para prestar un  mejor servicio de salud optimizado.</t>
  </si>
  <si>
    <t>Efectuar en el 100% en  las ESE   visitas de verificación de ejecución del plan de mantenimiento hospitalario.</t>
  </si>
  <si>
    <t>Porcentaje de las ESE  con visitas de verificación del plan de mantenimiento hospitalario efectuadas.</t>
  </si>
  <si>
    <t>Informe de Planes de mantenimiento Hospitalario completos y acordes a la norma vigente.</t>
  </si>
  <si>
    <t>Ingeniero Didier Ivan Golondrino  León - Profesional Universitario -Area Red de Prestacion de los Servicios</t>
  </si>
  <si>
    <t>Efectuar en un 100% de las ESE   asesorías y asistencia  técnica   para la formulación, validación y ejecución del plan bienal de inversiones.</t>
  </si>
  <si>
    <t>Porcentaje de las ESE  con  asesoría  y asistencia técnica  para la formulación, validación y ejecución del plan bienal del inversiones efectuada.</t>
  </si>
  <si>
    <t>Planes bienales de inversión formulados correctamente y cargados en el aplicativo si errores.</t>
  </si>
  <si>
    <t>Efectuar en un 100% en  las  ESE del Departamento del Cauca, asesorías y asistencias técnicas en la formulación y ejecución de proyectos de infraestructura y dotación hospitalaria</t>
  </si>
  <si>
    <t>Porcentaje de las  ESE del Departamento del Cauca, asesoradas y asistidas técnicamente en la formulación y ejecución de proyectos de infraestructura y dotación hospitalaria</t>
  </si>
  <si>
    <t>Informe de proyectos de infraestrutura y dotación asesorados, conceptos de red emitidos, informe de conceptos de infraestructura.</t>
  </si>
  <si>
    <t>Mejorar en un 10% la infraestructura física y la dotación hospitalaria de la red Pública del Departamento.</t>
  </si>
  <si>
    <t>Porcentaje de la infraestructura física y la dotación hospitalaria de la red Pública del Departamento mejorada</t>
  </si>
  <si>
    <t>Por asignar</t>
  </si>
  <si>
    <t>Informe del logro de infraestructura hospitalaria mejorada.</t>
  </si>
  <si>
    <t>Mejorar en un 15%  la satisfacción del usuario frente al sistema de seguridad social en salud</t>
  </si>
  <si>
    <t>% De  la satisfacción del usuario frente al sistema de seguridad social en salud mejorado.</t>
  </si>
  <si>
    <t>Recepcionar en un 100%  las Peticiones, Quejas y Reclamos frente a la atención en salud,  en el SAC, tramitadas ,gestionadas favorablemente</t>
  </si>
  <si>
    <t>Porcentaje de Peticiones, Quejas y Reclamos frente a la atención en salud,  en el SAC, tramitadas, gestionadas, favorablemente recepcionadas.</t>
  </si>
  <si>
    <t>Informes de radicación y tramites de PQR, resultados de encuestas de satisfacción de los usuarios.</t>
  </si>
  <si>
    <t xml:space="preserve"> Vilma Polania - Profesional universitario Area Red de Prestacion de los Servcios.</t>
  </si>
  <si>
    <t>Incrementar en un 25% la participación de los usuarios en la presentación de PQR</t>
  </si>
  <si>
    <t>Porcentaje de la participación de los usuarios en la presentación de PQR incrementadas.</t>
  </si>
  <si>
    <t>Informe de radicación de las PQR y analisis de variables.</t>
  </si>
  <si>
    <t>Viabilizar en un  100% las  ESE financieramente y con cumplimiento de indicadores de calidad en la prestación del servicio de salud</t>
  </si>
  <si>
    <t>% De ESE   financieramente y con cumplimiento de indicadores de calidad en la prestación del servicio de salud viables.</t>
  </si>
  <si>
    <t>Entregar en un 100% por parte  de las ESE del Departamento, Información del Decreto 2193 de 2004, enviado al MSPS en los periodos establecidos: Trimestral, Semestral y Anual.</t>
  </si>
  <si>
    <t>Porcentaje de las ESE  con Información del Decreto 2193 de 2004, enviado al MSPS en los periodos establecidos: Trimestral, Semestral y Anual entregada.</t>
  </si>
  <si>
    <t>Informe de cumplimiento de reporte de información del decreto 2193 de 2004. Informes de asesoria y asistencia técnica e informes de observaciones.</t>
  </si>
  <si>
    <t>Afra Silvia Gallego y Juan José Parra - Profesionales Unieversitarios -Area Red de Prestacion de los Servicios.</t>
  </si>
  <si>
    <t>Evaluar el 100% las  ESE del Departamento en  Desempeño Semestrales y Anuales (ESE en convenio y sin convenio), en indicadores Financieros, Contables de Producción y Calidad de los servicios de salud</t>
  </si>
  <si>
    <t xml:space="preserve">Porcentaje de las  ESE del Departamento en  Desempeño Semestrales y Anuales (ESE en convenio y sin convenio), en indicadores Financieros, Contables de Producción y Calidad de los servicios de salud evaluados </t>
  </si>
  <si>
    <t>Informes de revisión de información de covenio de desempeño No. 394 de 2006, informe de observaciones por ESE, Actas de Comites Territoriales de Evaluacion semestral y anual, informe de autoevalaución, acta de comité nacional de sustentación.</t>
  </si>
  <si>
    <t xml:space="preserve">Formular en un 100%  los presupuestos formulados para la vigencia siguiente con revisión y asistencia técnica para su aprobación </t>
  </si>
  <si>
    <t>Porcentaje de los presupuestos  para la vigencia siguiente con revisión y asistencia técnica para su aprobación formulados.</t>
  </si>
  <si>
    <t>Actas de revisión de presupuestos, informe de observaciones y actas de aprobación.</t>
  </si>
  <si>
    <t>Revisión del 100% de los Planes de Gestión de los Gerentes de las Empresas Sociales del Estado del Departamento.</t>
  </si>
  <si>
    <t>Porcentaje de  los Planes de Gestión de los Gerentes de las Empresas Sociales del Estado del Departamento revisados.</t>
  </si>
  <si>
    <t>Informe de revisión de Planes de Gestión, observaciones y concepto, Evaluación anual y proyección de calificación por parte del equipo técnico de la SSDC, para las juntas directivas de las ESE.</t>
  </si>
  <si>
    <t xml:space="preserve">Brindar  en el 100 % en  las entidades prestadoras de Servicios de Salud asistencia técnica individual o colectiva para los componentes del SOGC: PAMEC, SIC, SUH </t>
  </si>
  <si>
    <t>% De entidades prestadoras de servicios de salud, con asistencia técnica individual o colectiva para los componentes del SOGC: PAMEC, SIC, SUH  brindada.</t>
  </si>
  <si>
    <t>Sistema Obligatorio de Garantía de la Calidad</t>
  </si>
  <si>
    <t>Verificar el cumplimiento de las condiciones para la habilitación y ejercer las acciones de inspección, vigilancia y control a las IPS.</t>
  </si>
  <si>
    <t xml:space="preserve">Convocar en un 100%  los actores del Sistema General de Seguridad Social en Salud para recibir asesoría y asistencia técnica individual y colectiva en la temática priorizada del Sistema Obligatorio de Garantía de Calidad - SOGC, en Sistema de Información para la Calidad - SIC y en la formulación e implementación del Plan de Auditoría para el Mejoramiento de la Calidad de la atención en Salud - PAMEC </t>
  </si>
  <si>
    <t xml:space="preserve">Porcentaje de los actores del Sistema General de Seguridad Social en Salud para recibir asesoría y asistencia técnica individual y colectiva en la temática priorizada del Sistema Obligatorio de Garantía de Calidad - SOGC, en Sistema de Información para la Calidad - SIC y en la formulación e implementación del Plan de Auditoría para el Mejoramiento de la Calidad de la atención en Salud – PAMEC convocados </t>
  </si>
  <si>
    <t>Popayàn, Almaguer, Argelia, Balboa, Bolivar, Buenos Aires, Cajibio, Caldono, Caloto, Corinto,  El Tambo, Florencia, Guachene, Guapi, Inza, Jambalo, La Sierra, La Vega, Lopez, Mercaderes, Miranda, Morales, Padilla, Paez, Patia, Piamonte, Piendamo, Pto Tejada, Purace, Rosas, San Sebastian, Santander de Q, Sta Rosa, Silvia, Sotara, Suarez, Sucre, Timbio, Timbiqui, Totoro, Toribio, Villa RIca</t>
  </si>
  <si>
    <t>Costa Pacifica,    Sur, Centro Piedemonte,  Norte, Oriente   Macizo.</t>
  </si>
  <si>
    <t>Entidades Prestadoras de Servicios de Salud con Asistencia Tecnica en el SOGC componentes: PAMEC, SIC, SUH</t>
  </si>
  <si>
    <t>Gerardo Espinosa Navia Profesional Especializado-Area Calidad de los Servicios.</t>
  </si>
  <si>
    <t xml:space="preserve">Se realiza Asistencia tècnica de forma individual, a quien la requiere y de forma colectiva a todas las Entidades Prestadoras de Servicios de Salud,Total, Población 2017: 1.404.205 de los cuales son: Afro (masculino:175.461) (Femenino: 170.821) Indígenas (Femenino:179.120 Masculino: 186.152) Otra: 685.834).
</t>
  </si>
  <si>
    <t>Inscribir al 100 % de las entidades prestadoras de Servicios de Salud  en el REPS</t>
  </si>
  <si>
    <t>% De entidades prestadoras de servicios de salud  en el Registro Especial de prestadores de servicios de salud - REPS inscritas.</t>
  </si>
  <si>
    <t>Inscribir en un 100% los prestadores activos de servicios de salud del Departamento en la base de datos del Registro Especial de Prestadores de Servicios de Salud- REPS</t>
  </si>
  <si>
    <t>Porcentaje de los prestadores activos de servicios de salud del Departamento inscritos en la base de datos del Registro Especial de Prestadores de Servicios de Salud- REPS inscritos.</t>
  </si>
  <si>
    <t>Entidades Prestadoras de Servicios de Salud Inscritas en el Registro Especial de Prestadores de Salud - REPS del departamento del Cauca</t>
  </si>
  <si>
    <t xml:space="preserve">La Inscripciòn en el REPS se realiza en la SSDC previo cumplimiento de todas las condiciones tècnico cientificas y tècnico administrativas que le apliquen a las entidades prestadoras de servicios de salud.Total, Población 2017: 1.404.205 de los cuales son: Afro (masculino:175.461) (Femenino: 170.821) Indígenas (Femenino:179.120 Masculino: 186.152) Otra: 685.834).
</t>
  </si>
  <si>
    <t>Visitar en el 100%  las IPS nuevas y las que oferten servicios de urgencias, alta complejidad, obstetricia, transporte especial de pacientes y oncológicas  para poder activarse su habilitación</t>
  </si>
  <si>
    <t>% De IPS nuevas, de alta complejidad, que oferten servicios de urgencias, obstetricia, oncología y transporte especial de pacientes para poder funcionar visitadas.</t>
  </si>
  <si>
    <t>Visitar en un 100%  los nuevos prestadores de servicios de salud del Departamento que ofrecen servicios de urgencias, obstetricia, Transporte especial, servicios de alta complejidad e IPS nuevas con  verificación previa de estándares de habilitación.</t>
  </si>
  <si>
    <t>Porcentaje de los nuevos prestadores de servicios de salud del Departamento que ofrecen servicios de urgencias, obstetricia, Transporte especial, servicios de alta complejidad e IPS nuevas con  previa verificación de estándares de habilitación visitados</t>
  </si>
  <si>
    <t>Entidades Prestadoras de Servicios de Salud con Visita Previa a la prestacion de los servicios</t>
  </si>
  <si>
    <t xml:space="preserve">Se deben visitar previo a la prestaciòn de los Servicios, las entidades que ofrezcan servicios de Oncologìa, Obstetrica, Alta Complejidad, Transporte Especial de Pacientes, IPS nuevas, Urgencias.Total, Población 2017: 1.404.205 de los cuales son: Afro (masculino:175.461) (Femenino: 170.821) Indígenas (Femenino:179.120 Masculino: 186.152) Otra: 685.834).
</t>
  </si>
  <si>
    <t>Inscribir en el 100%  las IPS  en el REPS  y así mismo  recibir visita de certificación de habilitación por lo menos una vez cada 4 años. El 25% de las IPS inscritas en el REPS deberán ser visitadas en un año</t>
  </si>
  <si>
    <t>% De   las IPS  en el REPS  y así mismo  recibir visita de certificación de habilitación por lo menos una vez cada 4 años. El 25% de las IPS inscritas en el REPS deberán ser visitadas en un año inscritas.</t>
  </si>
  <si>
    <t>Efectuar en un 100% en  los prestadores de servicios de salud  visita de verificación de estándares de habilitación</t>
  </si>
  <si>
    <t>Porcentaje de los prestadores de servicios de salud  con  verificación de estándares de habilitación visitados</t>
  </si>
  <si>
    <t>Entidades Prestadoras de Servicios de Salud con Visita de Certificacion del Sistema ùnico de Habilitaciòn</t>
  </si>
  <si>
    <t xml:space="preserve">El 100 % de la Entidades Prestadoras de Servicios de Salud se les debe realizar visita para certificar el Sistema Unico de Habilitaciòn en el periodo de 4 años, proporcionalmente, en un año se deben visitar el 25% de las instituciones de salud. Total, Población 2017: 1.404.205 de los cuales son: Afro (masculino:175.461) (Femenino: 170.821) Indígenas (Femenino:179.120 Masculino: 186.152) Otra: 685.834).
</t>
  </si>
  <si>
    <t>Lograr que el 100% de  los prestadores de servicios de seguridad y salud en el trabajo tengan licencia de funcionamiento</t>
  </si>
  <si>
    <t>% De  prestadores de servicios de Seguridad y salud en el trabajo con  licencia de funcionamiento</t>
  </si>
  <si>
    <t>Tener en un 100%  los prestadores de servicios de Seguridad y salud en el trabajo con licencia de funcionamiento</t>
  </si>
  <si>
    <t>Porcentaje de  los prestadores de servicios de Seguridad y salud en el trabajo con licencia de funcionamiento</t>
  </si>
  <si>
    <t>Entidades, tecnologos y profesionales que ofertan servicios de Seguridad y Salud en el Trabajo con licencias de funcionamiento debidamente otorgada</t>
  </si>
  <si>
    <t xml:space="preserve">Todos las personas naturales o Juridicas que ofrecen servicios de Seguridad y Salud en el Trabajo, deben contar con licencia de funcionamiento para poder realizar su objeto misional legalmente.Total, Población 2017: 1.404.205 de los cuales son: Afro (masculino:175.461) (Femenino: 170.821) Indígenas (Femenino:179.120 Masculino: 186.152) Otra: 685.834).
</t>
  </si>
  <si>
    <t>Realizar el 100% de visitas de verificación de las condiciones de habilitación del servicio de Medicina del Trabajo y Medicina Laboral de las empresas prestadoras de servicios de salud y profesionales independientes que ofertan los servicios del componente de seguridad y salud en el trabajo</t>
  </si>
  <si>
    <t>% De entidades y profesionales independientes que ofrecen servicios de seguridad y salud en el trabajo con visitas de verificación.</t>
  </si>
  <si>
    <t>Visitar en un  100%   los prestadores de servicios de Seguridad y Salud en el trabajo  para verificar estándares de habilitación</t>
  </si>
  <si>
    <t>porcentaje de   los prestadores de servicios de Seguridad y Salud en el trabajo  para verificar estándares de habilitación visitados</t>
  </si>
  <si>
    <t>Entidades y profesionales que ofertan servicios de Seguridad y Salud en el Trabajo con licencias de funcionamiento visitados para la verificaciòn de sus condiciones de Habilitacion.</t>
  </si>
  <si>
    <t xml:space="preserve">Todos las personas naturales o Juridicas que ofrecen servicios de Seguridad y Salud en el Trabajo, deben Cumplir con las condiciones del Sistema ùnico de Habilitaciòn para poder funcionar  legalmente.Total, Población 2017: 1.404.205 de los cuales son: Afro (masculino:175.461) (Femenino: 170.821) Indígenas (Femenino:179.120 Masculino: 186.152) Otra: 685.834).
</t>
  </si>
  <si>
    <t>Mejorar en un 50% la eficiencia en el Sistema Integral de Gestión de la Calidad de la Secretaría de Salud del Cauca</t>
  </si>
  <si>
    <t>% De  la eficiencia del Sistema Integral de Gestión de la Calidad de la Secretaría Departamental de Salud   medida mediante la aplicación de procesos estructurados mejorada.</t>
  </si>
  <si>
    <t xml:space="preserve">Fortalecer en un 50% los procesos de la Gestión administrativa de la Secretaria de salud  mediante la construcción o ajuste de procesos </t>
  </si>
  <si>
    <t>Porcentaje de los procesos de la Gestión administrativa de la Secretaria de salud  fortalecidos</t>
  </si>
  <si>
    <t>12,5%</t>
  </si>
  <si>
    <t xml:space="preserve">Procesos de la SSDC evaludados mediante indicadores de seguimiento </t>
  </si>
  <si>
    <t xml:space="preserve">El area calidad de los servicios solo realizarà la supervision del proyecto. No lo ejecutarà. La SSDC deberà disponer del personal que desarrolle estas actividades, Total, Población 2017: 1.404.205 de los cuales son: Afro (masculino:175.461) (Femenino: 170.821) Indígenas (Femenino:179.120 Masculino: 186.152) Otra: 685.834).
</t>
  </si>
  <si>
    <t xml:space="preserve">Fortalecer  en un 85 % el proceso de Sistemas de Información de la Secretaria de Salud Departamental </t>
  </si>
  <si>
    <t>% Del proceso de Sistemas de Información de la Secretaria de Salud Departamental Fortalecido.</t>
  </si>
  <si>
    <t>Sistema Integrado de Información</t>
  </si>
  <si>
    <t>Apoyar técnicamente el Sistema Integrado de Información en Salud como herramienta de planificación, organización y toma de decisiones con el fin de recolectar, procesar, analizar y difundir la información en Salud.</t>
  </si>
  <si>
    <t>Formular en un 100%  un proyecto para el fortalecimiento, implementación y administración de herramientas de gestión de información en salud.</t>
  </si>
  <si>
    <t>Porcentaje de   un proyecto para el fortalecimiento, implementación y administración de herramientas de gestión de información en salud formulado.</t>
  </si>
  <si>
    <t>Por Asignar</t>
  </si>
  <si>
    <t>Diagnóstico de la  red de datos de las áreas de la Secretaría Departamental de Salud del Caucay formulación de proyecto.</t>
  </si>
  <si>
    <t>María Zulieth Peña Echavarría, Alexander Agreda Arturo</t>
  </si>
  <si>
    <t>Total, Población 2017: 1.404.205 de los cuales son: Afro (masculino:175.461) (Femenino: 170.821) Indígenas (Femenino:179.120 Masculino: 186.152) OTRA 685.834).</t>
  </si>
  <si>
    <t>Disponer en un 85% de  un Sistema integrado de información en la Secretaria de Salud  Departamental  para obtener información en salud y responder por los reportes de información reglamentados por la normativa vigente</t>
  </si>
  <si>
    <t xml:space="preserve">Porcentaje de un Sistema integrado de información en la Secretaria de Salud  Departamental  para obtener información en salud y responder por los reportes de información reglamentados por la normativa vigente disponible </t>
  </si>
  <si>
    <t xml:space="preserve">Gestión y difusión a las diferentes áreas de la SDSC de la información de la información en Salud que sirva para la toma de decisiones  </t>
  </si>
  <si>
    <t>Capacitar en un  85 %  los municipios en el acceso y consulta a la bodega de datos del SISPRO (Sistema de Información de la protección Social) como fuente única de información en salud</t>
  </si>
  <si>
    <t>Porcentaje de los municipios  en el acceso y consulta a la bodega de datos del SISPRO  como fuente única de información en salud capacitados.</t>
  </si>
  <si>
    <t>Orientar a los usuarios internos y externos  en la gestión para el   ingreso al portal del SISPRO  para realizar consultas.</t>
  </si>
  <si>
    <t xml:space="preserve">Optimizar en un 80% Plan de mantenimiento preventivo anual que permita optimizar la plataforma tecnológica, en la SDSC  </t>
  </si>
  <si>
    <t>Porcentaje del Plan de mantenimiento preventivo en  la plataforma tecnológica de  la Secretaria de Salud Departamental Optimizado</t>
  </si>
  <si>
    <t>Elaboración del plan de mantenimiento preventivo que permita optimizar la plataforma tecnológica (hardware y software) de la entidad</t>
  </si>
  <si>
    <t>Reportar en un 100% de IPS que  hechos vitales (Nacimientos y Defunciones) y la academia  en el proceso de  estadísticas vitales con  asistencia técnica.</t>
  </si>
  <si>
    <t>Porcentaje de IPS con  hechos vitales (Nacimientos y Defunciones) y la academia  en el proceso de  estadísticas vitales con  asistencia técnica reportados.</t>
  </si>
  <si>
    <t>Gestión y consecución de certificados de nacidos vivo y defunción, previa solicitud al DANE y distribución a las 42 Secretarias Municipales de Salud</t>
  </si>
  <si>
    <r>
      <t>F D R</t>
    </r>
    <r>
      <rPr>
        <sz val="10"/>
        <color theme="1"/>
        <rFont val="Calibri"/>
        <family val="2"/>
      </rPr>
      <t xml:space="preserve"> </t>
    </r>
  </si>
  <si>
    <r>
      <t>CTI</t>
    </r>
    <r>
      <rPr>
        <sz val="10"/>
        <color theme="1"/>
        <rFont val="Calibri"/>
        <family val="2"/>
      </rPr>
      <t xml:space="preserve"> </t>
    </r>
  </si>
  <si>
    <t xml:space="preserve">PLAN DE ACCIÓN 2016 </t>
  </si>
  <si>
    <t>DEPENDENCIA RESPONSABLE: SECRETARÍA DE GOBIERNO Y PARTICIPACIÓN</t>
  </si>
  <si>
    <t xml:space="preserve">DEPENDENCIAS DE APOYO: ___________________________________________________________                                                        </t>
  </si>
  <si>
    <r>
      <t>F D R</t>
    </r>
    <r>
      <rPr>
        <sz val="10"/>
        <color rgb="FFFF0000"/>
        <rFont val="Calibri"/>
        <family val="2"/>
        <scheme val="minor"/>
      </rPr>
      <t xml:space="preserve"> </t>
    </r>
  </si>
  <si>
    <r>
      <t>CTI</t>
    </r>
    <r>
      <rPr>
        <sz val="10"/>
        <color rgb="FFFF0000"/>
        <rFont val="Calibri"/>
        <family val="2"/>
        <scheme val="minor"/>
      </rPr>
      <t xml:space="preserve"> </t>
    </r>
  </si>
  <si>
    <t>Recuperación del Tejido Social, Construcción de Paz y Posconflicto</t>
  </si>
  <si>
    <t xml:space="preserve">Implementar 1 estrategia integral que permita disminuir la violencia estructural generadora de conflicto (priorizando las subregiónes: Oriente, Macizo,  Sur y Piedemonte Amazónico) </t>
  </si>
  <si>
    <t xml:space="preserve">Número de estrategias integrales que permita disminuir la violencia estructural generadora de conflicto (priorizando las subregiónes: Oriente, Macizo,  Sur y Piedemonte Amazónico) implementadas </t>
  </si>
  <si>
    <t>Seguridad Humana para la Paz y la Convivencia Ciudadana</t>
  </si>
  <si>
    <t xml:space="preserve">Contribuir a la disminución de hechos que atenten contra la condición humana, la vida, la integridad y la dignidad de las personas, implementando acciones integrales de seguridad humana para la paz, la armonía y la convivencia ciudadana mediante la consolidación de escenarios de diálogo permanente y resolución pacífica de los conflictos en los territorios del departamento del Cauca.
</t>
  </si>
  <si>
    <t xml:space="preserve">Formular 1 Política Integral de Seguridad Humana y Convivencia Ciudadana departamental </t>
  </si>
  <si>
    <t xml:space="preserve">Número de Políticas Integrales de Seguridad Humana y Convivencia Ciudadana departamental formuladas </t>
  </si>
  <si>
    <t>DINAMIZADORES DE PAZ Y CONVIVENCIA CIUDADANA</t>
  </si>
  <si>
    <t>Aprobado mediante Acta No. 003 Comité Orden Público</t>
  </si>
  <si>
    <t xml:space="preserve"> Una (1) Política Integral de Seguridad Humana y Convivencia Ciudadana departamental </t>
  </si>
  <si>
    <t xml:space="preserve">Equipo profesional contratista
Programa Seguridad Humana 
</t>
  </si>
  <si>
    <t>Dicho proyecto está aprobado por el Fondo de Seguridad Territorial FONSET en Comité de Orden Público</t>
  </si>
  <si>
    <t xml:space="preserve">Implementar una Política Integral de Seguridad Humana y Convivencia Ciudadana departamental </t>
  </si>
  <si>
    <t xml:space="preserve">Número de Políticas Integrales de Seguridad Humana y Convivencia Ciudadana departamental implementadas </t>
  </si>
  <si>
    <t>IMPLEMENTACIÓN DE ESTRATEGIAS QUE FORTALEZCAN LA SEGURIDAD HUMANA PARA LA PAZ Y LA CONVIVENCIA CIUDADANA</t>
  </si>
  <si>
    <t>2016-019000-0121</t>
  </si>
  <si>
    <t xml:space="preserve">Formular 1 política de libertad religiosa, de cultos y de conciencia </t>
  </si>
  <si>
    <t>Número de políticas de libertad religiosa, de cultos y de conciencia formulada</t>
  </si>
  <si>
    <t>TERRITORIO DE DERECHOS Y GARANTIAS SOCIALES. LIBERTAD RELIGIOSA DE CULTOS Y DE CONCIENCIA (Nombre tentativo, por definir)</t>
  </si>
  <si>
    <t>En etapa de formulación</t>
  </si>
  <si>
    <t xml:space="preserve">Una (1) política de libertad religiosa, de cultos y de conciencia </t>
  </si>
  <si>
    <t>Equipo profesional contratista
Proyecto de Inversión</t>
  </si>
  <si>
    <t>Implementar el 50% de la política de libertad religiosa, de cultos y de conciencia</t>
  </si>
  <si>
    <t xml:space="preserve">Porcentaje de la política de libertad religiosa, de cultos y de conciencia implementada </t>
  </si>
  <si>
    <t>Primera fase de la implementación de la  política de libertad religiosa, de cultos y de conciencia</t>
  </si>
  <si>
    <t xml:space="preserve">Crear 1 Consejo de asuntos religiosos y culturales del departamento </t>
  </si>
  <si>
    <t xml:space="preserve">Número de Consejos de asuntos religiosos y culturales del departamento creados  </t>
  </si>
  <si>
    <t>TERRITORIO DE DERECHOS Y GARANTIAS SOCIALES. LIBERTAD RELIGIOSA DE CULTOS Y DE CONCIENCIA(Nombre tentativo, por definir)</t>
  </si>
  <si>
    <t xml:space="preserve">Un (1) Consejo de asuntos religiosos y culturales del departamento constituido con una coordinación de asuntos religiosos </t>
  </si>
  <si>
    <t>Implementar 1 estrategia integral en articulación con las autoridades de policía correspondiente y las instituciones del gobierno nacional, que reduzcan  la presencia de cultivos ilícitos, el micro tráfico y el tráfico de insumos para la producción y el cultivo en el departamento, acorde con la nueva estrategia del Gobierno Nacional Integral de sustitución de cultivos ilícitos.</t>
  </si>
  <si>
    <t xml:space="preserve">Número de estrategias integrales en articulación con las autoridades de policía correspondiente y las instituciones del gobierno nacional, que reduzcan de la presencia de cultivos ilícitos, el micro tráfico y el tráfico de insumos para la producción y el cultivo en el departamento implementadas </t>
  </si>
  <si>
    <t>Una (1) estrategia integral formulada en articulación con las autoridades de policía correspondiente y las instituciones del gobierno nacional, que reduzcan  la presencia de cultivos ilícitos, el micro tráfico y el tráfico de insumos para la producción y el cultivo en el departamento, acorde con la nueva estrategia del Gobierno Nacional Integral de sustitución de cultivos ilícitos.</t>
  </si>
  <si>
    <t xml:space="preserve">Andrea Lorena Maca Orozco
Contratista </t>
  </si>
  <si>
    <t>Formular 1 Plan Integral de Seguridad Humana y Convivencia Ciudadana  Departamental conjuntamente con Policía Cauca</t>
  </si>
  <si>
    <t xml:space="preserve">Número de Planes Integrales de Seguridad Humana y Convivencia Ciudadana  Departamental conjuntamente con Policía Cauca formulados </t>
  </si>
  <si>
    <t>-</t>
  </si>
  <si>
    <t>Implementar  un Plan Integral de Seguridad Humana y Convivencia Ciudadana  Departamental conjuntamente con Policía Cauca</t>
  </si>
  <si>
    <t>Número de Planes Integrales de Seguridad Humana y Convivencia Ciudadana Departamental implementados conjuntamente con Policía Cauca</t>
  </si>
  <si>
    <t>1  PISCC  DEPARTAMENTAL</t>
  </si>
  <si>
    <t xml:space="preserve"> Implementación de los  Planes Integrales de Seguridad Humana y Convivencia Ciudadana conjuntamente con los municipios y Autoridades locales de Policía en siete municipios</t>
  </si>
  <si>
    <t>Impulsar la Implementación de 41 Planes Integrales de Seguridad Humana y Convivencia Ciudadana conjuntamente con los municipios y Autoridades locales de Policía en el Departamento</t>
  </si>
  <si>
    <t>Número de Planes Integrales de Seguridad Humana y Convivencia Ciudadana que se les impulsa la implementación conjuntamente con los municipios y Autoridades locales de Policía en el Departamento</t>
  </si>
  <si>
    <t>37  PISCC MUNICIPALES,            1 PISCC DEPARTAMENTAL</t>
  </si>
  <si>
    <t>Implementar 1 estrategia  que deslegitime socialmente las violencias contra las mujeres, interétnica, social y política en las diferentes  subregiones del departamento</t>
  </si>
  <si>
    <t xml:space="preserve">Número de estrategias que deslegitimizan socialmente las violencias contra las mujeres, interétnica, social y política en las diferentes  subregiones del departamento implementadas </t>
  </si>
  <si>
    <t>Diseño de una (1) estrategia  que deslegitime socialmente las violencias contra las mujeres, interétnica, social y política en las diferentes  subregiones del departamento</t>
  </si>
  <si>
    <t xml:space="preserve">Implementar en los 42 municipios del departamento el programa integral de dinamizadores territoriales de paz y convivencia ciudadana </t>
  </si>
  <si>
    <t xml:space="preserve">Número de municipios del departamento con el programa integral de dinamizadores territoriales de paz y convivencia ciudadana implementado </t>
  </si>
  <si>
    <t xml:space="preserve">Implementación en los 42 municipios del departamento el programa integral de dinamizadores territoriales de paz y convivencia ciudadana </t>
  </si>
  <si>
    <t>Este proyecto fue aprobado con recursos del FONSET a través del Comité Territorial de Orden Público.</t>
  </si>
  <si>
    <t xml:space="preserve">Apoyar institucionalmente el 100% de las acciones de Desarme, Desmovilización y Reintegración en los territorios del departamento </t>
  </si>
  <si>
    <t>Porcentaje de las acciones de Desarme, Desmovilización y Reintegración en los territorios del departamento  apoyadas institucionalmente</t>
  </si>
  <si>
    <t xml:space="preserve">Diseñar el protocolo de apoyo institucional para as acciones de Desarme, Desmovilización y Reintegración en los territorios del departamento </t>
  </si>
  <si>
    <t>Implementar 1 observatorio departamental de seguridad humana,  convivencia y  armonía ciudadana con enfoque subregional en el departamento</t>
  </si>
  <si>
    <t xml:space="preserve">Número de observatorios departamentales de seguridad humana, convivencia y  armonía ciudadana con enfoque subregional en el departamento implementados </t>
  </si>
  <si>
    <t>CREACION E IMPLEMENTACION DEL OBSERVATORIOS DE DERECHOS HUMANOS Y PAZ (Nombre tentativo, por definir)</t>
  </si>
  <si>
    <t>Un Observatorio creado e implementado.</t>
  </si>
  <si>
    <t>Incrementar en 70% el indicador de superación de la situación de vulnerabilidad, restablecimiento social y económico  de las víctimas de desplazamiento forzado en el departamento (priorizando las sub-regiones de Norte, Centro, Costa Pacífica y Sur)</t>
  </si>
  <si>
    <t xml:space="preserve">Indicador de superación de la situación de vulnerabilidad, restablecimiento social y económico  de las víctimas de desplazamiento forzado en el departamento (priorizando las sub-regiones de Norte, Centro, Costa Pacífica y Sur) incrementado </t>
  </si>
  <si>
    <t xml:space="preserve">0.7% (1453 personas en situación de desplazamiento superaron su situación de vulnerabilidad hasta 2015) </t>
  </si>
  <si>
    <t>Cauca avanza hacia la reparación integral de las víctimas del conflicto armado</t>
  </si>
  <si>
    <t xml:space="preserve">Contribuir a la atención, asistencia y reparación integral  de las víctimas de desplazamiento forzado y otros hechos victimizantes en el departamento del Cauca </t>
  </si>
  <si>
    <t>Apoyar 10 municipios en la implementación de una estrategia de protección y garantías de no repetición para víctimas del conflicto armado</t>
  </si>
  <si>
    <t xml:space="preserve">Número de municipios en la implementación de una estrategia de protección y garantías de no repetición para víctimas del conflicto armado </t>
  </si>
  <si>
    <t xml:space="preserve">IMPLEMENTACION DE LA POLITICA PUBLICA DE VICTIMAS DEL CONFLICTO ARMADO EN EL DEPARTAMENTO DEL CAUCA </t>
  </si>
  <si>
    <t>2016-019000-0065</t>
  </si>
  <si>
    <t>LOPEZ DE MICAY, GUAPI, TIMBIQUI, PIAMONTE, TAMBO, CALOTO, CORINTO, SUAREZ, ARGELIA Y PATIA</t>
  </si>
  <si>
    <t>COSTA PACIFICA, SUR, NORTE Y PIE DE MONTE</t>
  </si>
  <si>
    <t>VICTIMAS DEL CONFLICTO ARMADO</t>
  </si>
  <si>
    <t>Estrategia de protección y garantías de no repetición para víctimas del conflicto armado, especialmente dirigida a líderes y lideresas de la mesa departamental y municipales de víctimas y organizaciones de víctimas.</t>
  </si>
  <si>
    <t>Enlace Departamental de Víctimas</t>
  </si>
  <si>
    <t>Orientar al 100% de personas que demanden información sobre las Rutas atención, asistencia, reparación integral a víctimas del conflicto armado</t>
  </si>
  <si>
    <t xml:space="preserve">Porcentaje de personas que demanden información sobre las Rutas atención, asistencia, reparación integral a víctimas del conflicto armado orientadas </t>
  </si>
  <si>
    <t>Un foro abierto sobre la política pública de atención, asistencia y reparación integral a las víctimas con enfoque diferencial y étnico.</t>
  </si>
  <si>
    <t xml:space="preserve">Implementar 1 Plan de contingencia para atención de emergencias humanitarias en el marco del conflicto armado interno con enfoque diferencial étnico bajo los principios de concurrencia y subsidiariedad (según el decreto 2460 de 2015)
</t>
  </si>
  <si>
    <t xml:space="preserve">Número de Planes de contingencia para atención de emergencias humanitarias en el marco del conflicto armado interno con enfoque diferencial étnico bajo los principios de concurrencia y subsidiariedad (según el decreto 2460 de 2015) implementados </t>
  </si>
  <si>
    <t>42 MUNICIPIOS DEL DEPARTAMENTO DEL CAUCA</t>
  </si>
  <si>
    <t>Un plan de contingencia implementado para atender las emergencias humanitarias en el marco del conflicto armado interno con enfoque diferencial étnico bajo los principios de concurrencia y subsidiariedad (según el decreto 2460 de 2015)</t>
  </si>
  <si>
    <t>Cada año se ejecuta el 100% del Plan de Contingencia cuando se presentan contingencias asociadas al conflicto armado</t>
  </si>
  <si>
    <t>Complementar el 60% de las solicitudes de asistencia funeraria a las víctimas del conflicto armado de los municipios con menor capacidad técnica, administrativa y financiera</t>
  </si>
  <si>
    <t xml:space="preserve">Porcentaje de las solicitudes de asistencia funeraria a las víctimas del conflicto armado de los municipios con menor capacidad técnica, administrativa y financiera complementados </t>
  </si>
  <si>
    <t>Ayudas funerarias (ataúdes) y honras fúnebres entregadas a las víctimas del conflicto armado residentes en los municipios con menor capacidad técnica, administrativa y financiera.</t>
  </si>
  <si>
    <t>En la vigencia 2016 se atendieron 5 solicitudes, por cuanto las 5 restantes se programan para vigencia 2017</t>
  </si>
  <si>
    <t xml:space="preserve">Apoyar al 100% de medidas de restitución de tierras contempladas en los fallos a cargo de la Secretaría de Gobierno con enfoque diferencial étnico
</t>
  </si>
  <si>
    <t xml:space="preserve">Porcentaje de medidas de restitución de tierras contempladas en los fallos a cargo de la Secretaría de Gobierno con enfoque diferencial étnico apoyadas </t>
  </si>
  <si>
    <t>Cumplimiento de las órdenes incluidas en las sentencias o fallos de restitución de tierras a cargo de la Secretaría de Gobierno y Participación con enfoque diferencial étnico.</t>
  </si>
  <si>
    <t>Apoyar 100% de planes de retornos y reubicaciones de la población víctima del conflicto armado aprobados por CTJT</t>
  </si>
  <si>
    <t xml:space="preserve">Porcentaje planes de retornos y reubicaciones de la población víctima del conflicto armado aprobados por CTJT apoyados </t>
  </si>
  <si>
    <t>2 apoyos</t>
  </si>
  <si>
    <t>LÓPEZ DE MICAY, GUAPI, TIMBIQUÍ, CAJIBÍO, PIENDAMÓ, TAMBO, TIMBÍO, CALOTO, MIRANDA Y SANTANDER DE QUILICHAO.</t>
  </si>
  <si>
    <t xml:space="preserve">COSTA PACIFICA, CENTRO, SUR, NORTE </t>
  </si>
  <si>
    <t>Planes de retornos y/o reubicaciones de la población víctima del conflicto armado aprobados por CTJT apoyados</t>
  </si>
  <si>
    <t>Conmemorar 20 eventos de reparación simbólica para dignificar a las víctimas del conflicto armado</t>
  </si>
  <si>
    <t xml:space="preserve">Número de eventos de reparación simbólica para dignificar a las víctimas del conflicto armado conmemorados </t>
  </si>
  <si>
    <t>2 eventos</t>
  </si>
  <si>
    <t xml:space="preserve">Iniciativas conmemorativas y de reparación simbólica para dignificar a las víctimas del conflicto armado apoyadas. </t>
  </si>
  <si>
    <t>Contribuir al cumplimiento del 100% los planes de reparación colectiva aprobados, con enfoque diferencial étnico, de acuerdo a las competencias de la Gobernación</t>
  </si>
  <si>
    <t xml:space="preserve">Porcentaje de los planes de reparación colectiva aprobados, con enfoque diferencial étnico, de acuerdo a las competencias de la Gobernación que se contribuye a su cumplimiento </t>
  </si>
  <si>
    <t>SANTANDER DE QUILICHAO, EL TAMBO, TIMBIQUÍ, EL PATÍA, POPAYÁN, TIMBÍO, SUAREZ, TORIBÍO, MIRANDA, JAMBALÓ, INZÁ, SILVIA, BUENOS AIRES, GUAPI, BALBOA Y BUENOS AIRES</t>
  </si>
  <si>
    <t>NORTE, CENTRO, SUR, COSTA PACÍFICA</t>
  </si>
  <si>
    <t>Planes de reparación colectiva –PIRC- apoyados con enfoque diferencial étnico, de acuerdo a las competencias de la Gobernación.</t>
  </si>
  <si>
    <t xml:space="preserve">Capacitar 1000 personas que demanden información sobre las medidas de reparación integral a las víctimas del conflicto armado  (Ley 1448 de 2011 y decretos étnicos) </t>
  </si>
  <si>
    <t xml:space="preserve">Número de personas que demanden información sobre las medidas de reparación integral a las víctimas del conflicto armado  (Ley 1448 de 2011 y decretos étnicos) capacitadas </t>
  </si>
  <si>
    <t>Capacitación a personas víctimas, funcionarios e instituciones que demanden información sobre las medidas de reparación integral a las víctimas del conflicto armado (Ley 1448 de 2011 y decretos étnicos)</t>
  </si>
  <si>
    <t xml:space="preserve">Caracterizar a la población víctima del conflicto armado del departamento del Cauca </t>
  </si>
  <si>
    <t xml:space="preserve">Población víctima del conflicto armado del departamento del Cauca caracterizada </t>
  </si>
  <si>
    <t>IMPLEMENTACIÓN DE UN PROCESO DE CARACTERIZACIÓN INTEGRAL A LAS VICTIMAS DEL CONFLICTO ARMADO EN EL DEPARTAMENTO DEL CAUCA</t>
  </si>
  <si>
    <t>15-16-1548</t>
  </si>
  <si>
    <t>Caracterización de victimas del conflicto armado del departamento del Cauca  realizada.</t>
  </si>
  <si>
    <t>Gestionar el 80% del componente de verdad y justicia a través de la preservación, difusión y apropiación colectiva de la verdad y la memoria histórica de las víctimas del conflicto armado</t>
  </si>
  <si>
    <t xml:space="preserve">Porcentaje del componente de verdad y justicia a través de la preservación, difusión y apropiación colectiva de la verdad y la memoria histórica de las víctimas del conflicto armado gestionado </t>
  </si>
  <si>
    <t>Avance del  componente de verdad y justicia a través de la preservación, difusión y apropiación colectiva de la verdad y la memoria histórica de las víctimas del conflicto armado</t>
  </si>
  <si>
    <t xml:space="preserve">Garantizar el 100%  de los Comités técnicos de la Mesa de Participación en los espacios de decisión conforme a la normatividad vigente </t>
  </si>
  <si>
    <t xml:space="preserve">Porcentaje de los Comités técnicos de la Mesa de Participación en los espacios de decisión conforme a la normatividad vigente garantizados </t>
  </si>
  <si>
    <t>Comités ejecutivos de la Mesa de Participación de víctimas del nivel departamental para garantías en los espacios de decisión conforme a la normatividad vigente.</t>
  </si>
  <si>
    <t xml:space="preserve">Garantizar el 100%  de Plenarios de la Mesa de Participación de víctimas de acuerdo a la normatividad vigente </t>
  </si>
  <si>
    <t xml:space="preserve">Porcentaje de Plenarios de la Mesa de Participación de víctimas de acuerdo a la normatividad vigente garantizados </t>
  </si>
  <si>
    <t>Plenarios de la Mesa de Participación de víctimas de acuerdo a la normatividad vigente.</t>
  </si>
  <si>
    <t>Garantizar el 100% de CTJT y Sub-comités técnicos la participación de los delegados en la Mesa Departamental de víctimas</t>
  </si>
  <si>
    <t xml:space="preserve">Porcentaje de CTJT y Sub-comités técnicos la participación de los delegados en la Mesa Departamental de víctimas garantizados </t>
  </si>
  <si>
    <t>2 Comités Territoriales de Justicia Transicional y 10  subcomités de sistemas de información, reparación integral, atención y asistencia, restitución de tierras y prevención, protección y garantías de no repetición.</t>
  </si>
  <si>
    <t>Cofinanciar el 100% de los procesos de elección de la Mesa departamental de víctimas</t>
  </si>
  <si>
    <t xml:space="preserve">Porcentaje de los procesos de elección de la Mesa departamental de víctimas cofinanciados </t>
  </si>
  <si>
    <t xml:space="preserve">Proceso de elección de la Mesa departamental de víctimas </t>
  </si>
  <si>
    <t>Asistir técnicamente al 100% de los municipios en la implementación de la política pública de víctimas del conflicto armado</t>
  </si>
  <si>
    <t xml:space="preserve">Porcentaje de los municipios en la implementación de la política pública de víctimas del conflicto armado asistidos técnicamente 
</t>
  </si>
  <si>
    <t>Un proceso de asistencia técnica a los municipios en la implementación de la política pública de víctimas del conflicto armado.</t>
  </si>
  <si>
    <t>Implementar el 80% Plan de Acción Territorial del Departamento</t>
  </si>
  <si>
    <t xml:space="preserve">Porcentaje Plan de Acción Territorial del Departamento implementado </t>
  </si>
  <si>
    <t>Una iniciativa/proyecto de recuperación de la memoria histórica con enfoque diferencial de género apoyada en el marco de la implementación del PAT 2016- 2019.</t>
  </si>
  <si>
    <t>Fortalecer 1 Programa de Atención a víctimas a nivel departamental (Equipo de trabajo)</t>
  </si>
  <si>
    <t>Número de Programas de Atención a víctimas a nivel departamental (Equipo de trabajo) fortalecidos</t>
  </si>
  <si>
    <t xml:space="preserve">Profesionales requeridos para la implementación del proyecto </t>
  </si>
  <si>
    <t xml:space="preserve">Implementar 1 estrategia para posicionar el Cauca como un departamento referente en la construcción de la paz, la reconciliación y el ejercicio integral de los derechos humanos  
</t>
  </si>
  <si>
    <t xml:space="preserve">Número de estrategias para posicionar el Cauca como un departamento referente en la construcción de la paz, la reconciliación y el ejercicio integral de los derechos humanos  implementadas </t>
  </si>
  <si>
    <t>Cauca protege los derechos humanos y promueve la construcción de paz desde los territorios</t>
  </si>
  <si>
    <t xml:space="preserve">Promover acciones institucionales por la paz que contribuyan a la reconciliación desde los territorios y el ejercicio integral de los  derechos humanos en el departamento del Cauca
</t>
  </si>
  <si>
    <t xml:space="preserve">Implementar 7 acuerdos por la convivencia, entre diversos sectores sociales en conflicto y con la institucionalidad en las siete subregiones del departamento del Cauca </t>
  </si>
  <si>
    <t xml:space="preserve">Número de acuerdos por la convivencia, entre diversos sectores sociales en conflicto y con la institucionalidad en las siete subregiones del departamento del Cauca implementados </t>
  </si>
  <si>
    <r>
      <rPr>
        <sz val="11"/>
        <rFont val="Calibri"/>
        <family val="2"/>
        <scheme val="minor"/>
      </rPr>
      <t>3</t>
    </r>
    <r>
      <rPr>
        <b/>
        <sz val="11"/>
        <rFont val="Calibri"/>
        <family val="2"/>
        <scheme val="minor"/>
      </rPr>
      <t xml:space="preserve"> </t>
    </r>
    <r>
      <rPr>
        <sz val="11"/>
        <rFont val="Calibri"/>
        <family val="2"/>
        <scheme val="minor"/>
      </rPr>
      <t xml:space="preserve">
</t>
    </r>
  </si>
  <si>
    <t xml:space="preserve">Fortalecimiento local institucional y social para la protección de los DDHH y la construcción de la paz </t>
  </si>
  <si>
    <t>Ssepi2016-019000-0066</t>
  </si>
  <si>
    <t xml:space="preserve">Caldono </t>
  </si>
  <si>
    <t xml:space="preserve">Subregión Centro </t>
  </si>
  <si>
    <t xml:space="preserve">Población de Caldono </t>
  </si>
  <si>
    <t xml:space="preserve">Un pacto comunitario e institucional por la convivencia la paz y la reconciliación </t>
  </si>
  <si>
    <t xml:space="preserve">Coordinación y Profesional en Psicología del Proyecto de Inversión
</t>
  </si>
  <si>
    <t xml:space="preserve">En esta vigencia se va a construir 1 pacto nuevo. </t>
  </si>
  <si>
    <t xml:space="preserve">Fortalecer 2 territorios de Convivencia y Paz </t>
  </si>
  <si>
    <t xml:space="preserve">Número de territorios de Convivencia y Paz fortalecidos </t>
  </si>
  <si>
    <t xml:space="preserve">1 Territorio de paz y convivencia con acuerdo municipal emitido por el Concejo de Bolívar. (Acuerdo 002 de 2013)
*1 Territorio de Convivencia y Paz con Decreto 982  La María Piendamó
</t>
  </si>
  <si>
    <t>Bolívar</t>
  </si>
  <si>
    <t xml:space="preserve">Subregión Macizo </t>
  </si>
  <si>
    <t xml:space="preserve">Población de Bolívar </t>
  </si>
  <si>
    <t>Documento que da cuenta de la estructura y las bases sociales y políticas de la experiencia del Territorio de Convivencia y Paz de Lerma municipio de Lerma, como una experiencia de construcción de paz territorial impulsada por las comunidades.</t>
  </si>
  <si>
    <t xml:space="preserve">Coordinación y Profesional en Filosofía del Proyecto de Inversión
</t>
  </si>
  <si>
    <t>Asistir técnicamente al 100% de los municipios en rutas y planes de prevención y protección de los derechos humanos en el departamento</t>
  </si>
  <si>
    <t xml:space="preserve">Porcentaje de los municipios en rutas y planes de prevención y protección de los derechos humanos en el departamento asistidos técnicamente </t>
  </si>
  <si>
    <t xml:space="preserve">21 municipios </t>
  </si>
  <si>
    <t xml:space="preserve">Corinto, Buenos Aires, Caldono, Cajibío, Timbiquí, Caloto </t>
  </si>
  <si>
    <t>Subregión norte, Pacífica y Centro</t>
  </si>
  <si>
    <t>Población de Corinto, Buenos Aires, Caldono, Jambaló, Timbiquí, Caloto</t>
  </si>
  <si>
    <t xml:space="preserve">Seis planes de prevención y protección de derechos humanos y paz diseñados </t>
  </si>
  <si>
    <t>Implementar 1 Mesa departamental de Garantías  para defensores y defensoras de derechos humanos que involucre a organizaciones y defensores-as de las siete subregiones y a instancias de investigación, control y garantía de los derechos del orden nacional y regional</t>
  </si>
  <si>
    <t>Número de Mesas departamentales de Garantías para defensores y defensoras de derechos humanos que involucre a organizaciones y defensores-as de las siete subregiones y a instancias de investigación, control y garantía de los derechos del orden nacional y regional implementadas</t>
  </si>
  <si>
    <t xml:space="preserve">Todas las Subregiones </t>
  </si>
  <si>
    <t xml:space="preserve">Defensores y defensoras de DDHH del departamento del Cauca </t>
  </si>
  <si>
    <t xml:space="preserve">Un plan de acción de prevención y protección de la Mesa Territorial de Gaantías. 
</t>
  </si>
  <si>
    <t>Implementar 22 acciones  que fortalezcan la capacidad comunitaria e institucional para el desminado humanitario civil (prioritariamente en la Subregión Sur, Macizo, Norte y Centro)</t>
  </si>
  <si>
    <t xml:space="preserve">Número de acciones  que fortalezcan la capacidad comunitaria e institucional para el desminado humanitario civil implementadas (prioritariamente en la Subregión Sur, Macizo, Norte y Centro) </t>
  </si>
  <si>
    <t>Fortalecimiento local institucional y social para la protección de los DDHH y la construcción de la paz</t>
  </si>
  <si>
    <t>Buenos Aires, Corinto, Inzá</t>
  </si>
  <si>
    <t>Subregión norte y Oriente</t>
  </si>
  <si>
    <t xml:space="preserve">Subregión norte, oriente y del departamento del Cauca </t>
  </si>
  <si>
    <t>Planes de mitigación en del riesgo por MAP y MUSE en 3 instituciones educativas en las subregión norte, oriente y centro del departamento, diseñados e implementados en el componente de Educación en El Riesgo.</t>
  </si>
  <si>
    <t xml:space="preserve">Implementar 1 plan departamental de protección y prevención de derechos humanos y derechos internacional Humanitario </t>
  </si>
  <si>
    <t xml:space="preserve">Número de planes departamentales de protección y prevención de derechos humanos y derechos internacional Humanitario implementados </t>
  </si>
  <si>
    <t xml:space="preserve">Todos los municipios </t>
  </si>
  <si>
    <t xml:space="preserve">Sector empresarial y gremial del departamento </t>
  </si>
  <si>
    <t xml:space="preserve">Documento que contiene las apuestas y posiciones de los gremios y sectores empresariales del departamento del Cauca con relación a los diálogos en la Habana Cuba y la construcción de la paz territorial. 
Montaje de 5 manifestaciones culturales como medio para la restitución de derechos de cinco sujetos de reparación colectiva en las subregiones Norte, centro y Sur. </t>
  </si>
  <si>
    <t xml:space="preserve">Coordinación y Equipo Profesional Proyecto de Inversión
</t>
  </si>
  <si>
    <t xml:space="preserve">Implementar en un 10% la Política Pública Integral de Derechos Humanos  y Paz </t>
  </si>
  <si>
    <t xml:space="preserve">Porcentaje de Política Pública Integral de Derechos Humanos y Paz implementada </t>
  </si>
  <si>
    <t xml:space="preserve">42 municipios </t>
  </si>
  <si>
    <t xml:space="preserve">Población Caucana </t>
  </si>
  <si>
    <t>Documento que contiene la discusión institucional y social sobre la garantía de derechos y vulneraciones presentadas en el territorio caucano</t>
  </si>
  <si>
    <t>Participación social y comunitaria</t>
  </si>
  <si>
    <t xml:space="preserve">Incrementar en un 20% la asistencia técnica a las organizaciones sociales, comunitarias y de economía solidaria del Departamento del Cauca </t>
  </si>
  <si>
    <t xml:space="preserve">Porcentaje de asistencia técnica a las organizaciones sociales, comunitarias y de economía solidaria del Departamento del Cauca incrementado </t>
  </si>
  <si>
    <t>Participación para la construcción de Paz Territorial</t>
  </si>
  <si>
    <t>Fortalecer la participación de las organizaciones del Departamento del Cauca, para consolidar los procesos de democracia, participación política y dinamizar los diálogos con las  instituciones  y las comunidades desde los escenarios locales para la construcción de Paz territorial.</t>
  </si>
  <si>
    <t xml:space="preserve">Implementar en 20 asociaciones de juntas de acción comunal las comisiones empresariales </t>
  </si>
  <si>
    <t xml:space="preserve">Número de asociaciones de juntas de acción comunal las comisiones empresariales implementadas  </t>
  </si>
  <si>
    <t>INCREMENTO DE LOS NIVELES DE PARTICIPACIÓN SOCIAL, POLÍTICA, ELECTORAL Y COMUNITARIA PARA LA CONSTRUCCIÓN DE LA PAZ TERRITORIAL EN EL DEPARTAMENTO DEL CAUCA</t>
  </si>
  <si>
    <t>2016-019000-0099</t>
  </si>
  <si>
    <t>Directivas de las JACS, los coordinadores de comités o comisiones y o delegados.</t>
  </si>
  <si>
    <t>Un documento que contenga la sistematizacIon del proceso de implementacion en 2 asociaciones de juntas de acción comunal las comisiones empresariales.</t>
  </si>
  <si>
    <t xml:space="preserve">Leovigildo  Mosquera (profesional especializado) y Gerardo Castrillón (Auxiliar administrativo)Secretaria de Gobierno y participación. 
Equipo profesional contratista, proyecto de inversion. </t>
  </si>
  <si>
    <t>Fortalecer 1400 organizaciones sin ánimo de lucro (asociaciones, corporaciones, fundaciones, organizaciones de economía solidaria, veedurías de control social y asociaciones de las JAL), a través de jornadas de acompañamiento y control (distribuidas en las Subregiones del Departamento)</t>
  </si>
  <si>
    <t>Número de organizaciones sin ánimo de lucro, a través de jornadas de acompañamiento y control fortalecidas (distribuidas en las Subregiones del Departamento)</t>
  </si>
  <si>
    <t>Caldono, Jambaló, Toribio, Caloto, Miranda, Corinto, Santander, B/Aires, Tambo, Popayán, Silvia, Morales, Lopez de Micay, Guapi, Timbiquí, Argelia, Balboa, Bolivar, Mercaderes, Bordo, Almaguer.</t>
  </si>
  <si>
    <t>Norte, Centro, Sur, Pacífico, Macizo</t>
  </si>
  <si>
    <t>140 organizaciones sin animo de lucro de 21 municipios del Cauca</t>
  </si>
  <si>
    <t>Documento que contenga la descripción de los procesos de fortalecimiento y jornadas de acompañamiento a las organizaciones sin animo de lucro.</t>
  </si>
  <si>
    <t xml:space="preserve">Capacitar las 45 asociaciones de juntas de acción comunal y sus comisiones de convivencia y conciliación </t>
  </si>
  <si>
    <t xml:space="preserve">Número de asociaciones de juntas de acción comunal y sus comisiones de convivencia y conciliación capacitadas </t>
  </si>
  <si>
    <t>Santander de Quilichao, Popayán, el Tambo, Bolivar</t>
  </si>
  <si>
    <t xml:space="preserve">Norte, Centro, Sur </t>
  </si>
  <si>
    <t>Integrantes de las comisiones de convivencia y conciliacion de las asociaciones de juntas de accion comunal.</t>
  </si>
  <si>
    <t xml:space="preserve">Documento que contenga la sistematización del proceso de capacitación a las comsiones de Convivencia y Conciliación. </t>
  </si>
  <si>
    <t xml:space="preserve">Capacitar 300 formadores municipales de los organismos comunales, en la estrategia formador de formadores clave de Paz Territorial  </t>
  </si>
  <si>
    <t>Número de formadores municipales de los organismos comunales, en la estrategia formador de formadores clave de Paz Territorial capacitados</t>
  </si>
  <si>
    <t xml:space="preserve">Popayan </t>
  </si>
  <si>
    <t>Formadores certificados por la estrategia formador de formadores de los organismos comunales del departamento.</t>
  </si>
  <si>
    <t>Formadores municipales de los organismos comunales, en la estrategia formador de formadores clave de Paz Territorial capacitados</t>
  </si>
  <si>
    <t xml:space="preserve">Realizar 7 jornadas de acompañamiento y control a las organizaciones sin ánimo de lucro (distribuidas en las Subregiones) </t>
  </si>
  <si>
    <t>Número de jornadas de acompañamiento y control a las organizaciones sin ánimo de lucro realizas (distribuidas en las Subregiones)</t>
  </si>
  <si>
    <t>Organizaciones sin animo de lucro de la subregion centro</t>
  </si>
  <si>
    <t>Documento que contenga los insumos para la construccion de la Ruta para las veedurias para la paz.</t>
  </si>
  <si>
    <t>Promover el 100% de los procesos de democracia local a través de la participación social, política y electoral con enfoque diferencial y para la construcción de la paz territorial</t>
  </si>
  <si>
    <t xml:space="preserve">Porcentaje de los procesos de democracia local a través de la participación social, política y electoral con enfoque diferencial y para la construcción de la paz territorial promovidos </t>
  </si>
  <si>
    <t>Apoyar 5 procesos de elección popular</t>
  </si>
  <si>
    <t xml:space="preserve">Número de procesos de elección popular apoyados </t>
  </si>
  <si>
    <t>42 municipios del Cauca</t>
  </si>
  <si>
    <t>Norte, Centro, Sur, Oriente, Pacífico, Macizo, Piedemonte Amazonico</t>
  </si>
  <si>
    <t>42 Municipios del Departamento del Cauca que es un total de 1.391.836 habitantes</t>
  </si>
  <si>
    <t>Cartilla pedagogica sobre los mecanismos de participación ciudadana enmarcados en las normas y la leyes actuales.</t>
  </si>
  <si>
    <t>Implementar 1 estrategia integral para el incremento de la participación ciudadana en el marco de los mecanismos contemplados en la ley y normas de participación</t>
  </si>
  <si>
    <t xml:space="preserve">Número de estrategias integrales para el incremento de la participación ciudadana en el marco de los mecanismos contemplados en la ley y normas de participación implementadas </t>
  </si>
  <si>
    <t>Santander de Quilichao, Popayán, Bolivar</t>
  </si>
  <si>
    <t>Norte, Centro, Sur</t>
  </si>
  <si>
    <t>Alcaldes municipales, secretarios de gobierno, Personeros, representantes de Sector Juvenil de las Administaciones Mpales, Presidentes de directorios mpales de los partidos políticos de 22 municipios del Cauca</t>
  </si>
  <si>
    <t>Documento de diagnóstico sobre niveles de participación ciudadana y recomendación para su incremento en el Departamento.</t>
  </si>
  <si>
    <t xml:space="preserve">Apoyar 33 encuentros de la mesa departamental interétnica y a las mesas étnicas y campesina en términos técnicos, académicos y logísticos </t>
  </si>
  <si>
    <t xml:space="preserve">Número de encuentros de la mesa departamental interétnica y a las mesas étnicas y campesina en términos técnicos, académicos y logísticos apoyados </t>
  </si>
  <si>
    <t>Organizaciones Afro, Indigenas, Campesinas de la mesa departamental Afro,  Mesa de Desarrollo territorial.</t>
  </si>
  <si>
    <t xml:space="preserve">Documento de Seguimiento a los procesos participativos de las mesa departamental interétnica y a las mesas étnicas y campesina </t>
  </si>
  <si>
    <t>Implementar 1 estrategia de pedagogía para la paz desde los territorios que posibilite la articulación institucional con las organizaciones sociales y comunitarias en los 42 municipios del Departamento.</t>
  </si>
  <si>
    <t xml:space="preserve">Número de estrategias de pedagogía para la paz desde los territorios que posibilite la articulación institucional con las organizaciones sociales y comunitarias en los 42 municipios del Departamento  implementadas </t>
  </si>
  <si>
    <t>Documento que estructure formule la Estrategia de la Pedagogía para la paz  de la Gobernacion del Cauca</t>
  </si>
  <si>
    <t>Implementar 1 estrategia para el reconocimiento y promoción social, política, cultural e  identitaria de los pueblos indígenas y de las comunidades Afros en el Departamento</t>
  </si>
  <si>
    <t xml:space="preserve">Número de estrategias para el reconocimiento y promoción social, política, cultural e  identitaria de los pueblos indígenas y de las comunidades Afros en el Departamento implementadas </t>
  </si>
  <si>
    <t>Cauca, Diverso e Intercultural</t>
  </si>
  <si>
    <t>Fortalecer la diversidad étnica y cultural en el departamento del cauca a través del reconocimiento de los pueblos indígenas, afrodescendientes y campesinos como sujetos sociales de derecho y como agentes colectivos constructores de paz.</t>
  </si>
  <si>
    <t>Implementar 7 acciones para promover  los procesos de consulta previa (en las Subregiones del Departamento)</t>
  </si>
  <si>
    <t>Número de acciones para promover  los procesos de consulta previa implementadas  (en las Subregiones del Departamento)</t>
  </si>
  <si>
    <t>Fortalecer las estrategias de desarrollo para las comunidades afrodescendientes, indìgenas y campesinas del Departamento del Cauca</t>
  </si>
  <si>
    <t>2016-019000-0097</t>
  </si>
  <si>
    <t>López de Micay, Timbiquí, Guapi y todos los municipios donde se están surtiendo procesos de Consulta Previa.</t>
  </si>
  <si>
    <t>Sub Regiones:  Pacífica, Norte, Centro y  Oriente</t>
  </si>
  <si>
    <t>Un documento que dé cuenta del estado actual de los procesos de consulta previa y estrategias para avanzar.</t>
  </si>
  <si>
    <t>Equipo Profesional Contratista 
Programa Cauca Diverso e Intercultural</t>
  </si>
  <si>
    <t>El Número de municipios no se puede precisar porque vamos a tener un espacio de seguimientos a los procesos de Consulta Previa que viene surtiendo el Ministerio de Interior, el cual al momento no tenemos la precisión de cuántos son.                    Indeterminado el Número de Afros, Indígenas, por las razones anteriormente expuestas.</t>
  </si>
  <si>
    <t>Promover 12 acciones de  sensibilización de los acuerdos de paz con enfoque étnico e intercultural en los territorios</t>
  </si>
  <si>
    <t xml:space="preserve">Número de acciones de  sensibilización de los acuerdos de paz con enfoque étnico e intercultural en los territorios promovidas </t>
  </si>
  <si>
    <t xml:space="preserve">Buenos Aires, Caldono, El Tambo, Almaguer, </t>
  </si>
  <si>
    <t>Sub Región: Norte, Centro,Macizo</t>
  </si>
  <si>
    <t>1. Un documento que dé cuenta de la perspectiva de paz de los grupos Étnicos y Campesinos en sus territorios.  
2.  Una serie de contenidos radiales que den cuenta de las realidades y perspectivas de la comunidad. 
3. Un documento que de cuenta de los avances de los acuerdos surtidos con en el marco de la Cumbre Agraria firmado el día 13 de junio de 2016.</t>
  </si>
  <si>
    <t xml:space="preserve">Implementar 1 plan de formación de servidores públicos de la Gobernación y de los municipios del departamento, de la gestión territorial con enfoque diferencial étnico, territorial e intercultural </t>
  </si>
  <si>
    <t xml:space="preserve">Número de planes de formación de servidores públicos de la Gobernación y de los municipios del departamento, de la gestión territorial con enfoque diferencial étnico,  territorial e intercultural implementados </t>
  </si>
  <si>
    <t>75 funcionarios municipales</t>
  </si>
  <si>
    <t>75 Servidores públicos capacitados en Derechos Étnicos para la Gestión Territorial.</t>
  </si>
  <si>
    <t xml:space="preserve">Aumentar en un 70% el índice de comunidades étnicas y campesinas atendidas con acompañamiento y asesoría técnica entorno a sus derechos y deberes como sujetos sociales de derecho  del departamento </t>
  </si>
  <si>
    <t xml:space="preserve">Porcentaje del índice de comunidades étnicas y campesinas atendidas con acompañamiento y asesoría técnica entorno a sus derechos y deberes como sujetos sociales de derecho  del departamento </t>
  </si>
  <si>
    <t>Argelia, Guapi, Lópes de Micay, Timbiquí, Balboa, Buenos Aires, Corinto, Miranda Caloto, Toribío,  Popayán.</t>
  </si>
  <si>
    <t>Sub Regiones: Sur, Costa Pacífica, Norte, Centro.</t>
  </si>
  <si>
    <t>Un Documento que dé Cuenta sobre las acciones que se realizan en los territorios para atender a las Comunidades Étnicas y Campesinas.</t>
  </si>
  <si>
    <t>Fortalecer el proceso organizativo de las comunidades Afrodescendientes (subregiones centro, oriente y piedemonte amazónico)</t>
  </si>
  <si>
    <t>Proceso organizativo de las comunidades Afrodescendientes fortalecido (subregiones centro, oriente y piedemonte amazónico)</t>
  </si>
  <si>
    <t>El Tambo y Piamonte</t>
  </si>
  <si>
    <t>Sub regiones Centro y Piamonte Amazónico.</t>
  </si>
  <si>
    <t>2 Consejos Comunitarios  Fortalecidos con herramientas en su parte juridica, administrativa y tributaria. 
2 Organizaciones Fortalecidos con herramientas en su parte juridica, administrativa y tributaria.</t>
  </si>
  <si>
    <t>Implementar 1 estrategia integral para el fortalecimiento de los procesos de reconocimiento  y  desarrollo de los pueblos indígenas, comunidades afro y campesinos</t>
  </si>
  <si>
    <t xml:space="preserve">Número de estrategias integrales para el fortalecimiento de los procesos de reconocimiento  y  desarrollo de los pueblos indígenas, comunidades afro y campesinos implementadas </t>
  </si>
  <si>
    <t>Buenos Aires, Caldono, Toribío, Jambaló, Miranda, Corinto, Puerto Tejada, Guachené, Santander de Quilicaho, Villa Rica, Suarez,Caloto,Padilla, Patía, m.</t>
  </si>
  <si>
    <t>Sub Región Norte, Sur.</t>
  </si>
  <si>
    <t xml:space="preserve">1 Video Clip que contenga el registro de los encuentros realizados en el Departamento. 1 Guardia Cimarrona Fortalecida,                                           1 Guardia Indígena fortalecida de los Municipios de caldono, Toribío, Jambaló.      </t>
  </si>
  <si>
    <t>Implementar en un 10% la Política pública de Recuperación y fortalecimiento de la cultura y economía campesina</t>
  </si>
  <si>
    <t xml:space="preserve">Porcentaje de la Política pública de Recuperación y fortalecimiento de la cultura y economía campesina implementada </t>
  </si>
  <si>
    <t>Ruta metodológica para la construcción de la Politica PUBLICA.</t>
  </si>
  <si>
    <t xml:space="preserve"> Incrementar en 40% el promedio de IGA de la Secretaría de Gobierno y Participación</t>
  </si>
  <si>
    <t xml:space="preserve">Porcentaje el promedio de IGA de la Secretaría de Gobierno y Participación incrementado </t>
  </si>
  <si>
    <t>Gobernación del Cauca reporta para  2013 un resultado promedio de 60,4  puntos en la evaluación IGA de Procuraduría</t>
  </si>
  <si>
    <t>Gobierno confiable, transparente y eficiente</t>
  </si>
  <si>
    <t xml:space="preserve">Implementar prácticas de buen gobierno que incrementen la efectividad en la gestión territorial y fortalezcan la relación del Gobierno local con la sociedad como procesos fundamentales para la construcción de paz.
</t>
  </si>
  <si>
    <t xml:space="preserve">Implementar 1 plan de formación de servidores públicos de Secretarías de Gobierno departamental y de los 42 municipios del Departamento del Cauca sobre buenas prácticas de buen gobierno </t>
  </si>
  <si>
    <t xml:space="preserve">Número planes de formación de servidores públicos de la Secretarías de Gobierno departamental y de los 42 municipios del Departamento del Cauca sobre buenas prácticas de buen gobierno implementados  </t>
  </si>
  <si>
    <t>IMPLEMENTACIÓN DE PRÁCTICAS DE BUEN GOBIERNO QUE GARANTICEN UNA GESTIÓN PÚBLICA TERRITORIAL CONFIABLE, TRANSPARENTE Y EFICIENTE EN LA SECRETARÍA DE GOBIERNO Y PARTICIPACIÓN</t>
  </si>
  <si>
    <t>2016-019000-0108</t>
  </si>
  <si>
    <t>1.346.932 personas.</t>
  </si>
  <si>
    <t xml:space="preserve">1. Un Plan de formación de servidores públicos de Secretarías de Gobierno departamental y de los 42 municipios del Cauca sobre prácticas de buen gobierno diseñado e implementado 
2. Los diferentes planes de acción, programas y proyectos implementados por la Secretaría de Gobierno y Participación monitoreados y evaluados
3. El Cauca es reconocido a nivel nacional como uno de los departamentos que promueve prácticas de buen gobierno dentro de su administración territorial 
4. La Secretaría de Gobierno y Participación  promueve una administración pública confiable, transparente y eficiente 
5. Índice de Gobierno de Abierto en procesos de publicación en SECOP aumentado a nivel alto
6. proyectos de Inversión públicos formulados y viabilizados en relación con  los programas a cargo de la Secretaría de Gobierno y Participación 
7. La Secretaría de Gobierno y Participación cuenta con una estrategia de información y comunicación política diseñada e implementada para promover la oferta institucional en favor de las comunidades más vulneradas y la construcción de paz. </t>
  </si>
  <si>
    <t>Equipo profesional contratista
Proyeto de Inversión</t>
  </si>
  <si>
    <t>Del total de la población beneficiada en los 42 municipios, 20,5% son Indígena; 21,1 % Afrodescendiente; 58,5% Mestiza</t>
  </si>
  <si>
    <t>Evaluar al 100% los diferentes planes de acción, programas y proyectos implementados por la Secretaría de Gobierno y Participación con enfoque diferencial étnico y de género</t>
  </si>
  <si>
    <t xml:space="preserve">Porcentaje de los diferentes planes de acción, programas y proyectos implementados por la Secretaría de Gobierno y Participación con enfoque diferencial étnico y de género evaluados </t>
  </si>
  <si>
    <t>Alcanzar 80% en el Índice de Gobierno Abierto IGA en el ítem de publicación en SECOP de contratos emanados de la Secretaría de Gobierno y Participación</t>
  </si>
  <si>
    <t xml:space="preserve">Índice de Gobierno Abierto IGA en la Secretaría de Gobierno y Participación </t>
  </si>
  <si>
    <t xml:space="preserve">Cauca reporta en la evaluación IGA de Procuraduría para las vigencias 2010 a 2011 es calificada con cero(0) en indicador de Publicación de contratos </t>
  </si>
  <si>
    <t>Diseñar 1 estrategia integral de buenas prácticas de gobernabilidad, promoción de la transparencia y lucha contra la corrupción desde un enfoque diferencial étnico, de derechos y de género en la Secretaría de Gobierno y Participación</t>
  </si>
  <si>
    <t xml:space="preserve">Número de estrategias integrales de buenas prácticas de gobernabilidad, promoción de la transparencia y lucha contra la corrupción desde un enfoque diferencial étnico, de derechos y de género en la Secretaría de Gobierno y Participación diseñadas </t>
  </si>
  <si>
    <t>0.30</t>
  </si>
  <si>
    <t>Implementar 1 Plan Estratégico que promueva la cultura del buen gobierno en los 42 municipios del Cauca</t>
  </si>
  <si>
    <t xml:space="preserve">Número de planes estratégicos que promueva la cultura del buen gobierno en los 42 municipios del Cauca implementados </t>
  </si>
  <si>
    <t>Implementar 1 programa de modernización administrativa y de gestión al interior de la Secretaría de Gobierno y Participación</t>
  </si>
  <si>
    <t>Número de programas de modernización administrativa y de gestión implementados al interior de la Secretaría de Gobierno y Participación</t>
  </si>
  <si>
    <t>Formular 1 proyecto de modernización administrativa y de gestión que ayude al logro y al cumplimiento de objetivos y programas de la Secretaría de Gobierno y Participación</t>
  </si>
  <si>
    <t xml:space="preserve">Número de proyectos de modernización administrativa y de gestión que ayude al logro y al cumplimiento de objetivos y programas de la Secretaría de Gobierno y Participación formulados </t>
  </si>
  <si>
    <r>
      <t>DEPENDENCIA RESPONSABLE: __</t>
    </r>
    <r>
      <rPr>
        <u/>
        <sz val="10"/>
        <rFont val="Arial"/>
        <family val="2"/>
      </rPr>
      <t>SECRETARÍA DE INFRAESTRUCTURA______</t>
    </r>
    <r>
      <rPr>
        <sz val="10"/>
        <rFont val="Arial"/>
        <family val="2"/>
      </rPr>
      <t>______________________________________________________</t>
    </r>
  </si>
  <si>
    <r>
      <t>DEPENDENCIAS DE APOYO: ___</t>
    </r>
    <r>
      <rPr>
        <u/>
        <sz val="10"/>
        <rFont val="Arial"/>
        <family val="2"/>
      </rPr>
      <t>OFICINA ASESORA DE PLANEACIÓN_</t>
    </r>
    <r>
      <rPr>
        <sz val="10"/>
        <rFont val="Arial"/>
        <family val="2"/>
      </rPr>
      <t xml:space="preserve">_______________________________________________________                                                        </t>
    </r>
  </si>
  <si>
    <t>RECURSOS PROGRAMADOS POR META VIGENCIA 2016 (MILES DE PESOS)</t>
  </si>
  <si>
    <r>
      <t>F D R</t>
    </r>
    <r>
      <rPr>
        <b/>
        <sz val="10"/>
        <color rgb="FFFF0000"/>
        <rFont val="Calibri"/>
        <family val="2"/>
        <scheme val="minor"/>
      </rPr>
      <t xml:space="preserve"> </t>
    </r>
  </si>
  <si>
    <r>
      <t>CTI</t>
    </r>
    <r>
      <rPr>
        <b/>
        <sz val="10"/>
        <color rgb="FFFF0000"/>
        <rFont val="Calibri"/>
        <family val="2"/>
        <scheme val="minor"/>
      </rPr>
      <t xml:space="preserve"> </t>
    </r>
  </si>
  <si>
    <t xml:space="preserve">Reducir al 4% el déficit cuantitativo de vivienda
</t>
  </si>
  <si>
    <t xml:space="preserve">Porcentaje del déficit cuantitativo de vivienda reducido 
</t>
  </si>
  <si>
    <t xml:space="preserve">6%
</t>
  </si>
  <si>
    <t>Construcción, mejoramiento y rehabilitación de vivienda</t>
  </si>
  <si>
    <t>Reducir el déficit cuantitativo y cualitativo de vivienda, mejorando las condiciones de habitabilidad de la comunidad caucana.</t>
  </si>
  <si>
    <t xml:space="preserve">Construir 5.517 viviendas
</t>
  </si>
  <si>
    <t>Número de viviendas construidas</t>
  </si>
  <si>
    <t xml:space="preserve">4.803
</t>
  </si>
  <si>
    <t>Construcción de viviendas de interés social rural modalidad dispersa en Municipios del Departamento del Cauca, Occidente</t>
  </si>
  <si>
    <t>BIPIN           2013000030136</t>
  </si>
  <si>
    <t>Miranda, Popayán, Cajibío, Mercaderes, Balboa, Silvia, El Tambo, Totoró, Argelia, Caloto, Inzá, Toribío, Sotará, Caldono, Morales, Piendamó, Santa Rosa</t>
  </si>
  <si>
    <t>Norte, Centro, Sur, Oriente, Piedemonte Amozónico</t>
  </si>
  <si>
    <t>Gloria Marmolejo</t>
  </si>
  <si>
    <t>Proyecto de Vivienda Honduras I</t>
  </si>
  <si>
    <t>BIPIN           2014-019000-0029</t>
  </si>
  <si>
    <t>Morales</t>
  </si>
  <si>
    <t>Construcción de 1,744 viviendas de interés prioritario para ahorradores del Municipio de Popayán</t>
  </si>
  <si>
    <t>Construcción de vivienda de interés social rural Pacto Agrario en municipios del Departamento del Cauca, Occidente</t>
  </si>
  <si>
    <t>BIPIN
201400030089</t>
  </si>
  <si>
    <t>Morales, Florencia, Popayán, Sotará, Timbío, Toribío, Miranda, Santa Rosa, Silvia, Mercaderes, Sucre, Caldono, Totoró y Caloto</t>
  </si>
  <si>
    <t>Centro, Sur, Norte, Bota Caucana, Oriente</t>
  </si>
  <si>
    <t>Reducir a 16% el déficit cualitativo de vivienda</t>
  </si>
  <si>
    <t xml:space="preserve">Porcentaje del déficit cualitativo de vivienda reducido </t>
  </si>
  <si>
    <t>Mejorar  2.758 viviendas</t>
  </si>
  <si>
    <t>Número de viviendas mejoradas</t>
  </si>
  <si>
    <t>Mejoramiento de vivienda para los municipios de Patía, El Tambo, La Sierra, La Vega, Sotará, Bolivar, Inza, Silvia, Cajibio y San Sebastian</t>
  </si>
  <si>
    <t>2012-019000-0122</t>
  </si>
  <si>
    <t>Patía, El Tambo, La Sierra, La Vega, Sotará, Bolivar, Inza, Silvia, Cajibio y San Sebastian</t>
  </si>
  <si>
    <t>Sur, Centro, Macizo, Oriente</t>
  </si>
  <si>
    <t>Mejoramiento de las condiciones de habitabilidad mediante la construcción de baterías sanitarias en el corregimiento El Tablón</t>
  </si>
  <si>
    <t>Almaguer</t>
  </si>
  <si>
    <t>Macizo</t>
  </si>
  <si>
    <t>Julian Andrés Muñoz</t>
  </si>
  <si>
    <t>Mejoramiento de las condiciones de habitabilidad mediante la construcción de baterías sanitarias en el municipio de Balboa</t>
  </si>
  <si>
    <t>Balboa</t>
  </si>
  <si>
    <t>Sur</t>
  </si>
  <si>
    <t>Atender el 100% de las emergencias de vivienda</t>
  </si>
  <si>
    <t xml:space="preserve">Porcentaje de emergencias de vivienda atendidas </t>
  </si>
  <si>
    <t xml:space="preserve">Infraestructura Social y Productiva </t>
  </si>
  <si>
    <t>Ampliar en un 2% la cobertura de energía eléctrica</t>
  </si>
  <si>
    <t xml:space="preserve">Porcentaje de cobertura de energía eléctrica ampliado </t>
  </si>
  <si>
    <t>Ampliación de cobertura del servicio de energía</t>
  </si>
  <si>
    <t>Ampliar la cobertura del servicio de energía en las zonas urbanas y rurales</t>
  </si>
  <si>
    <t>Electrificar 5.000 viviendas</t>
  </si>
  <si>
    <t>Número de viviendas electrificadas</t>
  </si>
  <si>
    <t>Construcción de redes eléctricas M.T. y B.T.  En las veredas: La Heroica, Quebraditas, Chicharronal, San Luis Abajo, Municipio de Corinto en el  Departamento del Cauca.</t>
  </si>
  <si>
    <t>Corinto</t>
  </si>
  <si>
    <t>Edison Hoyos</t>
  </si>
  <si>
    <t>Ampliación de la cobertura electrica mediante la construcción de redes electricas de M.T. y B.T. en las veredas Jordan, Bermejal y Riñonada del Municipio de Almaguer Cauca.</t>
  </si>
  <si>
    <t>Construcción redes eléctricas en las veredas Rinconsito, Chorritos y Villegas</t>
  </si>
  <si>
    <t>2016-019000-0130</t>
  </si>
  <si>
    <t>La Sierra</t>
  </si>
  <si>
    <t>Construcción redes eléctricas en la vereda El Salero</t>
  </si>
  <si>
    <t>Construcción redes eléctricas en la veredas La Playa y Arrayanales</t>
  </si>
  <si>
    <t>2016-019000-0127</t>
  </si>
  <si>
    <t>Mercaderes</t>
  </si>
  <si>
    <t>Construcción redes eléctricas en la vereda San Antonio</t>
  </si>
  <si>
    <t>Construcción de redes eléctricas M.T. y B.T.  En 31 veredas del Municipio de Argelia en el  Departamento del Cauca.</t>
  </si>
  <si>
    <t>ARGELIA</t>
  </si>
  <si>
    <t>Construcción redes eléctricas en la veredas Chamizo y Yarumales</t>
  </si>
  <si>
    <t>Padilla</t>
  </si>
  <si>
    <t>Construcción de redes eléctricas M.T. y B.T.  en la vereda El Llano Belén, en el Municipio de Silvia en el  Departamento del Cauca.</t>
  </si>
  <si>
    <t>Silvia</t>
  </si>
  <si>
    <t>Oriente</t>
  </si>
  <si>
    <t>Construcción de redes eléctricas grupo uno sur: Municipio de Balboa, Municipio de Bolívar, Municipio de Almaguer, Municipio de la Sierra del departamento del Cauca</t>
  </si>
  <si>
    <t>Balboa, Bolívar, Almaguer, La Sierra</t>
  </si>
  <si>
    <t>Ampliar en 10 MW la potencialidad de generación eléctrica reportada por la UPME</t>
  </si>
  <si>
    <t xml:space="preserve">MW ampliados de potencialidad de generación eléctrica reportada por la UPME  </t>
  </si>
  <si>
    <t>Gestión de proyectos de generación eléctrica</t>
  </si>
  <si>
    <t>Ampliar las potencialidades para la generación de energía y facilitar el autoabastecimiento del servicio en comunidades rurales</t>
  </si>
  <si>
    <t>Gestionar 2 proyectos a nivel de factibilidad</t>
  </si>
  <si>
    <t>Número de proyectos  a nivel de factibilidad gestionados</t>
  </si>
  <si>
    <t>ESTUDIOS Y DISEÑOS DE PREFACTIBILIDAD DE LA PCH, VEREDA USENDA MUNICIPIO DE SILVIA - CAUCA.</t>
  </si>
  <si>
    <t>Disminuir en un 30% el costo del servicio de energía eléctrica en establecimientos o espacios públicos intervenidos</t>
  </si>
  <si>
    <t xml:space="preserve">Porcentaje de costo del servicio de energía eléctrica en establecimientos o espacios públicos intervenidos disminuido </t>
  </si>
  <si>
    <t>100% costo del servicio de energía para establecimientos o espacios públicos intervenidos</t>
  </si>
  <si>
    <t>Uso racional de la energía convencional o alternativa para iluminación y energización de establecimientos o espacios públicos</t>
  </si>
  <si>
    <t>Disminuir los costos del servicio de energía de establecimientos o espacios públicos</t>
  </si>
  <si>
    <t>Intervenir 5 establecimientos o espacios públicos</t>
  </si>
  <si>
    <t xml:space="preserve">Número de establecimientos o espacios públicos intervenidos </t>
  </si>
  <si>
    <t>Reducción</t>
  </si>
  <si>
    <t>Construcción de la infraestrucura de alumbrado publico para la iluminación de la vía Puerto Tejada - Puente Hormiguero</t>
  </si>
  <si>
    <t>Puerto Tejada</t>
  </si>
  <si>
    <t xml:space="preserve">Garantizar 300 días al año las condiciones aceptables de transitabilidad en la red vial secundaria
</t>
  </si>
  <si>
    <t xml:space="preserve">Número de días al año con condiciones aceptables de transitabilidad en la red vial secundaria garantizados 
</t>
  </si>
  <si>
    <t xml:space="preserve">
0
</t>
  </si>
  <si>
    <t>Conservación RUTINARIA de la  Red Vial  Departamental, con participación comunitaria</t>
  </si>
  <si>
    <t>Mantener las condiciones de transitabilidad de la red vial, disminuir costos de mantenimiento periódico y rehabilitación, contribuyendo con la generación de empleo rural y promoviendo la participación comunitaria.</t>
  </si>
  <si>
    <t xml:space="preserve">Conservar 1.878 km de vías secundarias y terciarias
</t>
  </si>
  <si>
    <t xml:space="preserve">Kilómetros de vías secundarias y terciarias con conservación rutinaria
</t>
  </si>
  <si>
    <t>PROYECTO DE MANTENIMIENTO RUTINARIO DE LA RED VIAL SECUNDARIA DEPARTAMENTAL CON PARTICIPACiÓN
COMUNITARIA</t>
  </si>
  <si>
    <t>Bolívar, Almaguer, Mercaderes, El Tambo, Patía, Coconuco, Florencia, Balboa, Argelia, Sucre, La Vega, La Sierra, Timbio, Puerto Tejada, Sotará, Rosas, Popayán, Puracé, San Sebastián, Cajibío, Totoró, Piendamó, Caldono, Santander De Quilichao, Buenos Aires, Silvia, Caloto, Jambaló, Guachené, Morales, Suárez, Inzá, Páez, Padilla, Corinto, Miranda</t>
  </si>
  <si>
    <t>Norte, Centro, Sur, Oriente, Macizo</t>
  </si>
  <si>
    <t>Oscar Iván Martínez Martínez</t>
  </si>
  <si>
    <t>Generar 10.000 nuevos empleos rurales</t>
  </si>
  <si>
    <t>Número de nuevos empleos rurales generados</t>
  </si>
  <si>
    <t>Participación del 90% de las JACs de la zona de influencia de la vía</t>
  </si>
  <si>
    <t xml:space="preserve">Porcentaje de participación de las JACs de la zona de influencia en la vía </t>
  </si>
  <si>
    <t xml:space="preserve">Incrementar a un 70% la red vial  secundaria en buen estado
</t>
  </si>
  <si>
    <t xml:space="preserve">Porcentaje de la red vial secundaria en buen estado 
</t>
  </si>
  <si>
    <t xml:space="preserve">50%
</t>
  </si>
  <si>
    <t>Mantenimiento periódico, mejoramiento, rehabilitación y atención de emergencias de la Red Vial Departamental</t>
  </si>
  <si>
    <t>Mejorar el estado de la red vial secundaria y terciaria</t>
  </si>
  <si>
    <t xml:space="preserve">Atender 800 km de red vial secundaria
</t>
  </si>
  <si>
    <t xml:space="preserve">Kilómetros de vías secundarias atendidas
</t>
  </si>
  <si>
    <t>Mantenimiento y mejoramiento via 25CC08 sector Sucre - Guachicono</t>
  </si>
  <si>
    <t>Sucre, Bolívar</t>
  </si>
  <si>
    <t>Yedilver Sánchez</t>
  </si>
  <si>
    <t>Mantenimiento y mejoramiento via 37CC02 Benalcázar – Páez - Honduras - Rio Chiquito por sectores</t>
  </si>
  <si>
    <t>Páez</t>
  </si>
  <si>
    <t>Mantenimiento y mejoramiento via 25CC03 Sector El Estrecho - Balboa</t>
  </si>
  <si>
    <t>Patía, Balboa</t>
  </si>
  <si>
    <t>Atencion sitio critico via 12CC01 sector Palmitas Lerma</t>
  </si>
  <si>
    <t>Mejoramiento de la vía Bolivar - San Lorenzo - Cuchilla de bateros (lim Nariño) (12CC04)</t>
  </si>
  <si>
    <t>Mantenimiento de la vía Crucero Pan de Azúcar - El Mesón – Chimborazo - Liberia</t>
  </si>
  <si>
    <t>2015-019000-0055</t>
  </si>
  <si>
    <t>Alex Díaz</t>
  </si>
  <si>
    <t>Mantenimiento de la via Palmitas - Lerma Almaguer  (Cruce Ruta 12CC05)</t>
  </si>
  <si>
    <t>Bolívar, Almaguer</t>
  </si>
  <si>
    <t>Mantenimiento de la vía La Venta - La Capilla - Primavera</t>
  </si>
  <si>
    <t>Cajibío</t>
  </si>
  <si>
    <t>Mantenimiento de la vía Piedra Sentada - Los Uvos - Paraiso - Sucre - Guachicono</t>
  </si>
  <si>
    <t>Patía, La Vega, Sucre, Bolívar</t>
  </si>
  <si>
    <t>Macizo, Sur</t>
  </si>
  <si>
    <t>Mantenimiento de la vía La Guyana - El Palmar - El Recreo</t>
  </si>
  <si>
    <t>La Vega</t>
  </si>
  <si>
    <t>Mantenimiento de la vía Popayán - Chiribío - Piedra de León</t>
  </si>
  <si>
    <t>Popayán, Sotará, Puracé</t>
  </si>
  <si>
    <t>Mantenimiento de la vía Timba - Mary López - El Ceral - Tierra Grata</t>
  </si>
  <si>
    <t>Buenos Aires</t>
  </si>
  <si>
    <t>Mantenimiento de la vía San Pedro - Crucero El Llano - La Sierra</t>
  </si>
  <si>
    <t>Sotará, La Sierra</t>
  </si>
  <si>
    <t>Reparcheo de la vía Villarica - Caloto</t>
  </si>
  <si>
    <t>Santander de Quilichao, Guachené, Caloto</t>
  </si>
  <si>
    <t>Melba Rocío Cruz Solarte</t>
  </si>
  <si>
    <t>Atención sitios crìticos en la vìa Timbío - Paispamba</t>
  </si>
  <si>
    <t>Timbío, Paispamba</t>
  </si>
  <si>
    <t>Henry Cuellar</t>
  </si>
  <si>
    <t>Atención de sitio crítico en la vía Mondomo - Tres Quebradas, sector Canoas</t>
  </si>
  <si>
    <t>Santander de Quilichao</t>
  </si>
  <si>
    <t>Mantenimiento via El Pital - Cerro Alto - Caldono</t>
  </si>
  <si>
    <t>Caldono</t>
  </si>
  <si>
    <t>Mantenimiento vía San Pedro - La Palomera</t>
  </si>
  <si>
    <t xml:space="preserve">Incrementar a un 10% la red vial  terciaria en buen estado
</t>
  </si>
  <si>
    <t>Porcentaje de la red vial terciaria en buen estado</t>
  </si>
  <si>
    <t>Atender 300 km de red vial terciaria</t>
  </si>
  <si>
    <t>Kilómetros de vías terciarias atendidas</t>
  </si>
  <si>
    <t>Mantenimiento de vías de la red terciaria en concurrencia con los municipios y otras entidades</t>
  </si>
  <si>
    <t>Bolívar, Almaguer, Mercaderes, El Tambo, Patía, Coconuco, Florencia, Balboa, Argelia, Sucre, La Vega, La Sierra, Timbio, Puerto Tejada, Sotará, Rosas, Popayán, Puracé, San Sebastián, Cajibío, Totoró, Piendamó, Caldono, Santander De Quilichao, Buenos Aires, Silvia, Caloto, Jambaló, Guachené, Morales, Suárez, Inzá, Páez, Padilla, Corinto, Miranda, Rosas, Santa Rosa, Villarica, Popayán, Piamonte</t>
  </si>
  <si>
    <t>Norte, Centro, Sur, Oriente, Macizo, Piedemonte Amazónico</t>
  </si>
  <si>
    <t>Mejoramiento de las vías terciarias de acceso a la cabecera del corregimiento de Arboleda</t>
  </si>
  <si>
    <t>Mantenimiento de vias tercirarias en Cerro Tijeras</t>
  </si>
  <si>
    <t>Suárez</t>
  </si>
  <si>
    <t>Mantenimiento de vias tercirarias en Honduras</t>
  </si>
  <si>
    <t>Atender el 100% de las emergencias  viales</t>
  </si>
  <si>
    <t>Porcentaje de Emergencias viales atendidas</t>
  </si>
  <si>
    <t xml:space="preserve">Atención de las emergencias viales que se presenten en los Municipios del departamento del Cauca </t>
  </si>
  <si>
    <t>Norte, Centro, Sur, Oriente, Macizo, Piedemonte Amazónico, Pacífica</t>
  </si>
  <si>
    <t>Todo el Departamento</t>
  </si>
  <si>
    <t>1000 m3</t>
  </si>
  <si>
    <t xml:space="preserve">Incrementar a 40 km/h la velocidad de operación  en las vías intervenidas
</t>
  </si>
  <si>
    <t xml:space="preserve">km/h de velocidad de operación en las vías intervenidas incrementado 
</t>
  </si>
  <si>
    <t xml:space="preserve">25
</t>
  </si>
  <si>
    <t>Pavimentación y mejoramiento de la Red Vial Departamental</t>
  </si>
  <si>
    <t>Mejorar las condiciones de operación de la red vial</t>
  </si>
  <si>
    <t>Pavimentar o mejorar 70 km de vías</t>
  </si>
  <si>
    <t>Kilómetros de vías pavimentados o mejorados</t>
  </si>
  <si>
    <t>Mejoramietno y Pavimentación de la vía 31CC05  Miranda - Santana- El Ortigal, sector de 720 m</t>
  </si>
  <si>
    <t>2014-019000-0100</t>
  </si>
  <si>
    <t>Miranda</t>
  </si>
  <si>
    <t>Melba Cruz</t>
  </si>
  <si>
    <t>Pavimentación de la vía 26CC03 Silvia - Jambaló</t>
  </si>
  <si>
    <t>Jambaló</t>
  </si>
  <si>
    <t xml:space="preserve">Rehabilitación y Pavimentación de la vía 25CC27 Puerto Tejada - La Sofia - Obando - Guachené - Crucero de Gualí Sector 2 Pr 7400 al PR 13+555 </t>
  </si>
  <si>
    <t>2015-019000-0102</t>
  </si>
  <si>
    <t>Guachené</t>
  </si>
  <si>
    <t>Pavimentación vía Balboa - Argelia (2,2 km)</t>
  </si>
  <si>
    <t>Argelia</t>
  </si>
  <si>
    <t>Mejoramiento y pavimentación de la doble calzada 53 norte desde la variante hacia la carrera 9 entre el  pr k1+420 hacia el pr k1+100, en la ciudad de popayan para aumentar la integración y competividad del departamento del cauca</t>
  </si>
  <si>
    <t>2014-000030065</t>
  </si>
  <si>
    <t>Popayan</t>
  </si>
  <si>
    <t>Mejoramiento y rehabilitación de la vía Popayán - El Tambo, intersección Ruta 2001 desde El Tablón hacia Río Hondo, tramo PR0+000 hasta el PR 1+350, en el Municipio de Popayán</t>
  </si>
  <si>
    <t>2015-0000-30076</t>
  </si>
  <si>
    <t>Construcción de pavimento de la vía 12CC05 tramo Almaguer - Cruce Ruta 25CC15</t>
  </si>
  <si>
    <t>Mejoramiento y pavimentación de la vía 26CC01 Morales – Suarez sector entre el  PR 20 al PR21+600</t>
  </si>
  <si>
    <t>Suarez</t>
  </si>
  <si>
    <t>Construcción de pavimento de la vía Florencia (Cauca) - San Pablo (Nariño), sector Florencia - límites con el Departamento de Nariño, Municipio de Florencia (Cauca)</t>
  </si>
  <si>
    <t>Florencia</t>
  </si>
  <si>
    <t>Integrar 20 veredas nuevas al sistema vial departamental</t>
  </si>
  <si>
    <t>Número de veredas nuevas integradas al sistema vial departamental</t>
  </si>
  <si>
    <t>Intervención de puentes, pontones, cables y otros métodos de transporte vehiculares y peatonales</t>
  </si>
  <si>
    <t xml:space="preserve">Integrar veredas y corregimientos al desarrollo económico y social del departamento. </t>
  </si>
  <si>
    <t xml:space="preserve">Intervenir 20  puentes o pontones
</t>
  </si>
  <si>
    <t xml:space="preserve">Número de puentes o pontones intervenidos
</t>
  </si>
  <si>
    <t>Mantenimiento puentes a través del programa conservación vial rutinaria</t>
  </si>
  <si>
    <t>2016-019000-0035</t>
  </si>
  <si>
    <t>Construir 3 proyectos convencionales o no convencionales</t>
  </si>
  <si>
    <t>Número de proyectos convencionales o no convencionales construidos</t>
  </si>
  <si>
    <t>Construcción puente peatonal sobre el rio Caquetá en la vía Santa Rosa, Vereda La Agencia en el municipio de Santa Rosa, Cauca.</t>
  </si>
  <si>
    <t>BPIN 2014-0000-30088</t>
  </si>
  <si>
    <t>Santa Rosa</t>
  </si>
  <si>
    <t>Piedemonte Amazónico</t>
  </si>
  <si>
    <t>CONSTRUCCIÓN DEL PUENTE PEATONAL VEREDA EL GUAYABAL, MUNICIPIO DE TIMBÍO. DEPARTAMENTO DEL CAUCA.</t>
  </si>
  <si>
    <t>El Tambo, Timbio</t>
  </si>
  <si>
    <t>Rehabilitación del puente sobre el rio Palo en la vía 25CC27 puerto tejada - guachené - crucero de gualí</t>
  </si>
  <si>
    <t>Elaborar 4 estudios y diseños</t>
  </si>
  <si>
    <t>Número de estudios y diseños elaborados</t>
  </si>
  <si>
    <t>Estudios y diseños Puente peatonal que comunica a la Urbanización El Ortigal con el Megacolegio a construir</t>
  </si>
  <si>
    <t>Estudios y diseños para la ampliación y rehabilitación del puente menor ubicado en el pr 9+584 de la vía puerto tejada - puente hormiguero</t>
  </si>
  <si>
    <r>
      <t xml:space="preserve">Estudios y diseños Puente peatonal Rio </t>
    </r>
    <r>
      <rPr>
        <b/>
        <sz val="10"/>
        <rFont val="Calibri"/>
        <family val="2"/>
      </rPr>
      <t>Piendamó</t>
    </r>
    <r>
      <rPr>
        <sz val="10"/>
        <rFont val="Calibri"/>
        <family val="2"/>
      </rPr>
      <t>, vereda Piendamó Arriba</t>
    </r>
  </si>
  <si>
    <t>Piendamó</t>
  </si>
  <si>
    <t xml:space="preserve">Incrementar en 2.000 el Número de pasajeros/año
</t>
  </si>
  <si>
    <t xml:space="preserve">Número de pasajeros/año incrementado
</t>
  </si>
  <si>
    <t xml:space="preserve">0
</t>
  </si>
  <si>
    <t>Construcción o ampliación de vías</t>
  </si>
  <si>
    <t>Mejorar la integración económica y social de regiones o comunidades, que se encuentran en condiciones de aislamiento</t>
  </si>
  <si>
    <t>Construir o ampliar 5 km de vías</t>
  </si>
  <si>
    <t>kms de vías construidas o ampliadas</t>
  </si>
  <si>
    <t>Incrementar 50 Tn/año el transporte de carga</t>
  </si>
  <si>
    <t>Tn/año el transporte de carga incrementada</t>
  </si>
  <si>
    <t>Construcción (1 km) del tramo Rio Claro – Los Andes, de la vía 20CC01 (Munchique – Juntas – Huisitó – Rio Claro – Los Andes), Municipio de El Tambo – Cauca.</t>
  </si>
  <si>
    <t>El Tambo</t>
  </si>
  <si>
    <t xml:space="preserve">Actualizar 1 Plataforma de información de la red vial secundaria y terciaria
</t>
  </si>
  <si>
    <t xml:space="preserve">Número de Plataformas de información de la red vial secundaria y terciaria actualizadas </t>
  </si>
  <si>
    <t xml:space="preserve">0
</t>
  </si>
  <si>
    <t>Diseño e implementación de herramientas para la planificación de la infraestructura vial y de servicios</t>
  </si>
  <si>
    <t>Generar herramientas para la gestión y planificación de infraestructura vial y de servicios</t>
  </si>
  <si>
    <t xml:space="preserve">Formular 15 planes viales municipales 
</t>
  </si>
  <si>
    <t xml:space="preserve">Número de planes viales municipales formulados
</t>
  </si>
  <si>
    <t xml:space="preserve">6
</t>
  </si>
  <si>
    <t>Diseño, formulación e implementación de los planes viales municipales para la red terciaria y su articulación al plan vial departamental, en 36 municipios del Departamento del Cauca</t>
  </si>
  <si>
    <t>Bolívar, Mercaderes, El Tambo, Patía, Coconuco, Balboa, Argelia, Sucre, La Vega, La Sierra, Timbio, Puerto Tejada, Sotará, Rosas, Popayán, Puracé, San Sebastián, Cajibío, Totoró, Piendamó, Caldono, Santander De Quilichao, Silvia, Caloto, Jambaló, Guachené, Morales, Suárez, Inzá, Páez, Padilla, Corinto, Miranda</t>
  </si>
  <si>
    <t>Actualizar 1 plan vial departamental</t>
  </si>
  <si>
    <t>Número de Planes viales departamental actualizados</t>
  </si>
  <si>
    <t>Actualización del Plan Vial Departamental del Cauca 2016-2025, en el marco del Plan Vial Regional - Primera Fase</t>
  </si>
  <si>
    <t>Poner 1 base de costos en funcionamiento</t>
  </si>
  <si>
    <t>Base de costos en funcionamiento</t>
  </si>
  <si>
    <t>Implementar 1 base de costos</t>
  </si>
  <si>
    <t>Base de costos implementada</t>
  </si>
  <si>
    <t>Forotalecimiento integral, estructural, técnico y operativo para el reforzamiento de la gestión institucional de la Secretaría de Infraestructura: Administración y actualización de la base de costos</t>
  </si>
  <si>
    <t>2016-019000-003</t>
  </si>
  <si>
    <t>Henry Cuellar Ángel</t>
  </si>
  <si>
    <t>Viabilizar el 50% de proyectos de infraestructura del transporte</t>
  </si>
  <si>
    <t xml:space="preserve">Porcentaje de proyectos de  infraestructura del transporte viabilizados </t>
  </si>
  <si>
    <t>Estudios y diseños de Proyectos de infraestructura del transporte y complementarios</t>
  </si>
  <si>
    <t>Garantizar el soporte técnico en la gestión del recurso de inversión y en el desarrollo técnico de los proyectos</t>
  </si>
  <si>
    <t>Elaborar 20 estudios de infraestructura del transporte</t>
  </si>
  <si>
    <t>Número de estudios de infraestructura del transporte elaborados</t>
  </si>
  <si>
    <t>Estudios y diseños para la rehabilitación del puente ubicado en el PR9+135  en la vía Puerto Tejada - Puente Hormiguero</t>
  </si>
  <si>
    <t>Estudio de factibilidad de infraestructura logística especializada - ILE en la subregión norte del Departamento del Cauca.- Fase II</t>
  </si>
  <si>
    <t>Santander de Quilichao, Buenos Aires, Suárez, Puerto Tejada, Caloto, Guachené, Villarica, Corinto, Miranda, Padilla, Jambaló, Caldono y Toribío</t>
  </si>
  <si>
    <t>Estudios y diseños para la pavimentación de la vía 26CC01 Morales - La Toma - Suarez del PR16+507 al PR20+007 y PR9+465 al PR9+545</t>
  </si>
  <si>
    <t>Morales - Suarez</t>
  </si>
  <si>
    <t>Centro, Norte</t>
  </si>
  <si>
    <t>Estudios y diseños de pavimentación de la vía Usenda - La Estrella municipio de Silvia Cauca (3 km)</t>
  </si>
  <si>
    <t>Estudios y diseños construcción doble calzada Glorieta de Timba al parque de Santader de Quilichao</t>
  </si>
  <si>
    <t xml:space="preserve">Estudios y diseños de rehabilitación de la vía El Cairo - Cajibio, municipio de Cajibio Cauca </t>
  </si>
  <si>
    <t>Estudios para la rehabilitacón de la vía Villa Rica - Caloto</t>
  </si>
  <si>
    <t>Caloto</t>
  </si>
  <si>
    <t>Estudios y diseños para la  pavimentación de la vía Bolívar - San Lorenzo</t>
  </si>
  <si>
    <t xml:space="preserve">Incrementar el 5% el transporte de pasajeros/año  en la Costa Pacífica
</t>
  </si>
  <si>
    <t xml:space="preserve">Porcentaje de  transporte de pasajeros/año en la Costa Pacífica incrementado
</t>
  </si>
  <si>
    <t>Infraestructura marítima, fluvial y aeroportuaria</t>
  </si>
  <si>
    <t>Contribuir al mejoramiento de las condiciones de movilidad en la red marítima, fluvial y aeroportuaria del departamento.</t>
  </si>
  <si>
    <t>Gestionar 3 proyectos de infraestructura marítima, fluvial, portuaria y aérea</t>
  </si>
  <si>
    <t>Número de proyectos de infraestructura marítima, fluvial, portuaria y aérea, gestionados</t>
  </si>
  <si>
    <t>Construcción III Etapa Muelle De Carga Y Pasajeros, Cabecera Municipal De Guapi, Cauca, Occidente: suministro e instalación grúas y dotación mobiliario</t>
  </si>
  <si>
    <t>2013-000030068</t>
  </si>
  <si>
    <t>Guapi</t>
  </si>
  <si>
    <t>Pacífica</t>
  </si>
  <si>
    <t>Oscar Iván Martínez</t>
  </si>
  <si>
    <t xml:space="preserve">Mejoramiento en 1 posición en  el escalafón de competitividad </t>
  </si>
  <si>
    <t xml:space="preserve">Posiciones mejoradas en el escalafón de competitividad </t>
  </si>
  <si>
    <t>Proyectos estratégicos de infraestructura</t>
  </si>
  <si>
    <t xml:space="preserve">Contribuir al fortalecimiento de la competitividad del departamento a través del desarrollo de proyectos estratégicos </t>
  </si>
  <si>
    <t>Gestionar 4 proyectos  estratégicos de infraestructura</t>
  </si>
  <si>
    <t xml:space="preserve">Número de proyectos  estratégicos de infraestructura gestionados </t>
  </si>
  <si>
    <t>Estudios y diseños Marginal del río Cauca</t>
  </si>
  <si>
    <t>El Tambo, Cajibío, Morales, Suárez</t>
  </si>
  <si>
    <t>Disminuir el 5% la tasa de mortalidad en accidentes de tránsito</t>
  </si>
  <si>
    <t xml:space="preserve">Tasa de mortalidad en accidentes de tránsito </t>
  </si>
  <si>
    <t>13,97 Tasa de mortalidad/ 100.000 habitantes</t>
  </si>
  <si>
    <t>Movilidad y transporte</t>
  </si>
  <si>
    <t>Asumir las competencias que en lo temas de tránsito, transporte y seguridad vial le corresponden al Departamento del Cauca.</t>
  </si>
  <si>
    <t xml:space="preserve">Implementar 3 proyectos incluidos en el plan de seguridad vial </t>
  </si>
  <si>
    <t xml:space="preserve">Número de proyectos incluidos en el plan de seguridad vial implementados </t>
  </si>
  <si>
    <t xml:space="preserve">0
</t>
  </si>
  <si>
    <t>Señalización vertical y horizontal de la vía Sucre -Guachicono</t>
  </si>
  <si>
    <t xml:space="preserve">Implementar el 30% del plan de seguridad vial </t>
  </si>
  <si>
    <t>Porcentaje del plan de seguridad vial implementado</t>
  </si>
  <si>
    <t>Formalización de las políticas, organización institucional para seguridad vial en concordancia con tránsito y transporte determinando competencias jurídicas y jurisdiccionales; trayectoria estratégica y desarrollo específico de las mismas; implementación, seguimiento, evaluación y mejora contínua</t>
  </si>
  <si>
    <t>Arnulfo Arias</t>
  </si>
  <si>
    <t xml:space="preserve">Apoyar 5 dependencias de la gobernación con proyectos de infraestructura </t>
  </si>
  <si>
    <t xml:space="preserve">Número de dependencias de la gobernación con proyectos de infraestructura apoyadas </t>
  </si>
  <si>
    <t xml:space="preserve">0%
</t>
  </si>
  <si>
    <t>Infraestructura social y productiva</t>
  </si>
  <si>
    <t xml:space="preserve">Apoyar a los diferentes sectores, de la producción, de servicios sociales e institucionales, en la ejecución de los proyectos en beneficio de las comunidades </t>
  </si>
  <si>
    <t xml:space="preserve">Ejecutar 40 proyectos de Construcción, mejoramiento, rehabilitación, mantenimiento de infraestructura  para la producción, de servicios sociales e institucionales
</t>
  </si>
  <si>
    <t xml:space="preserve">Número de proyectos de construcción, mejoramiento, rehabilitación, mantenimiento de infraestructura  para la producción, de servicios sociales e institucionales ejecutados 
</t>
  </si>
  <si>
    <t>Mejoramiento de las condiciones de saneamiento básico para la comunidad Negra, Afrocolombiana, Palenquera y Raizal en la subregión Norte del Cauca</t>
  </si>
  <si>
    <t>2014-000030042</t>
  </si>
  <si>
    <t xml:space="preserve">Puerto Tejada   </t>
  </si>
  <si>
    <t>Construcción puesto de salud en el corregimiento de San Lorenzo</t>
  </si>
  <si>
    <t>Construcción puesto de salud en el corregimiento de El Rosal</t>
  </si>
  <si>
    <t>San Sebastián</t>
  </si>
  <si>
    <t>Construcción puesto de salud vereda Santa Rita</t>
  </si>
  <si>
    <t>Construcción puesto de salud Corregimiento San Juan de Villlobos</t>
  </si>
  <si>
    <t>Ampliación y mejoramiento de la galeria del muncipio de Paez</t>
  </si>
  <si>
    <t>2013-00319-0001</t>
  </si>
  <si>
    <t>Construcción Hospital Nivel 1 En El Municipio De Piamonte, Departamento Del Cauca</t>
  </si>
  <si>
    <t>Piamonte</t>
  </si>
  <si>
    <t>Construcción Casa De Equidad Para Las Mujeres Del Cauca, Occidente</t>
  </si>
  <si>
    <t>Construcción del centro regional de comercialización de la Puerta de Oro del Oriente para el Departamento del Cauca</t>
  </si>
  <si>
    <t>Totoró</t>
  </si>
  <si>
    <t>Mejoramiento De Oportunidades Sociales Para La Población Afectada Por El Conflicto Armado En El Occidente Caucano Mediante La Construcción De Infraestructura En La I.E. Pueblo Nuevo Ciprés Municipio Del Tambo, Cauca</t>
  </si>
  <si>
    <t>Mejoramiento De Condiciones Sociales Para La Población Afectada Por El Conflicto Armado Y La Minería Ilegal Mediante La Construcción De Infraestructura Educativa En La I.E. San Fernando De Melchor, Municipio De Bolívar, Cauca</t>
  </si>
  <si>
    <t>Mejoramiento De Las Condiciones Sociales Para La Población Afectada Por La Pobreza Extrema En El Sur Del Cauca, Mediante La Construcción De Infraestructura En La Institución Educativa Santa Martha, Sede Principal, Municipio De Santa Rosa, Cauca.</t>
  </si>
  <si>
    <t>Bota Caucana</t>
  </si>
  <si>
    <t>Reparación Y Adecuación En La Institución Educativa De San Antonio De Guaji En El Municipio De Guapi Departamento Del Cauca</t>
  </si>
  <si>
    <t>Costa Pacífica</t>
  </si>
  <si>
    <t>Construcción centro de acopio y comercialización en el Macizo Colombiano en el municipio de La Sierra Cauca</t>
  </si>
  <si>
    <t>Ejecutar 20 proyectos de estudios y diseños de infraestructura para la producción, de servicios sociales e institucionales</t>
  </si>
  <si>
    <t xml:space="preserve">Número de proyectos de estudios y diseños de infraestructura para la producción, de servicios sociales e institucionales ejecutados </t>
  </si>
  <si>
    <t>Estudios y diseños escenario departivo de la Secretaría de Infraestructura</t>
  </si>
  <si>
    <t>Estudios y diseños del Hospital de la Cabecera Municipal de San Sebastián</t>
  </si>
  <si>
    <t>Estudios Y Diseños Para La Construcción De Infraestructura Educativa E.R.M. Piiya The We´Sx Uus Yat, Municipio De Inzá, Departamento Del Cauca</t>
  </si>
  <si>
    <t>Inzá</t>
  </si>
  <si>
    <t>Estudios Y Diseños De Infraestructura Educativa De La Sede Incluida En La Sentencia De Tutela De Primera Instancia De Julio De 2015 Con Radicación No 193108001-201500202-00, Correspondientes A La Institución Educativa Pablo Vi Sede Playa Menuda Joli Del Municipio De Lopez De Micay, Departamento Del Cauca</t>
  </si>
  <si>
    <t>López de Micay</t>
  </si>
  <si>
    <t>Estudios Y Diseños De Infraestructura Educativa En Las Sedes Incluidas En La Sentencia 71 Proceso Renacer Negro De Julio De 2015 Municipio Timbiqui Cauca</t>
  </si>
  <si>
    <t>Timbiquí</t>
  </si>
  <si>
    <t>Estudios y diseños del Hospital Nivel II de El Bordo, Cabecera Municipal de Patía</t>
  </si>
  <si>
    <t>Patía</t>
  </si>
  <si>
    <t>Construir 120.000 M2 de infraestructura deportiva y recreativa</t>
  </si>
  <si>
    <t xml:space="preserve">M2  infraestructura deportiva y recreativa construidos </t>
  </si>
  <si>
    <t>Construcción, rehabilitación o dotación de espacios para la recreación y el deporte en Popayán, como epicentro de eventos en el departamento del Cauca.</t>
  </si>
  <si>
    <t>2014-0000-30051</t>
  </si>
  <si>
    <t>Henry Cuellar, Yedilver Sánchez, Oscar Iván Martínez, Melba Rocío Cruz, Milton Muñoz, Jairo Dorado</t>
  </si>
  <si>
    <t>Construcción del patinódromo de Popayán para el desarrollo y promoción deportiva e integración regional para el Departamento del Cauca.</t>
  </si>
  <si>
    <t>Construcción y adecuación del Coliseo José de Jesús Arango de Guapi, para el desarrollo de actividades físicas y recreativas de la población afrocolombiana ubicada en el municipio de Guapi.</t>
  </si>
  <si>
    <t>Litoral Pacífico</t>
  </si>
  <si>
    <t>Jairo Dorado</t>
  </si>
  <si>
    <t>Construcción y adecuación del Estadio de Guapi, para el desarrollo de actividades físicas, culturales y recreativas de la población afrocolombiana ubicada en el municipio de Guapi.</t>
  </si>
  <si>
    <t>Mejoramiento de la Cancha de futbol de la Secretaría de Infraestructura Departamental en el municipio de Popayán</t>
  </si>
  <si>
    <t>2014-019000-0110</t>
  </si>
  <si>
    <t>Construcción de 11 losas para canchas multiples para la práctica del deporte y recreación en 11 veredas del municipio de Almaguer Cauca</t>
  </si>
  <si>
    <t>2016-019000-0040</t>
  </si>
  <si>
    <t>Construcción primera I etapa del coliseo El Pueblo, cabecera municipal de Mercaderes Cauca</t>
  </si>
  <si>
    <t>2012-0190000-130</t>
  </si>
  <si>
    <t>Mejoramiento Polideportivo Corregimiento De Tunia II Etapa Municipio De Piendamó Cauca</t>
  </si>
  <si>
    <t>Convenio DPS Nº 2122383 - 2012</t>
  </si>
  <si>
    <t>Centor</t>
  </si>
  <si>
    <t>Construcción parque central y centro deportivo cubierto fase I, municipio de Florencia Cauca</t>
  </si>
  <si>
    <t>2012-019000-0109</t>
  </si>
  <si>
    <t>Construcción placa en concreto para polideportivos de ls veredas Guayacanes, Los Azules, La Chorrera</t>
  </si>
  <si>
    <t xml:space="preserve">Construir 5.000 M2 de infraestructura comunitaria </t>
  </si>
  <si>
    <t>M2 de infraestructura comunitaria construidos</t>
  </si>
  <si>
    <t>Construcción del Centro de Integración Ciudadana en la Cabecera Municipal de Puerto Tejada</t>
  </si>
  <si>
    <t xml:space="preserve">Aprobado por: </t>
  </si>
  <si>
    <t>CIELO PÈREZ SOLANO</t>
  </si>
  <si>
    <t>Secretaria de Infraestructura</t>
  </si>
  <si>
    <t>OSCAR IVÁN MARTÍNEZ MARTÍNEZ</t>
  </si>
  <si>
    <t xml:space="preserve">PLAN DE ACCIÓN 2017 </t>
  </si>
  <si>
    <t xml:space="preserve">META DE PRODUCTO </t>
  </si>
  <si>
    <t xml:space="preserve">VALOR ACTUAL
(2016) </t>
  </si>
  <si>
    <t>Infraestructura Social y Productiva</t>
  </si>
  <si>
    <t>Incrementar en un 50% los municipios que cumplen con los indicadores de calidad de agua.</t>
  </si>
  <si>
    <t>Porcentaje de municipios que cumplen con los indicadores de calidad del agua en el área urbana incrementados</t>
  </si>
  <si>
    <t>13 municipios</t>
  </si>
  <si>
    <t>Calidad del Agua</t>
  </si>
  <si>
    <t>Mejorar la calidad del agua y la  continuidad de los servicios de acueducto y alcantarillado.</t>
  </si>
  <si>
    <t xml:space="preserve">Optimizar 12 sistemas de acueductos urbanos </t>
  </si>
  <si>
    <t>Número de sistemas de acueductos urbanos optimizados</t>
  </si>
  <si>
    <t>CONSTRUCCION OBRAS DE OPTIMIZACION RED DE ADUCCION Y PLANTA DE TRATAMIENTO DE AGUA POTABLE DE LA CABECERA MUNICIPAL LA SIERRA CAUCA, DEPARTAMENTO DEL CAUCA.</t>
  </si>
  <si>
    <t>LA SIERRA</t>
  </si>
  <si>
    <t>MACIZO</t>
  </si>
  <si>
    <t>CONDUCCION K8+220-K9+500.-CONSTRUCCION CUARTO LABORATORIO.- CONSTR. FLOCULADOR Y CUARTO DE VALVULAS.- CONST. RED HCA DE LA PTAP.-SUMINISTRO DE VÁLVULAS Y ACCESORIOS.-INST. DE VALVULAS.CONST. DE MODULO DE SEDIMENTACION.-ISTEMA DE CLORCIÓN.-OBRAS COMPLEMENTARIAS</t>
  </si>
  <si>
    <t>ROBERTH HORMIGA (Subgerente Técnico)
Libre nombramiento y Remoción
CARLOS PEREZ
(Prof. de Apoyo)
Contrato de Prestación de servicios</t>
  </si>
  <si>
    <t>CONTRATO OBRA 027/2016
AVANCE : 70%</t>
  </si>
  <si>
    <t xml:space="preserve"> </t>
  </si>
  <si>
    <t>OPTIMIZACION DEL SISTEMA DE ACUEDUCTO DEL MUNICIPIO DE PUERTO TEJADA, EN EL DEPARTAMENTO DEL CAUCA.</t>
  </si>
  <si>
    <t>PUERTO TEJADA</t>
  </si>
  <si>
    <t>NORTE</t>
  </si>
  <si>
    <t>REDES MATRICES- RED DE DISTRIBUCIÓN - CONEXIONES DOMICILIARIAS-OPTIMIZACIÓN PTAP</t>
  </si>
  <si>
    <t>ROBERTH HORMIGA (Subgerente Técnico)
Libre nombramiento y Remoción
KAROL GIRÓN
(Prof. de Apoyo)
Profesional Universitaria codigo 219 grado 02</t>
  </si>
  <si>
    <t>CONTRATO OBRA: 187/16
AVANCE:: 5%</t>
  </si>
  <si>
    <t>MEJORAMIENTO Y OPTIMIZACIÓN DEL SISTEMA DE ACUEDUCTO DEL MUNICIPIO DE MIRANDA - CAUCA.</t>
  </si>
  <si>
    <t>MIRANDA</t>
  </si>
  <si>
    <t xml:space="preserve">1. OPTIMIZACIÓN BOCATOMA. 
-SUMINISTRO E INSTALACIÓN TUBERÍA PVC-UM, DIÁMETRO 16", 160 PSI (4.00m) 
-SUMINISTRO E INSTALACIÓN COMPUERTA LATERAL DESLIZANTE HD 16" (1.00Unidad) 
-SUMINISTRO E INSTALACIÓN REJILLA EN VARILLAS DE ACERO DE 1/2", E=1", 1,5X0.4 M (9.00Unidad) 
-GAVIONES EN MALLA TRIPLE TORSIÓN CAL 12 (140.00M3) 
2. OBRAS EN CANAL DE ADUCCIÓN, BOCATOMA-DESARENADOR Y LÍNEA DE ADUCCIÓN EN TUBERÍA DE PVC UM 125PSI, DIÁMETRO 12. 
-SUMINISTRO E INSTALACIÓN TUBERÍA PVC-UM, DIÁMETRO 6", 125 PSI (49.00m) 
- SUMINISTRO E INSTALACIÓN TUBERÍA PVC-UM, DIÁMETRO 12", 125 PSI. (62.00m) 
-SUMINISTRO E INSTALACIÓN COMPUERTA EN HF (1,1M X 1,15 M) (5.00Unidad)
-CABEZAL DE DESCARGA EN CONCRETO REFORZADO DE 3.500 PSI (5.00Unidad
3. LÍNEA DE CONDUCCIÓN DESARENADOR-PTAP, MEDIANTE EL SUMINISTRO E INSTALACIÓN DE TUBERÍA DE PVC UM 125PSI, DIÁMETRO 8".
 -SUMINISTRO E INSTALACIÓN TUBERÍA DE PVC-UM, DIÁMETRO 8", 125 PSI, (723.00m)
-SUMINISTRO E INSTALACIÓN VÁLVULA DE COMPUERTA ELÁSTICA, HD, DIAMETRO 8" (2.00Und.) 
4. OBRAS EN RED DE ACUEDUCTO.
 -SUMINISTRO E INSTALACIÓN TUBERÍA EN PVC-UM, DIÁMETRO 2", 125PSI. (51.00ML) 
-SUMINISTRO E INSTALACIÓN TUBERÍA PVC-UM, DIÁMETRO 3", 125PSI. (3020.00ML)
- SUMINISTRO E INSTALACIÓN TUBERÍA PVC-UM, DIÁMETRO 4", 125PSI. (1730.00ML)
- SUMINISTRO E INSTALACIÓN TUBERÍA PVC-UM, DIÁMETRO 6", 125PSI. (1146.00ML) 
-SUMINISTRO E INSTALACIÓN TUBERÍA PVC-UM, DIÁMETRO 8", 125PSI. (315.00ML)
- SUMINISTRO E INSTALACIÓN TUBERÍA PVC-UM, DIÁMETRO 10", 125PSI. (1058.00ML) 
- SUMINISTRO E INSTALACIÓN TUBERÍA PVC-UM, DIÁMETRO 12", 125PSI. (25.00ML)
5. CONSTRUCCIÓN TANQUE DE ALMACENAMIENTO NUEVO CHIQUILINES, CON CAPACIDAD DE 664 M3. 
6. OBRAS DE REHABILITACIÓN Y OPTIMIZACIÓN EN PLANTA DE TRATAMIENTO DE AGUA POTABLE, CAPACIDAD 153 L/S.
</t>
  </si>
  <si>
    <t>CONTRATO PLAN DEL NORTE DEL CAUCA- FINDETER</t>
  </si>
  <si>
    <t xml:space="preserve">CONTRATO OBRA 160/15  
EN EJECUCIÓN : AVANCE: 40% 
</t>
  </si>
  <si>
    <t>CONSTRUCCIÓN OBRAS DE OPTIMIZACIÓN PTAP  Y REDES DE  DISTRIBUCIÓN, CABECERA MUNICIPAL DE SAN SEBASTIÁN</t>
  </si>
  <si>
    <t>SAN SEBASTIAN</t>
  </si>
  <si>
    <t>OBRAS DE OPTIMIZACIÓN DE LA PLANTA DE TRATAMIENTO DE AGUA POTABLE TIPO FIME Y REDES DE DISTRIBUCIÓN CABECERA MUNICIPAL SAN SEBASTIÁN.</t>
  </si>
  <si>
    <t>ROBERTH HORMIGA (Subgerente Técnico-
Libre nombramiento y remoción)
JHON SANCHEZ
(Prof. de Apoyo)
Contrato de Prestación de servicios</t>
  </si>
  <si>
    <t xml:space="preserve">CONTRATO OBRA: 088/13
AVANCE 0%
</t>
  </si>
  <si>
    <t>OPTIMIZACION REDES DE DISTRIBUCION DEL  SISTEMA DE ACUEDUCTO  MUNICIPAL CABECERA DE  CORINTO.</t>
  </si>
  <si>
    <t>CORINTO</t>
  </si>
  <si>
    <t xml:space="preserve">SUM, E INSTALACIÓN DE:
TUBERÍA DE 2, 3,4 Y 6 PULGADAS EN PVC (4573 ML)
VÁLVULAS  HF 3 Y 6 PULGADAS (20 UND)
ACOMETIDAS DOMICILIARIAS 3,4 Y 6 PULG (154 UND)
REPOSICIÓN DE PAV(250 M2)
RE PARCHEO DE PAV (2.774 M2)
</t>
  </si>
  <si>
    <t>CONTRATO PLAN DEL NORTE DEL CAUCA-FINDETER</t>
  </si>
  <si>
    <t xml:space="preserve">CONTRATO PAF-ATF 161-2015 DE 13 DE NOV. 
AVANCE: 40%  
FINDETER
</t>
  </si>
  <si>
    <t>CONSTRUCCION OBRAS DE OPTIMIZACION DEL SISTEMA DE ACUEDUCTO DE LA  CABECERA MUNICIPAL DE BOLIVAR(INCLUYEN OBRAS EN LA PTAP)</t>
  </si>
  <si>
    <t>BOLIVAR</t>
  </si>
  <si>
    <t>SUR</t>
  </si>
  <si>
    <t>OPTIMIZACION DEL SISTEMA DE ACUEDUCTO DEL MUNICIPIO DE BOLIVAR - CAUCA, EN LO PERTINENTE A LINEA DE ADUCCION - CONDUCCION, REDES DE DISTRIBUCION Y PTAP.</t>
  </si>
  <si>
    <t>ROBERTH HORMIGA (Subgerente Técnico-
(Libre nombramiento y remoción)
HELMAN MOLANO
(Prof. de Apoyo)
Contrato de Prestación de servicios</t>
  </si>
  <si>
    <t xml:space="preserve">CTTO 35/14
AVANCE 78%
</t>
  </si>
  <si>
    <t xml:space="preserve">Optimizar 10 sistemas de acueductos rurales </t>
  </si>
  <si>
    <t>Número de sistemas de acueductos rurales optimizado</t>
  </si>
  <si>
    <t>CONSTRUCCION Y OPTIMIZACION SISTEMA DE ACUEDUCTO: VEREDAS LA PLAYA, SOTO, LA LUZ, BUENA VISTA Y LA LAGUNA MUNICIPIO DE TORIBIO - CAUCA.</t>
  </si>
  <si>
    <t>TORIBIO</t>
  </si>
  <si>
    <t xml:space="preserve">CONSTRUCCIÓN DEL SISTEMA DE ACUEDUCTOINTERVEREDAL
CONSTRUCCION LINEA DE ADUCCION
CONSTRUCCION PLANTA FIME 
CONSTRUCCIÓN LINEA DE CONDUCCIÓN 
CONSTR. TANQUE D ALMACENAMIENTO..CONSTRUCCION ACOMETIDAS DOMICILIARIAS </t>
  </si>
  <si>
    <t>ROBERTH HORMIGA 
(Subgerente Técnico-
Libre nombramiento y remoción)
KAROL GIRÓN
(Prof. de Apoyo)
Profesional Universitaria codigo 219 grado 02</t>
  </si>
  <si>
    <t xml:space="preserve">CTTO: 116-15
 AVANCE 55%
</t>
  </si>
  <si>
    <t>CONSTRUCCION ACUEDUCTO Y PLANTA DE TRATAMIENTO TIPO CONVENCIONAL INTERVEREDAL SECTOR QUINAMAYO - ALEGRIAS MUNICIPIO DE SANTANDER DE QUILICHAO DEPARTAMENTO DEL CAUCA.</t>
  </si>
  <si>
    <t>SANTANDER DE QUILICHAO</t>
  </si>
  <si>
    <t xml:space="preserve"> BOCATOMA,DESARENADOR, PLANTA DE TRATMIENTO, REDES CONDUCCIÓN Y DISTRIBUCION,  TANQUE ALMACENAMIENTO </t>
  </si>
  <si>
    <t>ROBERTH HORMIGA (Subgerente Técnico-
Libre nombramiento y remoción)
HELMAN MOLANO
(Prof. de Apoyo)
Contrato de Prestación de servicios</t>
  </si>
  <si>
    <t xml:space="preserve">CONTRATO 180/15
AVANCE 60 %
</t>
  </si>
  <si>
    <t>CONSTRUCCION SISTEMA DE ACUEDUCTO INTERVEREDAL Y OBRAS DE OPTIMIZACION TANQUES DE ALMACENAMIENTO ZONA BAJA MUNICIPIO DE JAMBALO - CAUCA.</t>
  </si>
  <si>
    <t>JAMBALÓ</t>
  </si>
  <si>
    <t>BOCATOMA - ADUCCIÓN BOCATOMA PTAP-DESARENADOR-CONSTR PTAP TIPO FIME  OPTIMIZACION Y CONSTR.TANQUE DE ALMACENAMIENTO-LINEA DE CONDUCCION: 20.869 MTS -CERRAMIENTO-CASETA</t>
  </si>
  <si>
    <t xml:space="preserve">CTTO 129/2015
AVANCE 40%
</t>
  </si>
  <si>
    <t>ROBERTH HORMIGA (Subgerente Técnico-
Libre nombramiento y remoción)
KAROL GIRÓN
(Prof. de Apoyo)
Profesional Universitaria codigo 219 grado 02</t>
  </si>
  <si>
    <t xml:space="preserve">CONTRATO OBRA: 187/16
</t>
  </si>
  <si>
    <t>CONSTRUCCION 3 ETAPA DEL ACUEDUCTO DE PALO BLANCO Y NUEVE VEREDAS EN BUENOS AIRES III ETAPA</t>
  </si>
  <si>
    <t>BUENOS AIRES</t>
  </si>
  <si>
    <t>PLANTA -CONSTRUCCIÓN 3 TANQUES-REDES NUEVAS - REDES QUE INTERCONECTAN TANQUE-REPOSICION DE TUBERIA -CONSTRUCCIÓN DESARENADOR</t>
  </si>
  <si>
    <t>ROBERTH HORMIGA (Subgerente Técnico)
Libre nombramiento y Remoción
OMAR LOPEZ
(Prof. de Apoyo)
Contrato de Prestación de servicios</t>
  </si>
  <si>
    <t>EN PROCESO DE VIABILIZACIÓN</t>
  </si>
  <si>
    <t xml:space="preserve">Optimizar 2 acueductos regionales </t>
  </si>
  <si>
    <t>Número de acueductos regionales optimizados</t>
  </si>
  <si>
    <t>CONSTRUCCION OBRAS DE OPTIMIZACION Y AMPLIACION SISTEMA DE ACUEDUCTO REGIONAL MUNICIPIOS DE SOTARA Y TIMBIO</t>
  </si>
  <si>
    <t>SOTARA-TIMBIO</t>
  </si>
  <si>
    <t>CENTRO</t>
  </si>
  <si>
    <t>OTIMIZACION  PTAP CABECERA  Y SISTEMA DE ACUEDUCTO DE PAISPAMBA Y CONDUCCION HASTA LOS TANQUES DE ALMACENAMIENTO
12 VEREDAS BENEFICIADAS DEL MPIO DE SOTARA Y 3 DEL MPIO DE TIMBIO</t>
  </si>
  <si>
    <t>ROBERTH HORMIGA 
(Subgerente Técnico-
Libre nombramiento y remoción)
JHON SANCHEZ
JORGE MANZANO
(Prof. de Apoyo)
Profesional Universitaria codigo 219 grado 02</t>
  </si>
  <si>
    <t>EN PROCESO DE VIABILIZACIÓN .
EN AJUSTE LISTA DE CHEQUEO DEL MVCT</t>
  </si>
  <si>
    <t>CONSTRUCCION OBRAS DE OPTIMIZACION SISTEMA DE TRATAMIENTO DE AGUA POTABLE, ACUEDUCTO REGIONAL PATIA- MUNICIPIOS DE PATIA-BALBOA Y MERCADERES</t>
  </si>
  <si>
    <t>PATIA-BALBOA  MERCADERES</t>
  </si>
  <si>
    <t>PLANTA DE TRATAMIENTO-CERRAMIENTO-ADECUACIÓN CASETA-LECHOS DE SECADO-DOTACION LABOR.-IMPERMEABILIZACIÓN Y REPARACIÓN TANQUE DE ALMACENAMIENTO-SUMINISTRO VÁLVULAS,EQUIPOS Y OTROS</t>
  </si>
  <si>
    <t>Roberth Hormiga-Subgerente Técnico-Libre nombramiento y remoción</t>
  </si>
  <si>
    <t xml:space="preserve">GENERO : 
HOMBRES: 0 PERS.
MUJERES: 0 PERS.
EDADES:
0-6 AÑOS: 0 PERSONAS
7-14 AÑOS: 0 PERS.
15-17 AÑOS: 0 PERS.
18-28 AÑOS: 0 PERS..
27-59 AÑOS: 0 PERS.
60 AÑOS EN ADELANTE: 0 PERSONAS.
GRUPOS ETNICOS: SIN INF.
POBLACION VULNERABLE: (DESPLAZADOS-DISCAPACITADOS-POBRES EXTREMOS) SIN INF.
</t>
  </si>
  <si>
    <t>ESTUDIOS Y DISEÑOS PARA CONSTRUCCIÓN DE OBRAS DE OPTIMIZACION Y AMPLIACION DEL ACUEDUCTO REGIONAL PIENDAMO-MORALES-SUAREZ INCLUYE PTAP</t>
  </si>
  <si>
    <t>MORALES-PIENDAMO-SUAREZ</t>
  </si>
  <si>
    <t>CENTRO-NORTE</t>
  </si>
  <si>
    <t>CONSULTORIA PARA SUMINISTRO DE AGUA A LA ZONA PLANA DE MORALES</t>
  </si>
  <si>
    <t xml:space="preserve">EN DISEÑO
AVANCE: 65%
</t>
  </si>
  <si>
    <t xml:space="preserve">Implementar en el 100% el Plan de Aseguramiento de Calidad de Agua -PACA Y El Plan de Aseguramiento para Abastecimiento de Agua-PABA </t>
  </si>
  <si>
    <t>(No de acciones implementadas/No de acciones del PACA)*100</t>
  </si>
  <si>
    <t>Silvia, Timbío, Patía, Cajibío, Mercaderes, Suárez, Piendamó Tunía, Totoró, Caloto</t>
  </si>
  <si>
    <t>Sistema de cloración gaseoso - Plantas Convencionales Instalado</t>
  </si>
  <si>
    <t>ROBERTH HORMIGA (Subgerente Técnico-
Libre nombramiento y remoción)
ALBEIRO BURBANO
(Prof. de Apoyo)
Contrato de Prestación de servicios</t>
  </si>
  <si>
    <t>Sistema de dosificación de Coagulantes,  Floculantes y  Alcalinizantes - Plantas Convencionales  adecuados</t>
  </si>
  <si>
    <t>Silvia, Páez, Timbío, Patía, Cajibío, Buenos Aires, Mercaderes, Suárez, Rosas, Inzá, Sotará, Piendamó Tunía, Totoró, Caloto</t>
  </si>
  <si>
    <t>Sistema de Medición de Caudal instalado</t>
  </si>
  <si>
    <t>Análisis de laboratorios fisicoquímicos y bacteriológicos para seguimiento y  control de calidad de agua.</t>
  </si>
  <si>
    <t xml:space="preserve"> Dispositivos para toma de Muestras Optimizados  y/o Instalados</t>
  </si>
  <si>
    <t>Timbío</t>
  </si>
  <si>
    <t>Tecnología de punta en los procesos de tratamiento de agua potable Instalados</t>
  </si>
  <si>
    <t>Argelia, Guachené, La Sierra, Morales, Padilla, Piendamó, Puerto Tejada, Jambaló, Toribio, Santander De Quilichao</t>
  </si>
  <si>
    <t>Capacitación y Asistencia técnica</t>
  </si>
  <si>
    <t>Equipo básico de laboratorio de control de calidad de agua implementados</t>
  </si>
  <si>
    <t>La Sierra,  Jambaló, Toribio</t>
  </si>
  <si>
    <t>Sistema de Cloración en Plantas FIME Instalado</t>
  </si>
  <si>
    <t>Argelia, Guachené, Morales, Padilla, Piendamó, Puerto Tejada, Santander De Quilichao</t>
  </si>
  <si>
    <t xml:space="preserve"> Santander De Quilichao</t>
  </si>
  <si>
    <t xml:space="preserve">Optimizar 8 sistemas de alcantarillado urbanos </t>
  </si>
  <si>
    <t>Número de sistemas de alcantarillados urbanos optimizados</t>
  </si>
  <si>
    <t>CONSTRUCCION OBRAS DE OPTIMIZACION Y AMPLIACION DEL SISTEMA DE ALCANTARILLADO SANITARIO Y PLUVIAL DE LA CABECERA MUNICIPAL DE BOLIVAR - CAUCA</t>
  </si>
  <si>
    <t>OBRAS DE OPTIMIZACIÓN Y AMPLIACIÓN ALCANTARILLADO SANITARIO Y OBRAS ALCANTARILLADO PLUVIAL</t>
  </si>
  <si>
    <t>ROBERTH HORMIGA 
(Subgerente Técnico)
Libre nombramiento y Remoción
HELMAN MOLANO
(Prof. de Apoyo)
Contrato de Prestación de servicios</t>
  </si>
  <si>
    <t xml:space="preserve">CCTO 118/15
AVANCE: 80%
</t>
  </si>
  <si>
    <t>CONSTRUCCION OBRAS DE OPTIMIZACION Y AMPLIACION DEL SISTEMA DE ALCANTARILLADO SANITARIO DE LA CABECERA MUNICIPAL DE CALOTO - CAUCA FASE I</t>
  </si>
  <si>
    <t>CALOTO</t>
  </si>
  <si>
    <t xml:space="preserve">SUMINISTRO E INSTALACION TUBERIA 
OPTIMIZACION PTAR EXISTENTE
</t>
  </si>
  <si>
    <t>ROBERTH HORMIGA (Subgerente Técnico)
JHON SANCHEZ
(Prof. de Apoyo)
Contrato de Prestación de servicios</t>
  </si>
  <si>
    <t>ADJUDICADA OBRA FALTA INTERVENTORIA</t>
  </si>
  <si>
    <t xml:space="preserve">CONSTRUCCION OBRAS DE OPTIMIZACION Y AMPLIACION DEL SISTEMA DE ALCANTARILLADO SANITARIO DE LA CABECERA MUNICIPAL DE PADILLA - CAUCA </t>
  </si>
  <si>
    <t>PADILLA</t>
  </si>
  <si>
    <t>CONSTRUCCIÓN DE TUBERÍA SANITARIA EN PVC DE LOS SIGUIENTES DIÁMETROS: D=6" L=7,554 ML, D=8" L=10,629 ML, D=10" L=119 ML, D=12" L=293 ML, D=14" L=912 ML; CONSTRUCCIÓN DE 243 CÁMARAS DE INSPECCIÓN EN CCTO. DE 21 MPA TIPO B, CONSTRUCCIÓN DE 1259 CAJAS DOMICILIARIAS DE 0,6*0,6.</t>
  </si>
  <si>
    <t>MUNICIPIO DE PADILLA
ROBERTH HORMIGA 
(Subgerente Técnico-
Libre nombramiento y remoción)
KAROL GIRÓN
(Prof. de Apoyo)
Profesional Universitaria codigo 219 grado 02</t>
  </si>
  <si>
    <t xml:space="preserve">CONTRATO 10/05/2015
AVANCE : 75%
EN REFORMULACION
</t>
  </si>
  <si>
    <t>CONSTRUCCION DE ALCANTARILLADO PLUVIAL DE LA CABECERA MUNICIPIO DE CALDONO</t>
  </si>
  <si>
    <t>CALDONO</t>
  </si>
  <si>
    <t xml:space="preserve">• CONSTRUCCIÓN DE COLECTORES PARA EL ALCANTARILLADO PLUVIAL, MEDIANTE EL SUMINISTRO E INSTALACIÓN DE 4.481 ML DE TUBERÍA PVC ALCANTARILLADO, ASÍ: 
EN DIÁMETRO DE 8", 1.059 ML; EN DIÁMETRO DE 10", 1.029 ML; EN DIÁMETRO DE 12", 1.024 ML; EN DIÁMETRO DE 14", 319 ML; EN DIÁMETRO DE 16", 133 ML; EN DIÁMETRO DE 18", 346 ML; EN DIÁMETRO DE 20", 318 ML; EN DIÁMETRO DE 24", 250 ML Y EN DIÁMETRO DE 27", 3 ML.
 • CONSTRUCCIÓN DE 56 POZOS DE INSPECCIÓN. 
• CONSTRUCCIÓN DE 132 SUMIDEROS DE AGUAS LLUVIAS. 
• CONSTRUCCIÓN DE 20 ML DE SUMIDEROS TRANSVERSALES.
• CONSTRUCCIÓN DE 323 ML DE CUNETAS TRIANGULARES.
• CONSTRUCCIÓN DE DOS CABEZALES DE DESCARGA, CON ESTRUCTURAS DISIPADORAS DE ENERGÍA DE GAVIONES
</t>
  </si>
  <si>
    <t>CONTRATO PLAN DEL NORTE
FINDETER</t>
  </si>
  <si>
    <t xml:space="preserve">CTTO 117/2014
AVANCE. 60%
</t>
  </si>
  <si>
    <t>OPTIMIZACIÓN DEL SISTEMA DE ALCANTARILLADO SEGUNDA ETAPA EN LA CABECERA MUNICIPAL DE GUACHENE, CAUCA</t>
  </si>
  <si>
    <t>GUACHENÉ</t>
  </si>
  <si>
    <t xml:space="preserve">CTTO 138/2015
AVANCE:40%
</t>
  </si>
  <si>
    <t>CONSTRUCCIÓN COLECTOR MARGEN DERECHA DEL RIO EJIDO TRAMO I COMPRENDIDO DESDE LA CARRERA 3 HASTA LA CALLE 20</t>
  </si>
  <si>
    <t>POPAYÁN</t>
  </si>
  <si>
    <t xml:space="preserve">INSTALACION DE TUB PVC UNION MECANICA D=12": 298 ml
INSTALACION DE TUB PVC UNION MECANICA D=18": 216 ml
INSTALACION DE TUB PVC UNION MECANICA D=20": 423,56 ml
UNION MECANICA D=24": 1.600,07 ml
</t>
  </si>
  <si>
    <t>CONSTRUCCIÓN INTERCEPTOR CAUCA III, COMPRENDIDO ENTRE LAS CÁMARAS 123 A 133</t>
  </si>
  <si>
    <t>SUMINISTRO E INSTALACION DE TUBERIA PVC UNIÓN MECANICA PARA ALCANTARILLADO D=24" : 1.041,83 ML</t>
  </si>
  <si>
    <t xml:space="preserve">Optimizar 4 sistemas de alcantarillado rurales </t>
  </si>
  <si>
    <t>Número de sistemas de alcantarillados rurales optimizados</t>
  </si>
  <si>
    <t>CONSTRUCCION REDES ALCANTARILLADO VEREDA CAMBALACHE -MUNICIPIO DE SANTANDER  DE QUILICHAO</t>
  </si>
  <si>
    <t>Fue entregado y se espera entregar al Comité Regional</t>
  </si>
  <si>
    <t>CONSTRUCCION SISTEMA DE ALCANTARILADO SANITARIO Y PLANTA DE TRATAMIENTO DE AGUAS RESIDUALES CENTRO POBLADO LA BELLEZA,  MUNICIPIO DE ARGELIA, DEPARTAMENTO DEL CAUCA</t>
  </si>
  <si>
    <t xml:space="preserve"> SISTEMA DE ALCANTARILLADO: SE  SELECCIONA LA ALTERNATIVA 1 CONSISTENTE EN UN SITEMA SEPARADO CONVENCIONAL
 SISTEMA DE TRATAMIENTO DE AGUAS RESIDUALES: SE SELECCIONA LA ALTERNATIVA 2  CONSISTENTE EN UNA PLANTA DE TRATAMIENTO CON REJILLA, DESARENADOR, TANQUE DE SEDIMENTACIÓN PRIMARIA, FILTRO ANAEROBIO, LECHOS DE SECADO Y FILTRO FITOPEDOLÓGICO</t>
  </si>
  <si>
    <t xml:space="preserve">MINISTERIO SOLICITÓ AJUSTES
GENERO : 
HOMBRE:  0
MUJER:  0
EDADES:
0-6 AÑOS: 0
7-14 AÑOS: 0
15-17 AÑOS: 0
18-28 AÑOS: 0.
27-59 AÑOS: 0
60 EN ADELANTE: 0.
GRUPOS ETNICOS: SIN INF.
POBLACION VULNERABLE:DESPLAZADOS-DISCAPACITADOS-POBRES EXTREMOS.
</t>
  </si>
  <si>
    <t>CONSTRUCCIÓN DE OBRAS DE OPTIMIZACIÓN Y AMPLIACIÓN DEL SISTEMA DE ALCANTARILLADO SANITARIO DE LA CABECERA MUNICIPAL DE ARGELIA- CAUCA.</t>
  </si>
  <si>
    <t>OPTIMIZACIÓN REDES</t>
  </si>
  <si>
    <t xml:space="preserve">MINISTERIO SOLICITÓ AJUSTES
GENERO : 
HOMBRE: 2082
MUJER: 1922
EDADES:
0-6 AÑOS: 0
7-14 AÑOS: 0
15-17 AÑOS: 0
18-28 AÑOS: 0.
27-59 AÑOS: 0
60 EN ADELANTE: 0.
GRUPOS ETNICOS: SIN INF.
POBLACION VULNERABLE:DESPLAZADOS-DISCAPACITADOS-POBRES EXTREMOS.
</t>
  </si>
  <si>
    <t>CONSTRUCCIÓN SISTEMA  DE ALCANTARILLADO SANITARIO Y CONSTRUCCIÓN DE PLANTA DE TRATAMIENTODE AGUAS RESIDUALES CENTRO POBLADO EL SINAI , MUNICIPIO DE ARGELIADE LA CABECERA MUNICIPAL DE ARGELIA- CAUCA.</t>
  </si>
  <si>
    <t>OPTIMIZACIÓN REDES DE ALCANTARILLADO
CONSTRUCIÓN PTAR NUEVA</t>
  </si>
  <si>
    <t xml:space="preserve">MINISTERIO SOLICITÓ AJUSTES
GENERO : 
HOMBRE:  0
MUJER:  0
EDADES:
0-6 AÑOS: 0
7-14 AÑOS: 0
15-17 AÑOS: 0
18-28 AÑOS: 0.
27-59 AÑOS: 0
60 EN ADELANTE: 0.
GRUPOS ETNICOS: SIN INF.
POBLACION VULNERABLE:DESPLAZADOS-DISCAPACITADOS-POBRES EXTREMOS.MINISTERIO SOLICITÓ AJUSTES
</t>
  </si>
  <si>
    <t>PLAN MAESTRO DE ALCANTARILLADO SANITARIO DE LA POBLACION DE RIO BLANCO,RESGUARDO INDIGENA DE RIO BLANCO, MUNICIPIO DE SOTARÁ -CAUCA</t>
  </si>
  <si>
    <t>SOTARÁ</t>
  </si>
  <si>
    <t>ALCANTARILLADO SANITARIO 8502 ML-PLANTA DE TRATAMIENTO DE AGUAS RESIDUALES</t>
  </si>
  <si>
    <t xml:space="preserve">GENERO : 
HOMBRE: 1090 PERS.
MUJER:  944 PERS.
EDADES:
0-6 AÑOS: 213 PERS.
7-14 AÑOS: 249 PERS.
15-17 AÑOS: 201 PERS.
18-26 AÑOS: 393 PERS..
27-59 AÑOS:824 PERS0
60 EN ADELANTE: 154 PERS..
GRUPOS ETNICOS:
INDIGENAS: 4.460 PERS.
AFROCOLOMBINOS :15 PERS..
ROM: 365 PERS.
POBLACION VULNERABLE:
DESPLAZADOS: 1.663 PERS.
DISCAPACITADOS. 0  -  POBRES EXTREMOS:0
</t>
  </si>
  <si>
    <t>CONSTRUCCIÓN DE OPTIMIZACIÓN Y AMPLIACIÓIN DEL SISTEMA DE ALCANTARILLADO Y PTAR DE LA ZONA NUCLEADA DEL CORREGIMIENTO DE PARRAGA . MPIO DE ROSAS</t>
  </si>
  <si>
    <t>ROSAS</t>
  </si>
  <si>
    <t>CONSTRUCCIÓN COLECTORES TUBERIAS 6" : 316 ML Y 8"::2601 ML 
POZOS DE INSPECCIÓN: 61  POZOS ADICIONALES
2 PTAR (TANQUES SEPTICOS-FILTROS ANAEROBICOS)</t>
  </si>
  <si>
    <t>Implementar 1 sistema de información geográfico en agua potable y saneamiento básico</t>
  </si>
  <si>
    <t>Número de sistemas de información geográficos en agua potable y saneamiento básico implementados</t>
  </si>
  <si>
    <t>Prestación de servicios públicos</t>
  </si>
  <si>
    <t>Minimizar  el impacto negativo que causan los  problemas identificados para la adecuada prestación  de servicios públicos de acueducto, alcantarillado y aseo</t>
  </si>
  <si>
    <t xml:space="preserve">Realizar en 10 municipios el diagnóstico integral rural en agua y saneamiento. </t>
  </si>
  <si>
    <t>Número de municipios con diagnóstico integral rural en el SIG Cauca</t>
  </si>
  <si>
    <t>Proyecto SIG Cauca</t>
  </si>
  <si>
    <t>POR DEFINIR</t>
  </si>
  <si>
    <t>MUNICIPIOS DEL DEPARTAMENTO DEL CAUCA CON DIAGNOSTICO INTEGRAL RURAL  EN EL SIG EN COORDINACION CON EL SISTEMA SIASAR DE PLANEACION NACIONAL</t>
  </si>
  <si>
    <t>Secretaria de Agricultura</t>
  </si>
  <si>
    <t>La ejecución está en cabeza de la Secretaría de agricultura; en coordinación con Emcaservicios, desde los requerimientos técnicos del SAPBS</t>
  </si>
  <si>
    <t xml:space="preserve">Incluir 15 municipios con información sectorial en el SIG Cauca </t>
  </si>
  <si>
    <t>Número de municipios con información sectorial en el SIG Cauca.</t>
  </si>
  <si>
    <t>MUNICIPIOS DEL DEPARTAMENTO DEL CAUCA CON INFORMACION EN EL SIG EN COORDINACION CON EL SISTEMA SIASAR DE PLANEACION NACIONAL</t>
  </si>
  <si>
    <t>Garantizar en el 100% de los municipios  que reporten emergencias la continuidad en la prestación de los servicios de acueductos, alcantarillado y aseo - AAA.</t>
  </si>
  <si>
    <t>Número de emergencias reportadas en forma adecuada ante la Unidad de Gestión del Riesgo / Número de emergencias atendida *100</t>
  </si>
  <si>
    <t>34 emergencias atendidas hasta el año 2015</t>
  </si>
  <si>
    <t>Atender el 100% de las emergencias reportadas en forma adecuada ante la Unidad de Gestión del Riesgo</t>
  </si>
  <si>
    <t>Número de emergencias reportadas en forma adecuada ante la Unidad de Gestión del Riesgo / Número de emergencias atendidas *100</t>
  </si>
  <si>
    <t>Numero porcentaje de emergencias reportadas y atendidas</t>
  </si>
  <si>
    <t>CONSTRUCCION OBRAS DE OPTIMIZACION DEL ACUEDUCTO DE ARBOLEDA MUNICIPIO DE MERCADERES</t>
  </si>
  <si>
    <t>MERCADERES</t>
  </si>
  <si>
    <t xml:space="preserve">
450
</t>
  </si>
  <si>
    <t>RECONSTRUIR LA BOCATOMA Y EL DESARENADOR DEL SISTEMA DE ACUEDUCTO, BENEFICIANDO A 1.756 HABITANTES</t>
  </si>
  <si>
    <t xml:space="preserve">ROBERTH HORMIGA 
(Subgerente Técnico)
Libre nombramiento y Remoción
KAROL GIRON
(Prof.Universitaria)Contrato de trabajo 
</t>
  </si>
  <si>
    <t xml:space="preserve">EN PROCESO DE CONTRATACION
GENERO : 
HOMBRES: 271 PERS.
MUJERES:  221 PERS.
EDADES:
0-6 AÑOS: 71 PERSONAS
7-14 AÑOS: 80 PERS.
15-17 AÑOS: 31 PERS.
18-28 AÑOS:  45 PERS..
27-59 AÑOS: 190 PERS.
60 AÑOS EN ADELANTE: 75 PERSONAS.
GRUPOS ETNICOS: SIN INF.
POBLACION VULNERABLE: SIN INF.
</t>
  </si>
  <si>
    <t>REHABILITACION DE LOS ACUEDUCTOS DE LA CEBECERA MUNICIPAL Y CENTRO POBLADO EL CARMELO EN EL MUNICIPIO DE SANTA ROSA CAUCA.</t>
  </si>
  <si>
    <t>SANTA ROSA</t>
  </si>
  <si>
    <t>CONSTRUCCIÓN DE LA CAPTACION DE LOS SISTEMAS QUE ABASTECEN EL ACUEDUCTO PARA LA CABECERA MUNICIPAL DE SANTA ROSA</t>
  </si>
  <si>
    <t>ROBERTH HORMIGA 
(Subgerente Técnico)
Libre nombramiento y Remoción
OMAR LOPEZ
(Prof. de Apoyo)
Contrato de Prestación de servicios</t>
  </si>
  <si>
    <t xml:space="preserve">CONTRATO No. 127/15
AVANCE 72%
</t>
  </si>
  <si>
    <t>Atención de emergencia de acueductos presentada por incendio forestal en zona rural del municipio de Bolívar</t>
  </si>
  <si>
    <t>BOLÍVAR</t>
  </si>
  <si>
    <t>Rehabilitación de tuberia de las veredas del sector rural del municipoio de Bolívar afectados por un incendio</t>
  </si>
  <si>
    <t>El presupuesto fue enviado por lel municipio de bolivar el 16 de noviembre, en estructuración del proyecto para atención de emergencia</t>
  </si>
  <si>
    <t>Ejecutar 10 Proyectos con acciones de reducción del riesgo en la prestación de los servicios públicos  domiciliarios Acueducto Alcantarillado Aseo AAA</t>
  </si>
  <si>
    <t>Número de proyectos con acciones de reducción del riesgo en la prestación de los servicios públicos  domiciliarios Acueducto Alcantarillado Aseo –AAA ejecutados</t>
  </si>
  <si>
    <t>CONVENIO DE ASOCIACIÓN ENTRE LA CORPORACIÓN AUTÓNOMA REGIONAL DEL CAUCA, ALCALDÍA DE POPAYÁN, FUNDACIÓN RIO PIEDRAS Y EMCASERVICIOS S.A E.S.P.</t>
  </si>
  <si>
    <t>OBRAS BIOMECÁNICAS SOBRE LA MARGEN DEL RÍO MOLINO, PARA PROTEGER EL TALUD , Y EVITAR LA OCURRENCIA DE AVENIDA TORRENCIAL SOBRE LA BOCATOMA DEL RÍO MOLINO, QUE ABASTECE AL 15% DE LA POBLACIÓN DEL MUNICIPIO DE POPAYÁN</t>
  </si>
  <si>
    <t>EL CONVENIO ESTÁ SIENDO EJECUTADO POR EL ACUEDUCTO Y ALCANTARILLADO DE POPAYÁN, BAJO DE SUPERVISION DE LA CRC</t>
  </si>
  <si>
    <t>Obras de reducción sobre la planta de tratamiento de agua potable de la cabecera municipal de Suárez</t>
  </si>
  <si>
    <t>SUÁREZ</t>
  </si>
  <si>
    <t>PLANTA DE TRATAMIENTO CON REDUCCION</t>
  </si>
  <si>
    <t>El municipio esta elaborando planos y presupuesto para la presentación del proyecto</t>
  </si>
  <si>
    <t>Implementar  en el 100%  de los municipios vinculados al Plan Departamental de Agua- PDA - esquemas de prestación de servicios sostenibles</t>
  </si>
  <si>
    <t xml:space="preserve">Porcentaje de municipios  vinculados al Plan Departamental de Agua- PDA – con esquemas de prestación de servicios sostenibles implementados </t>
  </si>
  <si>
    <t>Implementar  21  planes de aseguramiento para entidades administradoras de los servicios públicos en áreas legales, técnicas, administrativas y comerciales.</t>
  </si>
  <si>
    <t xml:space="preserve">Número de planes de aseguramiento para entidades administradoras de los servicios públicos en áreas legales, técnicas, administrativas y comerciales implementados </t>
  </si>
  <si>
    <t>Plan de Aseguramiento de la prestación de los servicios de Agua Potable y Saneamiento Básico en los municipios vinculados al programa agua y saneamiento para la prosperidad- Planes Departamentales para el manejo empresarial de los seervicios de agua y saneamiento PAP-PDA.</t>
  </si>
  <si>
    <t>Bolivar</t>
  </si>
  <si>
    <t xml:space="preserve">Área Legal - Asesoria reforma estatutaria-Contrato de operación-Procedimiento para realizar acciones cohercitivas- manual de contratación.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t>
  </si>
  <si>
    <t>JULSOL MORRIS SOLANO CRUZ- SUBGERENTE ADMINISTRATIVO Y FINANCIERO- LIBRE NOMBRAMIENTO Y REMOCIÓN.
IBETH MUÑOZ HERNANDEZ- Profesional Especializado
CONTRATISTAS  PRESTACIÓN DE SERVICIOS  Y APOYO A LA SUPERVISIÓN.</t>
  </si>
  <si>
    <t>Fuente de información DANE- Plan de Aseguramiento Aprobado en la vigencia 2015.</t>
  </si>
  <si>
    <t>INZA</t>
  </si>
  <si>
    <t>ORIENTE</t>
  </si>
  <si>
    <t>MORALES</t>
  </si>
  <si>
    <t xml:space="preserve">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t>
  </si>
  <si>
    <t>Fuente de información DANE- Plan de Aseguramiento Aprobado.</t>
  </si>
  <si>
    <t>LA VEGA</t>
  </si>
  <si>
    <t>CAJIBIO</t>
  </si>
  <si>
    <t>Fase de Diagnostico y caracterización
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</si>
  <si>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Fuente de información DANE- plan de aseguramiento  que sera presentado para  la vigencia 2017</t>
  </si>
  <si>
    <t>PIAMONTE</t>
  </si>
  <si>
    <t>BOTA CAUCANA</t>
  </si>
  <si>
    <t>Fase de Diagnostico .
Area legal. Revisión y mejoramiento al proceso de constitución de la entidad.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</si>
  <si>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Fuente de información DANE- recursos de las vigencias 2016 y 2017</t>
  </si>
  <si>
    <t xml:space="preserve">JAMBALO </t>
  </si>
  <si>
    <t>TORIBIO CABECERA</t>
  </si>
  <si>
    <t>PIENDAMO</t>
  </si>
  <si>
    <t>PIENDAMO- TUNIA</t>
  </si>
  <si>
    <t xml:space="preserve">Plan De Aseguramiento De La Prestación De Los Servicios De Agua Potable Y Saneamiento Básico En El  Municipio De Guapi </t>
  </si>
  <si>
    <t>GUAPI</t>
  </si>
  <si>
    <t>PACIFICO</t>
  </si>
  <si>
    <t>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</si>
  <si>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TOTORO-CARGA CHIQUILLOS</t>
  </si>
  <si>
    <t>TORIBIO LA PLAYA- SOTO LA LUZ</t>
  </si>
  <si>
    <t>PURACE-PATUGO</t>
  </si>
  <si>
    <t>PAEZ- COHETANDO</t>
  </si>
  <si>
    <t>JAMBALO ZONA BAJA</t>
  </si>
  <si>
    <t>Implementar en 100% la política Nacional de Agua potable y saneamiento básico de los municipios vinculados al – Plan Departamental de Agua - PDA</t>
  </si>
  <si>
    <t xml:space="preserve">Porcentaje de la política Nacional de Agua potable y saneamiento básico de los municipios vinculados al – Plan Departamental de Agua – PDA – implementada </t>
  </si>
  <si>
    <t>33 municipios vinculados al -PDA</t>
  </si>
  <si>
    <t>Implementar el 26% del programa Plan Departamental de Agua</t>
  </si>
  <si>
    <t xml:space="preserve">Porcentaje del programa Plan Departamental de Agua implementado </t>
  </si>
  <si>
    <t>Plan de operatividad del Gestor</t>
  </si>
  <si>
    <t>38 vinculados (excepto Almaguer, Caldono,Corinto y Sucre)</t>
  </si>
  <si>
    <t>Morris Solano-Subgerente Administrativo-Libre nombramiento y remoción</t>
  </si>
  <si>
    <t xml:space="preserve">Mejorar en  10 municipios  la gestión o el manejo integral de los residuos sólidos </t>
  </si>
  <si>
    <t>Número de municipios con gestión o manejo integral de los residuos sólidos mejorado</t>
  </si>
  <si>
    <t>Impacto ambiental</t>
  </si>
  <si>
    <t>Ejecutar  proyectos ambientalmente sostenibles que  disminuyan el impacto negativo que genera la acción del hombre en el medio natural y social.</t>
  </si>
  <si>
    <t>Número de proyectos que  mejoren los indicadores de Gestión o Manejo integral de residuos sólidos ejecutados</t>
  </si>
  <si>
    <t>ADQUISICION DEL VEHICULO RECOLECTOR DE RESIDUOS SÓLIDOS DOMICILIARIOS PARA SU DISPOSICIÓN FINAL EN EL RELLENO SANITARIO DEL MUNICIPIO DE ARGELIA</t>
  </si>
  <si>
    <t>VEHÍCULO COMPACTADOR DE  12 YD3</t>
  </si>
  <si>
    <t>Roberth Hormiga-Subgerente Técnico-Libre nombramiento y remoción
Francisco Vidal-Profesional Universitario-Libre nombramiento y Remoción</t>
  </si>
  <si>
    <t>EL PROYECTO ESTÁ PARA RADICAR A LA VENTANILLA REGIONAL PARA SU VIABILIZACIÓN</t>
  </si>
  <si>
    <t>OPTIMIZACIÓN DEL COMPONENTE DE RECOLECCIÓN Y TRANSPORTE DEL SERVICIO PÚBLICO DE ASEO PRESTADO POR LA EMPRESA MUNICIPAL DE SERVICIOS PÚBLICOS DE MERCADERES EMPOMER ESP</t>
  </si>
  <si>
    <t>VEHÍCULO COMPACTADOR DE  17 YD3</t>
  </si>
  <si>
    <t>OPTIMIZACIÓN DEL COMPONENTE DE RECOLECCIÓN Y TRANSPORTE DEL SERVICIO PÚBLICO DE ASEO PRESTADO POR LA APC TOTORÓ</t>
  </si>
  <si>
    <t>TOTORÓ</t>
  </si>
  <si>
    <t>OPTIMIZACIÓN DEL COMPONENTE DE RECOLECCIÓN Y TRANSPORTE DEL SERVICIO PÚBLICO DE ASEO PRESTADO POR  EL MUNICIPIO DE BALBOA</t>
  </si>
  <si>
    <t>BALBOA</t>
  </si>
  <si>
    <t>OPTIMIZACIÓN DEL COMPONENTE DE RECOLECCIÓN Y TRANSPORTE DEL SERVICIO PÚBLICO DE ASEO PRESTADO POR LA EMPRESA DE SERVICIOS PÚBLICOS DE PIAMONTE A.A.A.</t>
  </si>
  <si>
    <t>OPTIMIZACIÓN DEL COMPONENTE DE RECOLECCIÓN Y TRANSPORTE DEL SERVICIO PÚBLICO DE ASEO PRESTADO POR LA ASOCIACIÓN DE SERVICIOS PÚBLICOS DE PÁEZ ASPUBE</t>
  </si>
  <si>
    <t>PÁEZ</t>
  </si>
  <si>
    <t>OPTIMIZACIÓN DEL COMPONENTE DE RECOLECCIÓN Y TRANSPORTE DEL SERVICIO PÚBLICO DE ASEO PRESTADO POR LA EMPRESA MUNICIPAL DE SERVICIOS PÚBLICOS DE ROSAS AARSA ESP-AAA LA SIERRA</t>
  </si>
  <si>
    <t>LA SIERRA-ROSAS</t>
  </si>
  <si>
    <t>OPTIMIZACIÓN DEL COMPONENTE DE RECOLECCIÓN Y TRANSPORTE DEL SERVICIO PÚBLICO DE ASEO PRESTADO POR LA EMPRESA MUNICIPAL DE SERVICIOS PÚBLICOS DE SANTANDER DE QUILICHAO EMQUILICHAO E.S.P.</t>
  </si>
  <si>
    <t>SANTANDER DE QUILCHAO</t>
  </si>
  <si>
    <t>VEHÍCULO COMPACTADOR DE  25 YD3</t>
  </si>
  <si>
    <t>OPTIMIZACIÓN DEL COMPONENTE DE RECOLECCIÓN Y TRANSPORTE DEL SERVICIO PÚBLICO DE ASEO PRESTADO POR LA ADMINISTRACIÓN PÚBLICA COOPERATIVA DE CAJIBIO APC CAJIBIO</t>
  </si>
  <si>
    <t>CONTRUCCIÓN DE CELDA DE CONTINGENCIA VEREDA TEMUEY MINICIPIO DE GUAPI</t>
  </si>
  <si>
    <t>COSTA PACIFICA</t>
  </si>
  <si>
    <t>CELDA DE CONTINGENCIA PARA LA DISPOSICIÓN DE RESIDUOS SÓLIDOS  EN LA VEREDA TEMUEY CONSTRUDIDA</t>
  </si>
  <si>
    <t>ESTUDIOS Y DISEÑOS RELLENO REGIONAL SAN SEBASTIÁN</t>
  </si>
  <si>
    <t>SAN SEBASTIÁN</t>
  </si>
  <si>
    <t>DOCUMENTOS CON EL DISEÑO DEL SITIO DE DISPOSICIÓN FINAL</t>
  </si>
  <si>
    <t>LOS MUNICIPIO DE MERCADERES Y FORENCIA, ESTÁN EN LA FORMULACIÓN DEL PERFIL DE PROYECTO PARA REALIZAR LA CONSULTORÍA DE ESTDUDIOS Y DISEÑOS</t>
  </si>
  <si>
    <t>ESTUDIOS Y DISEÑOS RELLENO REGIONAL LA SIERRA-ROSAS</t>
  </si>
  <si>
    <t>CONSTRUCCIÓN DE RELLENO SANITARIO PARA EL MUNICIPIO DE LÓPEZ DE MICAY</t>
  </si>
  <si>
    <t>LÓPEZ DE MICAY</t>
  </si>
  <si>
    <t>PACÍFICO</t>
  </si>
  <si>
    <t>RELLENO SANITARIO CONSTRUIDO PARA LA CABECERA MUNICIPAL DE LÓPEZ DE MICAY</t>
  </si>
  <si>
    <t>EL PROYECTO SERÁ ENTREGADO POR PARTE DE LA CONSULTORÍA EN EL MES DE ENERO DE 2017</t>
  </si>
  <si>
    <t>DIAGNÓSTICO AMBIENTAL DE ALTERNATIVAS Y ESTUDIOS Y DISEÑOS RELLENO REGIONAL MERCADERES - FLORENCIA</t>
  </si>
  <si>
    <t>MERCADERES-FLORENCIA</t>
  </si>
  <si>
    <t>Incrementar en un 10%  el caudal de aguas tratadas.</t>
  </si>
  <si>
    <t>Porcentaje del caudal de aguas tratadas incrementado</t>
  </si>
  <si>
    <t xml:space="preserve"> 90,33 LPS</t>
  </si>
  <si>
    <t xml:space="preserve">Construir 5 sistemas de manejo de vertimientos </t>
  </si>
  <si>
    <t xml:space="preserve">Número de sistemas de manejo de vertimientos construidos </t>
  </si>
  <si>
    <t xml:space="preserve">MINISTERIO SOLICITÓ AJUSTES
GENERO : 
HOMBRE: 
MUJER:  
EDADES:0-6 AÑOS: 
7-14 AÑOS:
15-17 AÑOS: 0
18-28 AÑOS: 0.
27-59 AÑOS: 0
60 EN ADELANTE: 0.
GRUPOS ETNICOS: SIN INF.
POBLACION VULNERABLE:DESPLAZADOS-DISCAPACITADOS-POBRES EXTREMOS.
</t>
  </si>
  <si>
    <t>CONSTRUCCION SISTEMA DE ALCANTARILLADO SANITARIO Y PLANTA DE TRATAMIENTO DE AGUAS RESIDUALES CENTRO POBLADO EL PLATEADO-MUNICIPIO DE ARGELIA FASE I</t>
  </si>
  <si>
    <t>ALCANTARILLADO SANITARIO FASE I</t>
  </si>
  <si>
    <t>EN AGOSTO INTERV. PRESENTA CHEQUEO</t>
  </si>
  <si>
    <t xml:space="preserve">"CONSTRUCCIÓN DE LA PLANTA DE TRATAMIENTO DE AGUAS
RESIDUALES ZONA URBANA DEL MUNICIPIO DE SANTANDER DE QUILICHAO - CAUCA". </t>
  </si>
  <si>
    <t>CONSTRUCCIÓN PTAR: 
• PRETRATAMIENTO. • 2 REACTORES UASB. • LECHOS DE SECADO. • VÍAS DE ACCESO. • EDIFICIO ADMINISTRATIVO. • CERRAMIENTO. • EMISARIO FINAL</t>
  </si>
  <si>
    <t xml:space="preserve">FINDETER PROGRAMA SAVER
</t>
  </si>
  <si>
    <t xml:space="preserve">CTTO  142/15
 AVANCE 0%
</t>
  </si>
  <si>
    <t xml:space="preserve">Optimizar 20 sistemas de manejo de vertimientos </t>
  </si>
  <si>
    <t xml:space="preserve">Número de sistemas de manejo de vertimientos optimizados </t>
  </si>
  <si>
    <t>ALCANTARILLADO
OPTIMIZACION PTAR EXISTENTE</t>
  </si>
  <si>
    <t>EN ESPERA DEL CDR EXPEDIDO POR EL FIA</t>
  </si>
  <si>
    <t>Ejecutar el 100% de los proyectos acueducto, alcantarillado y aseo con Planes de Manejo Ambiental</t>
  </si>
  <si>
    <t>Porcentaje de los proyectos acueducto, alcantarillado y aseo con Planes de Manejo Ambiental ejecutados</t>
  </si>
  <si>
    <t>Apoyar la formulación de 9  Planes de Saneamiento y Manejo de Vertimientos -PSMV</t>
  </si>
  <si>
    <t xml:space="preserve">Número de Planes de Saneamiento y Manejo de Vertimientos –PSMV apoyados en su formulación </t>
  </si>
  <si>
    <t>FORMULACION DEL PLAN DE SANEAMIENTO Y MANEJO DE VERTIMIENTOS EN EL MUNICIPIO DE MORALES</t>
  </si>
  <si>
    <t>EN PROCESO DE SOLICITUD DE RECURSOS PARA CONTRATACIÓN</t>
  </si>
  <si>
    <t>FORMULACION DEL PLAN DE SANEAMIENTO Y MANEJO DE VERTIMIENTOS EN EL MUNICIPIO DE ROSAS</t>
  </si>
  <si>
    <t>FORMULACION DEL PLAN DE SANEAMIENTO Y MANEJO DE VERTIMIENTOS EN EL MUNICIPIO DE SAN SEBASTIAN</t>
  </si>
  <si>
    <t>FORMULACION DEL PLAN DE SANEAMIENTO Y MANEJO DE VERTIMIENTOS EN EL MUNICIPIO DE SOTARÁ</t>
  </si>
  <si>
    <t xml:space="preserve">FORMULACION DEL PLAN DE SANEAMIENTO Y MANEJO DE VERTIMIENTOS EN EL MUNICIPIO DE  TORIBÍO </t>
  </si>
  <si>
    <t>FORMULACION DEL PLAN DE SANEAMIENTO Y MANEJO DE VERTIMIENTOS EN EL MUNICIPIO DE TOTORÓ</t>
  </si>
  <si>
    <t>Apoyar la formulación de 15  Planes de Uso Eficiente y Ahorro del Agua   -PUEAA</t>
  </si>
  <si>
    <t xml:space="preserve">Número Planes de Uso Eficiente y Ahorro del Agua   -PUEAA que se apoya su formulación </t>
  </si>
  <si>
    <t>FORMULACION DE PLAN DE AHORRO Y USO EFICIENTE DE AGUA DEL MUNICIPIO DE GUACHENÉ</t>
  </si>
  <si>
    <t>FORMULACION DE PLAN DE AHORRO Y USO EFICIENTE DE AGUA DEL MUNICIPIO DE GUAPI</t>
  </si>
  <si>
    <t>FORMULACION DE PLAN DE AHORRO Y USO EFICIENTE DE AGUA DEL MUNICIPIO DE LA SIERRA</t>
  </si>
  <si>
    <t>FORMULACION DE PLAN DE AHORRO Y USO EFICIENTE DE AGUA DEL MUNICIPIO DE LA VEGA</t>
  </si>
  <si>
    <t>FORMULACION DE PLAN DE AHORRO Y USO EFICIENTE DE AGUA DEL MUNICIPIO DE LOPEZ DE MICAY</t>
  </si>
  <si>
    <t>LOPEZ DE MICAY</t>
  </si>
  <si>
    <t>FORMULACION DE PLAN DE AHORRO Y USO EFICIENTE DE AGUA DEL MUNICIPIO DE PADILLA</t>
  </si>
  <si>
    <t>FORMULACION DE PLAN DE AHORRO Y USO EFICIENTE DE AGUA DEL MUNICIPIO DE PAEZ</t>
  </si>
  <si>
    <t>PAEZ</t>
  </si>
  <si>
    <t>FORMULACION DE PLAN DE AHORRO Y USO EFICIENTE DE AGUA DEL MUNICIPIO DE PUERTO TEJADA</t>
  </si>
  <si>
    <t>FORMULACION DE PLAN DE AHORRO Y USO EFICIENTE DE AGUA DEL MUNICIPIO DE ROSAS</t>
  </si>
  <si>
    <t>FORMULACION DE PLAN DE AHORRO Y USO EFICIENTE DE AGUA DEL MUNICIPIO DE TORIBIO</t>
  </si>
  <si>
    <t>FORMULACION DE PLAN DE AHORRO Y USO EFICIENTE DE AGUA DEL MUNICIPIO DE TOTORÓ</t>
  </si>
  <si>
    <t xml:space="preserve">Apoyar la formulación de 3 Planes de Gestión Integral de residuos Sólidos - PGIRS </t>
  </si>
  <si>
    <t xml:space="preserve">Número de Planes de Gestión Integral de residuos Sólidos - PGIRS - apoyados en su formulación </t>
  </si>
  <si>
    <t>FORMULACION PLAN DE GESTIÓN INTEGRAL DE RESIDUOS SÓLIDOS EN EL MUNICIPIO DE MORALES</t>
  </si>
  <si>
    <t>FORMULACION PLAN DE GESTIÓN INTEGRAL DE RESIDUOS SÓLIDOS EN EL MUNICIPIO DE SAN SEBASTIAN</t>
  </si>
  <si>
    <t>FORMULACION PLAN DE GESTIÓN INTEGRAL DE RESIDUOS SÓLIDOS EN EL MUNICIPIO DE PIENDAMÓ</t>
  </si>
  <si>
    <t>PIENDAMÓ</t>
  </si>
  <si>
    <t>Incrementar en 2%  la cobertura de acueducto</t>
  </si>
  <si>
    <t xml:space="preserve">Porcentaje de cobertura de acueducto incrementado </t>
  </si>
  <si>
    <t>Infraestructura de acueducto y alcantarillado</t>
  </si>
  <si>
    <t xml:space="preserve">Contribuir con la inversión  en obras de  infraestructura de los sistemas de acueducto, alcantarillado y aseo, como soporte físico para la prestación adecuada  del servicio  </t>
  </si>
  <si>
    <t>Beneficiar a 6.000 nuevas personas con el servicio de acueducto en el área urbana</t>
  </si>
  <si>
    <t xml:space="preserve">Número de nuevas personas con el servicio de acueducto en el área urbana beneficiadas </t>
  </si>
  <si>
    <t>MEJORAMIENTO ACUEDUCTO PEDREGAL</t>
  </si>
  <si>
    <t xml:space="preserve"> TANQUE DE ALMACENAMIENTO PPAL-TANQUE DE ALMACENAMIENTO SAN ANTONIO TA1-TANQUE DE ALMACENAMIENTO BELEN BAJO TA2 TANQUE DE ALM. BELEN BAJO TA3-TANQUE DE ALM. BETANIA TA4 Y TA5-TANQUE DE ALM. PALMICHAL TA6- TANQUE DE ALM. EL TABOR TA7- TANQUE DE ALM. AGUA BLANCA TA8- TANQUE DE ALM. AGUA BLANCA TA9-TANQUE DE ALM. ALTO DE TOPA TA10- TANQUE DE ALM. LA FLORESTA TA11- TANQUE DE ALM. PEDREGAL TA12-TANQUE  DE ALM. EL CAUCHITO TA14- TANQUE DE ALM. LA MANGA TA15- CAMARAS DE QUIEBRE TIPO 2 Y 5- LINEAS DE ADUCCIÓN ,CONDUCCION Y DISTRIBUCION-VIADUCTOS</t>
  </si>
  <si>
    <t xml:space="preserve">GENERO : 
HOMBRES: 1.770 PERS.
MUJERES: 1.842 PERS.
EDADES:
0-6 AÑOS: 0 PERSONAS
7-14 AÑOS: 0 PERS.
15-17 AÑOS: 0 PERS.
18-28 AÑOS: 0 PERS..
27-59 AÑOS: 0 PERS.
60 AÑOS EN ADELANTE: 0 PERSONAS.
GRUPOS ETNICOS: SIN INF.
POBLACION VULNERABLE: (DESPLAZADOS-DISCAPACITADOS-POBRES EXTREMOS) SIN INF.
</t>
  </si>
  <si>
    <t>ROBERTH HORMIGA (Subgerente Técnico)
Libre nombramiento y Remoción
CARLOSPEREZ
(Prof. de Apoyo)
Contrato de Prestación de servicios</t>
  </si>
  <si>
    <t>ROBERTH HORMIGA (Subgerente Técnico)
Libre nombramiento y Remoción
KAROL GIRON
(Prof. de Apoyo)
Profesional Universitaria codigo 219 grado 02</t>
  </si>
  <si>
    <t>CONTRATO OBRA: 187/16
INICIÓ: 29 DE NOV DE 2016
VR.:$ 17.939</t>
  </si>
  <si>
    <t>ROBERTH HORMIGA (Subgerente Técnico)
HELMAN MOLANO
(Prof. de Apoyo)
Contrato de Prestación de servicios</t>
  </si>
  <si>
    <t xml:space="preserve">CTTO 35/14
AVANCE 78%
 </t>
  </si>
  <si>
    <t>BOCATOMA. 
-SUMINISTRO E INSTALACIÓN TUBERÍA PVC-UM, DIÁMETRO 16", 160 PSI (4.00m) 
-SUMINISTRO E INSTALACIÓN COMPUERTA LATERAL DESLIZANTE HD 16" (1.00Unidad) 
-SUMINISTRO E INSTALACIÓN REJILLA EN VARILLAS DE ACERO DE 1/2", E=1", 1,5X0.4 M (9.00Unidad) 
-GAVIONES EN MALLA TRIPLE TORSIÓN CAL 12 (140.00M3) 
2. OBRAS EN CANAL DE ADUCCIÓN, BOCATOMA-DESARENADOR Y LÍNEA DE ADUCCIÓN EN TUBERÍA DE PVC UM 125PSI, DIÁMETRO 12. 
-SUMINISTRO E INSTALACIÓN TUBERÍA PVC-UM, DIÁMETRO 6", 125 PSI (49.00m) 
- SUMINISTRO E INSTALACIÓN TUBERÍA PVC-UM, DIÁMETRO 12", 125 PSI. (62.00m) 
-SUMINISTRO E INSTALACIÓN COMPUERTA EN HF (1,1M X 1,15 M) (5.00Unidad)
-CABEZAL DE DESCARGA EN CONCRETO REFORZADO DE 3.500 PSI (5.00Unidad
3. LÍNEA DE CONDUCCIÓN DESARENADOR-PTAP, MEDIANTE EL SUMINISTRO E INSTALACIÓN DE TUBERÍA DE PVC UM 125PSI, DIÁMETRO 8".
 -SUMINISTRO E INSTALACIÓN TUBERÍA DE PVC-UM, DIÁMETRO 8", 125 PSI, (723.00m)
-SUMINISTRO E INSTALACIÓN VÁLVULA DE COMPUERTA ELÁSTICA, HD, DIAMETRO 8" (2.00Und.) 
4. OBRAS EN RED DE ACUEDUCTO.
 -SUMINISTRO E INSTALACIÓN TUBERÍA EN PVC-UM, DIÁMETRO 2", 125PSI. (51.00ML) 
-SUMINISTRO E INSTALACIÓN TUBERÍA PVC-UM, DIÁMETRO 3", 125PSI. (3020.00ML)
- SUMINISTRO E INSTALACIÓN TUBERÍA PVC-UM, DIÁMETRO 4", 125PSI. (1730.00ML)
- SUMINISTRO E INSTALACIÓN TUBERÍA PVC-UM, DIÁMETRO 6", 125PSI. (1146.00ML) 
-SUMINISTRO E INSTALACIÓN TUBERÍA PVC-UM, DIÁMETRO 8", 125PSI. (315.00ML)
- SUMINISTRO E INSTALACIÓN TUBERÍA PVC-UM, DIÁMETRO 10", 125PSI. (1058.00ML) 
- SUMINISTRO E INSTALACIÓN TUBERÍA PVC-UM, DIÁMETRO 12", 125PSI. (25.00ML)
5. CONSTRUCCIÓN TANQUE DE ALMACENAMIENTO NUEVO CHIQUILINES, CON CAPACIDAD DE 664 M3. 
6. OBRAS DE REHABILITACIÓN Y OPTIMIZACIÓN EN PLANTA DE TRATAMIENTO DE AGUA POTABLE, CAPACIDAD 153 L/S.</t>
  </si>
  <si>
    <t>ROBERTH HORMIGA (Subgerente Técnico)</t>
  </si>
  <si>
    <t xml:space="preserve">CCTO DE OBRA:160/15    INICIÓ:07/09/15
EN EJECUCIÓN AVANCE: 40% 
VR OBRA+INTERV $3.405  
</t>
  </si>
  <si>
    <t>Beneficiar a 25.000 nuevas personas con el servicio de acueducto en la zona rural</t>
  </si>
  <si>
    <t>Número de nuevas personas con el servicio de acueducto en la zona rural beneficiadas</t>
  </si>
  <si>
    <t>OPTIMIZACIÓN SISTEMA DE ABASTECIMIENTO DE AGUA Y SISTEMA DE POTABILIZACIÓN DEL CORREGIMIENTO GABRIEL LOPEZ -MUNICIPIO DE TOTORÓ</t>
  </si>
  <si>
    <t>CONSTRUCCIÓN PLANTA DE TRATAMIENTO CONVENCIONAL
CERRAMIENTO EN PREDIO DE LA PTAP</t>
  </si>
  <si>
    <t>SE ENCUENTRA EN MVCT 
GENERO : 
HOMBRES: 737 PERS.
MUJERES: 5761 PERS.
EDADES:
0-6 AÑOS: 0 PERSONAS
7-14 AÑOS: 0 PERS.
15-17 AÑOS: 0 PERS.
18-28 AÑOS: 0 PERS..
27-59 AÑOS: 0 PERS.
60 AÑOS EN ADELANTE: 0 PERSONAS.
GRUPOS ETNICOS: SIN INF.
POBLACION VULNERABLE: SIN INF
.</t>
  </si>
  <si>
    <t>ROBERTH HORMIGA (Subgerente Técnico)
Libre nombramiento y Remoción
OMAR LOPEZ
(Prof. de Apoyo)</t>
  </si>
  <si>
    <t xml:space="preserve"> BOCATOMA,, ADUCCION, DESARENADOR, TERMINACION PTAP, TANQUE ALMACENAMIENTO CONDUCCION HASTA EMPALME TUBERIA EXISTENTE</t>
  </si>
  <si>
    <t>ROBERTH HORMIGA (Subgerente Técnico)
Libre nombramiento y Remoción
HELMAN MOLANO
(Prof. de Apoyo)
Contrato de Prestación de servicios</t>
  </si>
  <si>
    <t>CONTRATO 180/15
AVANCE 60 %</t>
  </si>
  <si>
    <t>ROBERTH HORMIGA (Subgerente Técnico)
KAROL GIRÓN
(Prof. de Apoyo)
Profesional Universitaria codigo 219 grado 02</t>
  </si>
  <si>
    <t>CTTO: 116-15
EN EJECUCIÓN: AVANCE 55%
VALOR OBRA:  $5.554.777,633
VR OBRA + INTERV: $5.973 
INICIÓ: 17 /11/15</t>
  </si>
  <si>
    <t>Incrementar en 0.5%  la cobertura de alcantarillado</t>
  </si>
  <si>
    <t xml:space="preserve">Porcentaje de cobertura de alcantarillado incrementado  </t>
  </si>
  <si>
    <t>Beneficiar a 4.500 nuevas personas con el servicio de alcantarillado en el área urbana</t>
  </si>
  <si>
    <t>Número de nuevas personas con el servicio de alcantarillado en el área urbana beneficiadas</t>
  </si>
  <si>
    <t>ROBERTH HORMIGA (Subgerente Técnico)
JHON SANCHEZ 
(Prof. de Apoyo)</t>
  </si>
  <si>
    <t>EN PROCESO DE CONTRATACIÓN</t>
  </si>
  <si>
    <t>CONSTRUCCION DE OBRAS DE OPTIMIZACION Y AMPLIACION  DEL SISTEMA DE ALCANTARILLADO SANITARIO Y CONSTRUCCION DEL SISTEMA DE TRATAMIENTO DE AGUAS RESIDUALES DEL CENTRO POBLADO DE EL PLATEADO.</t>
  </si>
  <si>
    <t>El proyecto incluye la construcción de 1.500 ml de tubería de 160 mm, 1.500 ml de tubería de  200 ml y 2500 ml de tubería de 250 mm pvc alcantarillado, construcción de 80 cámaras de inspección y la conexión de  850 domiciliarias.  Paralelamente se realizara la construcción  una planta de tratamiento de aguas residuales  de 6.6 lps para tratar el agua recogida en las redes, la cual estará compuesta por una estructura de alivio, una cámara de cribado, una caja de distribución de caudales, seis (6) unidades de tanques sépticos, seis (6) unidades de  filtros anaeróbicos de flujo ascendente (FAFA), cuatro lechos de secado y tanque para recolección de efluentes de lecho de secado.    El costo de inversión inicial de la Ptar corresponde al 25% del valor total de proyecto.</t>
  </si>
  <si>
    <t xml:space="preserve"> PROYECTO REVISADO Y REENVIADO A MUNICIPIO PARA AJUSTES DE MEMORIAS, PLANOS Y PRESPUESTO. A la espera que el proyecto sea ajustado y actualizado  por de la entidad Encargada (Alcaldía municipal de Argelia) de acuerdo a las observaciones derivadas de la revisión.  </t>
  </si>
  <si>
    <t>CCTO 118/15
AVANCE: 80%</t>
  </si>
  <si>
    <t xml:space="preserve">Beneficiar a 4000  nuevas personas con acceso a una solución de alcantarillado en la  zona rural </t>
  </si>
  <si>
    <t>Número de nuevas personas con acceso a una solución de alcantarillado en la zona rural beneficiadas</t>
  </si>
  <si>
    <t>CONSTRUCCIÓN DE SOLUCIONES INDIVIDUALES DE EVACUACIÓN Y TRATAMIENTO DE EXCRETAS PARA FAMILIAS VULNERABLES DE LA ZONA CENTRO DEL MUNICIPIO DE SOTARÁ</t>
  </si>
  <si>
    <t>53 BATERIAS SANITARIAS CON SISTEMA DE TRATAMIENTO</t>
  </si>
  <si>
    <t xml:space="preserve">GENERO : 
HOMBRES: 581 PERS.
MUJERES: 580 PERS.
EDADES:
0-6 AÑOS: 100 PERSONAS
7-14 AÑOS: 120 PERS.
15-17 AÑOS: 52 PERS.
18-28 AÑOS: 189 PERS..
27-59 AÑOS: 468 PERS.
60 AÑOS EN ADELANTE: 232 PERSONAS.
GRUPOS ETNICOS: SIN INF.
POBLACION VULNERABLE: SIN INF.
</t>
  </si>
  <si>
    <t>CONSTRUCCIÓN DE BATERIAS SANITARIAS EN EL CORREIMIEMTO CHIGUERO</t>
  </si>
  <si>
    <t>CONSTRUCCION DE TRAMO DE COLECTOR ALCANTARILLADO SANITARIO DENOMINADO: INTERCEPTOR CAUCA III ENTRE CAMARA CM 123 A CAMARA CM 133, ALCANTARILLADO DE LA ZONA NORTE DE POPAYAN.</t>
  </si>
  <si>
    <t>POPAYAN</t>
  </si>
  <si>
    <t xml:space="preserve"> El proyecto incluye la construcción de 1.042  ml de tubería de 30" pvc alcantarillado y la construcción de 9 cámaras de inspección. </t>
  </si>
  <si>
    <t>PROYECTO REVISADO Y REENVIADO A MUNICIPIO PARA AJUSTES DE MEMORIAS, PLANOS Y PRESPUESTO.</t>
  </si>
  <si>
    <t>AJUSTE Y ACTUALIZACION DE SISTEMA DE ALCANTARILLADO EJIDO MARGEN DERECHA - MANO DE OBRA PARA LA CONSTRUCCION DEL COLECTOR MARGEN DERECHA DEL RIO EJIDO - TRAMO I COMPRENDIDIO DESDE LA CARRERA 3 CON CALLE 17 HASTA LA CARRERA 20 CON CALLE 9A.</t>
  </si>
  <si>
    <t xml:space="preserve"> A la espera que el proyecto sea ajustado y actualizado  por de la entidad Encargada (Empresa de acueducto y Alcantarillado de Popayán S.A ESP) de acuerdo a las observaciones derivadas de la revisión.  El proyecto incluye la construcción de 299  ml de tubería de315 mm, 216 ml  de tubería de 450 mm, 418 ml de tubería de 500 mm y 1.579 ml de tubería de 24" pvc alcantarillado y la construcción de 30 cámaras de inspección. Incluye la reposición de pavimentos.</t>
  </si>
  <si>
    <t xml:space="preserve">PROYECTO REVISADO Y REENVIADO A MUNICIPIO PARA AJUSTES DE MEMORIAS, PLANOS Y PRESPUESTO. A la espera que el proyecto sea ajustado y actualizado  por de la entidad Encargada (Empresa de acueducto y Alcantarillado de Popayán S.A ESP) de acuerdo a las observaciones derivadas de la revisión. </t>
  </si>
  <si>
    <t>CONSTRUCCION DE REDES DE RECOLECCION DE ALCANTARILLADO SANITARIO DE SECTOR DE CAMBALACHE, VEREDA SAN PEDRO EN LA CABECERA MUNICIPAL DE SANTANDER DE QUILICHAO.</t>
  </si>
  <si>
    <t>El proyecto incluye la construcción de 1.500 ml de tubería de 200 mm pvc alcantarillado, construcción de 30 cámaras de inspección y la conexión de  85 domiciliarias.  Igualmente se realizara la construcción de dos sistema individuales de tratamiento de aguas residuales para dos viviendas que están por debajo de la cota de servicio de alcantarillado. Las redes a construir se conectaran al sistema de alcantarillado existente de la cabecera municipal de Santander de Quilichao en la cámara CM 32 en la cota 1.200 m</t>
  </si>
  <si>
    <t xml:space="preserve">PROYECTO REVISADO Y REENVIADO A MUNICIPIO PARA AJUSTES DE MEMORIAS, PLANOS Y PRESPUESTO. A la espera que el proyecto sea ajustado y actualizado  por de la entidad Encargada (Emquilichao SA ESP) de acuerdo a las observaciones derivadas de la revisión.  </t>
  </si>
  <si>
    <t>CONSTRUCCION DE SOLUCIONES INDIVIDUALES DE EVACUACION Y TRATAMIENTO DE EXCRETAS PARA FAMILIAS VULNERABLES DE LA ZONA CENTRO DEL MUNICIPIO DE SOTARA: CONSTRUCCION DE 53 BATERIAS SANITARIAS COMPLETAS.</t>
  </si>
  <si>
    <t>SOTARA</t>
  </si>
  <si>
    <t>CONSTRUCCIÓN DE 1500 ML DE TUBERIA DE 200ML Y 2500 ML DE TUBERIA DE 250 MM-80 CÁMARAS Y CONEXIÓN DE 850 DOMICILIARIAS- PTAR DE 6,6 LPS: VALOR PTAP 25%  DEL VALOR TOTAL DEL PROYECTO</t>
  </si>
  <si>
    <t>Roberth Hormiga-Subgerente Técnico-nombramiento</t>
  </si>
  <si>
    <r>
      <t>DEPENDENCIA RESPONSABLE:</t>
    </r>
    <r>
      <rPr>
        <u/>
        <sz val="10"/>
        <rFont val="Calibri"/>
        <family val="2"/>
        <scheme val="minor"/>
      </rPr>
      <t xml:space="preserve"> EMCASERVICIOS S.A E.S.P.</t>
    </r>
  </si>
  <si>
    <r>
      <t xml:space="preserve">Instalación de un sistema de cloración gaseoso - Plantas Convencionales </t>
    </r>
    <r>
      <rPr>
        <b/>
        <sz val="10"/>
        <rFont val="Calibri"/>
        <family val="2"/>
        <scheme val="minor"/>
      </rPr>
      <t>( PACA I )</t>
    </r>
  </si>
  <si>
    <r>
      <t xml:space="preserve">Adecuación sistema de dosificación de Coagulantes,  Floculantes y  Alcalinizantes - Plantas Convencionales </t>
    </r>
    <r>
      <rPr>
        <b/>
        <sz val="10"/>
        <rFont val="Calibri"/>
        <family val="2"/>
        <scheme val="minor"/>
      </rPr>
      <t xml:space="preserve">    ( PACA I )</t>
    </r>
  </si>
  <si>
    <r>
      <t>Medición de Caudal.</t>
    </r>
    <r>
      <rPr>
        <b/>
        <sz val="10"/>
        <rFont val="Calibri"/>
        <family val="2"/>
        <scheme val="minor"/>
      </rPr>
      <t xml:space="preserve"> ( PACA I )</t>
    </r>
  </si>
  <si>
    <r>
      <t xml:space="preserve">Análisis de laboratorios fisicoquímicos y bacteriológicos para seguimiento y  control de calidad de agua. </t>
    </r>
    <r>
      <rPr>
        <b/>
        <sz val="10"/>
        <rFont val="Calibri"/>
        <family val="2"/>
        <scheme val="minor"/>
      </rPr>
      <t>( PACA I )</t>
    </r>
  </si>
  <si>
    <r>
      <t>Optimización y/o Instalación  de Dispositivos para toma de Muestras</t>
    </r>
    <r>
      <rPr>
        <b/>
        <sz val="10"/>
        <rFont val="Calibri"/>
        <family val="2"/>
        <scheme val="minor"/>
      </rPr>
      <t xml:space="preserve">  ( PACA I )</t>
    </r>
  </si>
  <si>
    <r>
      <t xml:space="preserve">Implementación de tecnología de punta en los procesos de tratamiento de agua potable </t>
    </r>
    <r>
      <rPr>
        <b/>
        <sz val="10"/>
        <rFont val="Calibri"/>
        <family val="2"/>
        <scheme val="minor"/>
      </rPr>
      <t xml:space="preserve"> ( PACA I )</t>
    </r>
  </si>
  <si>
    <r>
      <t xml:space="preserve">Capacitación y Asistencia técnica </t>
    </r>
    <r>
      <rPr>
        <b/>
        <sz val="10"/>
        <rFont val="Calibri"/>
        <family val="2"/>
        <scheme val="minor"/>
      </rPr>
      <t>( PACA II  )</t>
    </r>
  </si>
  <si>
    <r>
      <t xml:space="preserve">Implementación de un equipo básico de laboratorio de control de calidad de agua </t>
    </r>
    <r>
      <rPr>
        <b/>
        <sz val="10"/>
        <rFont val="Calibri"/>
        <family val="2"/>
        <scheme val="minor"/>
      </rPr>
      <t xml:space="preserve">                ( PACA II )</t>
    </r>
  </si>
  <si>
    <r>
      <t xml:space="preserve">Instalación de un Sistema de Cloración en Plantas FIME     </t>
    </r>
    <r>
      <rPr>
        <b/>
        <sz val="10"/>
        <rFont val="Calibri"/>
        <family val="2"/>
        <scheme val="minor"/>
      </rPr>
      <t>( PACA II )</t>
    </r>
  </si>
  <si>
    <r>
      <t xml:space="preserve">Instalación de un sistema de cloración gaseoso - Plantas Convencionales </t>
    </r>
    <r>
      <rPr>
        <b/>
        <sz val="10"/>
        <rFont val="Calibri"/>
        <family val="2"/>
        <scheme val="minor"/>
      </rPr>
      <t>( PACA II )</t>
    </r>
  </si>
  <si>
    <r>
      <t xml:space="preserve">Adecuación sistema de dosificación de Coagulantes,  Floculantes y  Alcalinizantes - Plantas Convencionales </t>
    </r>
    <r>
      <rPr>
        <b/>
        <sz val="10"/>
        <rFont val="Calibri"/>
        <family val="2"/>
        <scheme val="minor"/>
      </rPr>
      <t xml:space="preserve">    ( PACA II )</t>
    </r>
  </si>
  <si>
    <r>
      <t>Medición de Caudal.</t>
    </r>
    <r>
      <rPr>
        <b/>
        <sz val="10"/>
        <rFont val="Calibri"/>
        <family val="2"/>
        <scheme val="minor"/>
      </rPr>
      <t xml:space="preserve"> ( PACA II )</t>
    </r>
  </si>
  <si>
    <r>
      <t>Análisis de laboratorios fisicoquímicos y bacteriológicos para seguimiento y  control de calidad de agua.</t>
    </r>
    <r>
      <rPr>
        <b/>
        <sz val="10"/>
        <rFont val="Calibri"/>
        <family val="2"/>
        <scheme val="minor"/>
      </rPr>
      <t xml:space="preserve">  ( PACA II )</t>
    </r>
  </si>
  <si>
    <r>
      <t>Optimización y/o Instalación  de Dispositivos para toma de Muestras</t>
    </r>
    <r>
      <rPr>
        <b/>
        <sz val="10"/>
        <rFont val="Calibri"/>
        <family val="2"/>
        <scheme val="minor"/>
      </rPr>
      <t xml:space="preserve">  ( PACA II )</t>
    </r>
  </si>
  <si>
    <r>
      <t xml:space="preserve">Implementación de tecnología de punta en los procesos de tratamiento de agua potable                     </t>
    </r>
    <r>
      <rPr>
        <b/>
        <sz val="10"/>
        <rFont val="Calibri"/>
        <family val="2"/>
        <scheme val="minor"/>
      </rPr>
      <t xml:space="preserve"> ( PACA II )</t>
    </r>
  </si>
  <si>
    <r>
      <t>CONTRATO 10/05/2015
AVANCE</t>
    </r>
    <r>
      <rPr>
        <sz val="10"/>
        <rFont val="Calibri"/>
        <family val="2"/>
        <scheme val="minor"/>
      </rPr>
      <t xml:space="preserve"> :75%</t>
    </r>
    <r>
      <rPr>
        <sz val="10"/>
        <color theme="1"/>
        <rFont val="Calibri"/>
        <family val="2"/>
        <scheme val="minor"/>
      </rPr>
      <t xml:space="preserve">
</t>
    </r>
  </si>
  <si>
    <t>LINEA DE BASE META DE PRODUCTO A 2016</t>
  </si>
  <si>
    <t>SISTEMA GENERAL DE PARTICIPACIONES</t>
  </si>
  <si>
    <t>Crecimiento y competitividad económica</t>
  </si>
  <si>
    <t>Aumentar en 5000 el número de personas ocupadas en el departamento  (Nota: La meta tomara como línea de base los resultados del año 2015 una vez se actualice y se publique por el DANE)</t>
  </si>
  <si>
    <t xml:space="preserve">Número de personas ocupadas en el departamento aumentadas  </t>
  </si>
  <si>
    <t>566.000 personas ocupadas en el año 2014</t>
  </si>
  <si>
    <t>Cauca territorio de emprendimiento empresarial  para el desarrollo regional</t>
  </si>
  <si>
    <t>Generar estrategias para el fortalecimiento e impulso del sector empresarial Caucano</t>
  </si>
  <si>
    <t xml:space="preserve">Implementar 1 centro de estudios económicos y de desarrollo </t>
  </si>
  <si>
    <t>Número de centros de estudios económicos y de desarrollo implementados</t>
  </si>
  <si>
    <t>CONSTRUCCIÓN DE ESTRATÉGIAS PARA EL FORTALECIMIENTO DE LAS CAPACIDADES EN COMPETITIVIDAD  Y  DESARROLLO   ECONÓMICO  DEL DEPARTAMENTO DEL CAUCA</t>
  </si>
  <si>
    <t>0.000</t>
  </si>
  <si>
    <t>Centro, sur, macizo, norte, oriente, pacífico y bota caucana</t>
  </si>
  <si>
    <t>2 proyectos formulados para fomentar la competitividad y el emprendiemiento en el Departamento del Cauca.
Asistencia técnica a una subregión en materia de empresarismo.
Construcción de la estrategia de implementación y gestión de un centro de estudios económicos.</t>
  </si>
  <si>
    <t>Magda Patricia Sotelo Pino. Profesional Universitario grado 03.</t>
  </si>
  <si>
    <t>Población total beneficiada 996.821 (504.875 hombres y 491.946 mujeres).
Población economicamente activa 837.767
Población indígena 248.532
Población negro, mulato o afro 255.839</t>
  </si>
  <si>
    <t>Ejecutar en un 30% el plan  regional de competitividad del Departamento del Cauca, alineado al Sistema Nacional de Competitividad - CTeI</t>
  </si>
  <si>
    <t xml:space="preserve">Porcentaje del plan regional de competitividad del Departamento del Cauca, alineado al Sistema Nacional de Competitividad – CteI ejecutado </t>
  </si>
  <si>
    <t>Plan  Regional de Competitividad  (Con horizonte al 2032)</t>
  </si>
  <si>
    <t>Fortalecimiento institucional de la comisión  departamental de competitividad del Cauca</t>
  </si>
  <si>
    <t>Gestionar los recursos para la implementación de los proyectos consagrados en la agenda integrada de competitividad, ciencia, tecnología e innovación.
Diseñar la hoja de ruta estrategica que dinamicen al Cauca como un departamento competitivio a nivel internacional y nacional a partir de sus potencialidades locales. Validar con los actores claves y necesarios estrategias que dinamicen y fortalezcan las capcaidades de los actores locales.
Desarrollar estrategias de competitividad subregional.</t>
  </si>
  <si>
    <t>Población total a beneficiar: 554.000
Actores e instituciones  a beneficiar: 3.500
Funcionarios alcaldias: 50 funcionarios de entidades territoriales
Población indígena 48.532
Población negro, mulato o afro 35.839</t>
  </si>
  <si>
    <t>Consolidación del Centro de Desarrollo Empresarial norte del Departamento del Cauca</t>
  </si>
  <si>
    <t>Suárez, Buenos Aires, Santander de Quilichao, Caldono, Jambaló, Caloto, Villa Rica, Guachené, Puerto Tejada, Toribio, Corinto, Miranda, Padilla</t>
  </si>
  <si>
    <t>Generación de proyectos para el fomento de las actividades comerciales de la región frente a la demanda generada por las industrias establecidas en el norte del Cauca.
Apoyo a los emprendiemientos empresariales del norte del Cauca.</t>
  </si>
  <si>
    <t>Población total a beneficiar: 575.000
Actores e instituciones  a beneficiar: 1.500
Entidades territoriales: 13 alcaldías municipales.
Población indígena 18.000
Población negro, mulato o afro 25.000</t>
  </si>
  <si>
    <t>Ejecutar 1 plan de acción para el fortalecimiento concertado con la Red Regional de Emprendimiento Departamento</t>
  </si>
  <si>
    <t>Número de planes de acción para el fortalecimiento concertado con la Red Regional de Emprendimiento Departamento ejecutados</t>
  </si>
  <si>
    <t>1 Red Regional de Emprendimiento establecida</t>
  </si>
  <si>
    <t>Fortalecimiento de capacidades empresariales para mujeres emprendedoras en el área textil del municipio de Popayán</t>
  </si>
  <si>
    <t>Subregión Centro</t>
  </si>
  <si>
    <t>Fortalecer las capacidades administrativas, gerenciales y financieras de un grupo de mujeres emprendedoras.</t>
  </si>
  <si>
    <t>El proyecto se encuentra en etapa de articulación para la formulación con los actores que conforman el convenio marco. SENA, Alcaldía de Popayán, DPS, Gobernación del Cauca. 
Desde la Gobernación también apoya la Oficina Asesora de Planeación a la ejecución de este proyecto</t>
  </si>
  <si>
    <t>Consolidar una estrategia para la articulación institucional entorno al emprendimiento, la innovación social y el desarrollo económico del Departamento del Cauca</t>
  </si>
  <si>
    <t>Mejorar las capacidades institucionales de los gestores de emprendimientos en las subregiones del Cauca.
Rescatar la cultura del emprendimiento a través de programas que estimulen procesos de innovación social y económica.
Generar escenarios locales para promocionar y ofertar las iniciativas y emprendimientos locales.</t>
  </si>
  <si>
    <t>Población total a beneficiar: 480.000
Actores e instituciones  a beneficiar: 4.000
Funcionarios alcaldias: 42 funcionarios de entidades territoriales
Población indígena 158.532
Población negro, mulato o afro 55.839</t>
  </si>
  <si>
    <t>Consolidar 15 emprendimientos de impacto en el Departamento</t>
  </si>
  <si>
    <t>Número de emprendimientos de impacto en el Departamento consolidados</t>
  </si>
  <si>
    <t>Generación de condiciones para el fomento y consolidación de emprendimientos en el Departamento del Cauca</t>
  </si>
  <si>
    <t>Capacitaciones en desarrollo empresarial, mercado, entorno, recursos humanos y financieros.
Gestión de recursos nacionales e internacionales.
Participación en ferias y escenarios de promoción.
Promoción y marketing del emprendimiento.</t>
  </si>
  <si>
    <t>Población total a beneficiar: 565.000
Actores e instituciones  a beneficiar: 2.000
Población indígena 258.532
Población negro, mulato o afro 155.840</t>
  </si>
  <si>
    <t>Cauca en alianza por un trabajo incluyente</t>
  </si>
  <si>
    <t>Propiciar condiciones laborales equitativas, sostenibles e inclusivas</t>
  </si>
  <si>
    <t xml:space="preserve">Implementar 1 estrategia de fortalecimiento para 3 centros de empleo en el Cauca, en alianza con el Ministerio de Trabajo </t>
  </si>
  <si>
    <t>Número de estrategia de fortalecimiento para 3 centros de empleo en el Cauca, en alianza con el Ministerio de Trabajo implementadas</t>
  </si>
  <si>
    <t>3 centros de empleo en el Cauca</t>
  </si>
  <si>
    <t>Incrementar</t>
  </si>
  <si>
    <t>Realización de mesas de empleabilidad y ferias de empleo para el fortalecimiento de la política de empleo incluyente en el Departamento del Cauca</t>
  </si>
  <si>
    <t>2 mesas de empleabilidad  en alianza con los Centros de Empleo.
1 feria de empleo en el departamento en alianza con los actores participantes de la política de empleo.</t>
  </si>
  <si>
    <t>Laura Cristina Burbano.
Vacancia definitiva Técnico grado 04</t>
  </si>
  <si>
    <t>Población total a beneficiar: 750.000
Población economicamente activa: 632.000</t>
  </si>
  <si>
    <t xml:space="preserve">Generar 8 publicaciones con información del mercado laboral </t>
  </si>
  <si>
    <t xml:space="preserve">Número de publicaciones con información del mercado laboral generadas </t>
  </si>
  <si>
    <t>Estructurar públicaciones para generar información acerca del empleo en el Cauca</t>
  </si>
  <si>
    <t>3 públicaciones del mercado laboral del Departamento del Cauca</t>
  </si>
  <si>
    <t>Laura Cristina Burbano.
Vacancia definitiva Técnico grado 05</t>
  </si>
  <si>
    <t>Población total a beneficiar: 750.000
Población economicamente activa: 632.001</t>
  </si>
  <si>
    <t xml:space="preserve">Implementar 1 estrategia que impulse el empleo digno e incluyente </t>
  </si>
  <si>
    <t>Número de estrategias que impulsen el empleo digno e incluyente implementadas</t>
  </si>
  <si>
    <t>Promoción de la generación de empleo para la formalización laboral y la protección de los trabajadores de los sectores público y privado</t>
  </si>
  <si>
    <t xml:space="preserve">Fortalecimiento de la política pública de empleo de los gobiernos  y direcciones territoriales </t>
  </si>
  <si>
    <t>Laura Cristina Burbano.
Vacancia definitiva Técnico grado 06</t>
  </si>
  <si>
    <t>Población total a beneficiar: 750.000
Población economicamente activa: 632.002</t>
  </si>
  <si>
    <t>Inversión y competitividad para la Paz</t>
  </si>
  <si>
    <t xml:space="preserve">Promover la inversión para el desarrollo económico del Departamento del Cauca </t>
  </si>
  <si>
    <t>Operativizar la herramienta Invest in Cauca - Cauca para inversionistas</t>
  </si>
  <si>
    <t>Herramienta Invest in Cauca operativizada</t>
  </si>
  <si>
    <t>Generación de estrategias para la promoción de la inversión a través de la  socialización de la oferta de productos y servicios del Departamento del Cauca</t>
  </si>
  <si>
    <t>Generación de procesos para incentivar la inversión en el Cauca.
Participación y construcción de ruedas de negocios a nivel local y regional.
Caracterización del aparato productivo y empresarial de la región.
Diseño de estrategias para promocionar al departamento del Cauca como destino turistico y de inversión.</t>
  </si>
  <si>
    <t>Población total a beneficiar: 356.000
Actores e instituciones  a beneficiar: 1.100
Población indígena 128.532
Población negro, mulato o afro 43.840
Proyecto apunta al cumplimiento de dos metas del programa en el que se enmarca.</t>
  </si>
  <si>
    <t>Implementar 1 plan para promocionar la inversión en el Departamento del Cauca</t>
  </si>
  <si>
    <t>Número de planes para promocionar la inversión en el Departamento del Cauca implementados</t>
  </si>
  <si>
    <t>1 plataforma de promoción a la inversión (Invest in Cauca - Cauca para inversionistas).</t>
  </si>
  <si>
    <t>Implementar 12 escenarios de promoción sectoriales especializados para el Departamento</t>
  </si>
  <si>
    <t xml:space="preserve">Número de escenarios de promoción sectoriales especializados para el Departamento implementados </t>
  </si>
  <si>
    <t>6 escenarios de promoción turística a nivel departamental</t>
  </si>
  <si>
    <t>Fomento de escenarios para el desarrollo y promoción de la inversión, la competitividad y el emprendimiento empresarial en el Cauca</t>
  </si>
  <si>
    <t>Feria empresarial de competitividad, desarrollo económico y paz.
Gira empresarial para el desarrollo de acciones endógenas que proyecte la inversión en el departamento del cauca.
Consolidar una red de actores vinculandolos con los gobiernos locales.
Formación a gestores del ecosistema de Competitividad, ciencia, tecnología e innovación con enfasis en emprendimientos de impacto económico y social.</t>
  </si>
  <si>
    <t>Magda Patricia Sotelo Pino. Profesional Universitario grado 03.
Laura Cristina Burbano.
Vacancia definitiva Técnico grado 06.
Jaime Augusto Burbano Castillo - profesional Universitario.
Victor Manuel Meza. Contratista</t>
  </si>
  <si>
    <t>Población total a beneficiar: 14.600
Actores e instituciones  a beneficiar: 750
Población indígena 8.532
Población negro, mulato o afro 3.840</t>
  </si>
  <si>
    <t>Cambio climático para la competitividad</t>
  </si>
  <si>
    <t>Promover acciones de cooperación entre los diferentes actores para afrontar la problemática del cambio climático y el desarrollo sostenible en el Departamento</t>
  </si>
  <si>
    <t xml:space="preserve">Implementar 1 plan de acción de fortalecimiento de la mesa de cambio climático para el análisis económico </t>
  </si>
  <si>
    <t>Número de planes de acción de fortalecimiento de la mesa de cambio climático para el análisis económico  implementados</t>
  </si>
  <si>
    <t>Impulso al cambio climatico desde la perspectiva económica</t>
  </si>
  <si>
    <t>Los municipios del Cauca excepto Piamonte, Santa Rosa,  San Sebastián, Inzá, Páez, Totoró, Guapi, López de Micay y Timbiquí</t>
  </si>
  <si>
    <t>Centro, Sur, Macizo y Norte</t>
  </si>
  <si>
    <t xml:space="preserve">Fortalecimiento a la estrategia de negocios verdes y fomento al Biocomercio en el marco del cambio climatico.
</t>
  </si>
  <si>
    <t>Población beneficiada: 500.000
Población indígena 118.532
Población negro, mulato o afro 150.234</t>
  </si>
  <si>
    <t xml:space="preserve"> Integración regional para el desarrollo</t>
  </si>
  <si>
    <t>Fortalecer la interconectividad regional, para el desarrollo supraregional del Departamento</t>
  </si>
  <si>
    <t xml:space="preserve">Construir 1 estrategia para  el fortalecimiento de  las alianzas supraregionales </t>
  </si>
  <si>
    <t>Número de estrategias para  el fortalecimiento de las alianzas supraregionales construidas</t>
  </si>
  <si>
    <t>Generación de estrategias subregionales de articulación de la Secretaría de Desarrollo Económico y Competitividad del Cauca</t>
  </si>
  <si>
    <t>Rosas, La Sierra, la Vega, Almaguer,  San sebastián, Patía, Balboa, Argelia, Mercaderes, Florencia Bolívar, Guapí, Timbiquí, Guapi, Inzá, Paéz.</t>
  </si>
  <si>
    <t>Costa pacífica, norte, oriente (tierradentro), Alto patía, Macizo.</t>
  </si>
  <si>
    <t>5 estrategias para la articulación de las subregiones del departamento del Cauca</t>
  </si>
  <si>
    <t>Población beneficiada: 600.000
Población indígena 118.532
Población negro, mulato o afro 150.234</t>
  </si>
  <si>
    <t>Apoyo para la elaboración de documentos base para la estructuración de zonas francas permanentes especiales en el Departamento del Cauca</t>
  </si>
  <si>
    <t>2016-019000-0054</t>
  </si>
  <si>
    <t>Bolívar, Patía, Florencia, Balboa, Argelia, Mercaderes, Sucre</t>
  </si>
  <si>
    <t>Elaboración de documentos técnicos, juridicos y económicos para la concreción de la zona franca en el sur del Cauca</t>
  </si>
  <si>
    <t>Vacancia definitiva Técnico grado 06</t>
  </si>
  <si>
    <t>Los productos finales del proyecto son; documentos técnicos, financieros, económicos, juridicos y de localización para el establecimiento de dos zonas francas permanentes especiales, sur y norte, se ejecutara en las vigencias 2016 y 2017. El valor total del proyecto es 118.200.000 pesos.</t>
  </si>
  <si>
    <t xml:space="preserve">Aumentar el 10% la capacidad hotelera del departamento  </t>
  </si>
  <si>
    <t xml:space="preserve">Porcentaje de la capacidad hotelera del departamento aumentada </t>
  </si>
  <si>
    <t xml:space="preserve">50% de la capacidad hotelera en el departamento </t>
  </si>
  <si>
    <t>Desarrollo turístico para la Paz</t>
  </si>
  <si>
    <t xml:space="preserve">Impulsar procesos de planeación  y potenciar todas las manifestaciones turísticas que existan, entre ellas eco-turismo para promover nuevos destinos  turísticos en el departamento. </t>
  </si>
  <si>
    <t>Asistir técnicamente a 2 subregiones en procesos de planificación turística</t>
  </si>
  <si>
    <t xml:space="preserve">Número de subregiones en procesos de planificación turística asistidas técnicamente </t>
  </si>
  <si>
    <t>Desarrollo Turístico posible y Deseable de la región norte del Cauca</t>
  </si>
  <si>
    <t>BPIN: 2013000030070</t>
  </si>
  <si>
    <t>Buenos Aires, Caldono, Caloto, Guachene, Jambalo, Padilla, Puerto Tejada, Santander de Quilichao, Miranda, Suarez, Toribio, Corinto y Villa Rica.</t>
  </si>
  <si>
    <t>2.470 personas</t>
  </si>
  <si>
    <t>1 Programa de fortalecimiento empresarial, 13 Comunidades (1 x municipio)  fortalecidas en las temáticas de la actividad, 1170 personas capacitadas, 1 inventario turístico, 1 plan de desarrollo turístico regional, 1 ente jurídico constituido.</t>
  </si>
  <si>
    <t>Jaime Augusto Burbano Castillo - profesional Universitario</t>
  </si>
  <si>
    <t>Los $ 400 millones de pesos corresponden a: contrapartida de la Corporación Mixta de Turismo del Cauca por valor de $ 288  millones y 120 millones de Interventoría.</t>
  </si>
  <si>
    <t>Estructurar 10 nuevas políticas públicas turísticas en alianza con las administraciones municipales</t>
  </si>
  <si>
    <t>Número de nuevas políticas públicas turísticas en alianza con las administraciones municipales estructuradas</t>
  </si>
  <si>
    <t>Fortalecimiento de las condiciones de competitividad turística en los Municipios de: Sotará, Silvia, Cajibío y Puracé, mediante el levantamiento de inventarios turísticos y la formulación de políticas públicas.</t>
  </si>
  <si>
    <t>Resgistro:
17-16-1544 (13 Sept. 2016)</t>
  </si>
  <si>
    <t>Sotará, Silvia, Cajibío y Puracé.</t>
  </si>
  <si>
    <t>102.556
personas</t>
  </si>
  <si>
    <t>30 talleres de capacitación y formación turística.
4 diseños de anteporoyectos de políticas públicas y 4 inventarios turísticos.</t>
  </si>
  <si>
    <t>El presente proyecto comienza su ejecución en la vigencia 2016 (50%) y termina en el año 2017 (50%). El total de los recursos provienen de las siguientes fuentes: Departamento ($115,462,800), Municipios ($ 20,000,000).  Para un Total: $ 135,462,800.</t>
  </si>
  <si>
    <t xml:space="preserve">Estructurar 10 nuevos inventarios turísticos en alianza con las administraciones municipales </t>
  </si>
  <si>
    <t>Número de nuevos inventarios turísticos en alianza con las administraciones municipales estructurados</t>
  </si>
  <si>
    <t>Infraestructura turística</t>
  </si>
  <si>
    <t>Adelantar gestiones políticas, administrativas y financieras que promuevan nueva infraestructura turística, o mejore la existente.</t>
  </si>
  <si>
    <t xml:space="preserve">Intervenir 3 atractivos turísticos en infraestructura </t>
  </si>
  <si>
    <t>Número de atractivos turísticos en infraestructura intervenidos</t>
  </si>
  <si>
    <t>Incremento de la competitividad del sector turístuco mediante la inicitaiva OVOP, en Tierradentro Cauca.</t>
  </si>
  <si>
    <t>BPIN 2014003190002</t>
  </si>
  <si>
    <t xml:space="preserve">Construcción de tres piscinas termales en Toez
</t>
  </si>
  <si>
    <t>Se trata del mismo proyecto de la Zona Oriente - OVOP, pero enfocado solamente en la actividad de infraestructura de construcción de 3 piscinas.</t>
  </si>
  <si>
    <t>Asistir técnicamente a 8 municipios en la identificación y estructuración de proyectos de infraestructura turística</t>
  </si>
  <si>
    <t xml:space="preserve">Número de municipios con identificación y estructuración de proyectos de infraestructura turística asistidos técnicamente </t>
  </si>
  <si>
    <t>Se trata del mismo proyecto de la Zona Oriente - OVOP, asistiendo al Municipio de Páez en l a construcción de 3 piscinas.</t>
  </si>
  <si>
    <t>Asistencia técnica y seguridad turística.</t>
  </si>
  <si>
    <t>Brindar asesoría, asistencia técnica y cofinanciación a los municipios y la comunidad turística en general en temas relacionados con el sector</t>
  </si>
  <si>
    <t>Implementar 4 estrategias de seguridad turística</t>
  </si>
  <si>
    <t>Número de estrategias  de seguridad turística implementadas</t>
  </si>
  <si>
    <t>2470 personas</t>
  </si>
  <si>
    <t>Cuatro comités de seguridad turística</t>
  </si>
  <si>
    <t>Se trata del mismo proyecfto de regalías para la Zona Norte del cauca, pero enfocadao solamente en la actividad de creación de comités de seguridad turística.</t>
  </si>
  <si>
    <t>Cofinanciar 7 proyectos que promuevan el desarrollo turístico en los municipios con vocación turística</t>
  </si>
  <si>
    <t xml:space="preserve">Número de proyectos que promuevan el desarrollo turístico en los municipios con vocación turística cofinanciados </t>
  </si>
  <si>
    <t>Termacolores</t>
  </si>
  <si>
    <t>BPIN: 2014000100061</t>
  </si>
  <si>
    <t>Puracé - Coconuco</t>
  </si>
  <si>
    <t>15269
personas</t>
  </si>
  <si>
    <t>Análisis geoquímico de los estados de equilibrio -desequilibrio en las treinta y seis (36) fuentes termales y de aguas mineralizadas identificadas en el Resguardo Indígena de Puracé.
Desarrollos en investigación y servicios a favor de las empresas del termalismo, la hidrología, turismo de bienestar, salud, ecoturismo y aventura.
Estrategia de fortalecimiento organizacional a los actores del termalismo y turismo de bienestar en la región.
Restauración de la infraestructura tradicional termalísticay de animación existente en el resguardo indígena de Puracé</t>
  </si>
  <si>
    <t>Promoción turística</t>
  </si>
  <si>
    <t>Fortalecer la oferta cultural y natural de todas las manifestaciones turísticas que existan, entre ellas eco-turismo que promueve el Departamento del Cauca en el marco de los reconocimientos Unesco.</t>
  </si>
  <si>
    <t>Promocionar en 4 eventos de talla internacional al Cauca como destino turístico</t>
  </si>
  <si>
    <t xml:space="preserve">Número de eventos de talla internacional que promocionan al Cauca como destino turístico </t>
  </si>
  <si>
    <t>Promoción del potencial turístico del Departamento del cauca, mediante la participación en la vitrina turística anato 2017 - versión 36.</t>
  </si>
  <si>
    <t>Resgistro:
17-16-1540 (05 Sept. 2016)</t>
  </si>
  <si>
    <t>Popayán, Guapi, Balboa, Patía, San Sebastián, Sotará, Timbío, Cajibío, Piendamó, Morales, Suárez, Santander de Quilichao, Caloto, Silvia, Inzá y Puracé.</t>
  </si>
  <si>
    <t>Norte, Oriente, Centro, Sur y Costa pacífica.</t>
  </si>
  <si>
    <t>741703
personas.</t>
  </si>
  <si>
    <t>46 actores del sector turístico participando en la feria de la Vitrina Turística.
Diseño, montaje y desmontaje del stand para 54m2.
Dos reuniones de planificación  con la Mesa Departamental de Turismo.</t>
  </si>
  <si>
    <t>La cofinanciación del presente proyecto viene de las siguientes fuentes: Departamento del Cauca ($ 74,175,000) y Fontur ($ 32,000,000).</t>
  </si>
  <si>
    <t>Formalización del 10% de las Unidades productivas mineras informales existentes</t>
  </si>
  <si>
    <t>Porcentaje de Unidades productivas mineras informales existentes formalizadas</t>
  </si>
  <si>
    <t>980 Unidades Productivas mineras</t>
  </si>
  <si>
    <t>Fomento para la Formalización de la minería
artesanal y de pequeña escala.</t>
  </si>
  <si>
    <t xml:space="preserve">Promover y apoyar técnica, jurídica, ambiental y empresarialmente la formalización de la minería artesanal y de pequeña escala incluyendo grupos étnicos en sus procesos de declaración de áreas de reservas especial minera </t>
  </si>
  <si>
    <t>Asistir técnicamente a 100 nuevas unidades de producción minera (UPM)  en su proceso de formalización teniendo en cuenta las áreas de reserva especial.</t>
  </si>
  <si>
    <t xml:space="preserve">Número de nuevas unidades de producción minera (UPM)  en su proceso de formalización asistidas técnicamente </t>
  </si>
  <si>
    <t xml:space="preserve">Fortalecimiento a la Secretaría de Desarrollo Económico y Competitividad para pequeña minería y minería artesanal </t>
  </si>
  <si>
    <t>7 subregiones del departamento</t>
  </si>
  <si>
    <t>15 unidades de producción minera asistidas en formalización minera.
Asistencia técnica en las siete subregiones del departamento del cauca.
Asistencia técnica a las siete subregiones del departamento del cauca en actualización de la normatividad minera vigente</t>
  </si>
  <si>
    <t>Juan Carlos Maya Feijóo.
Secretario de Desarrollo Económico y Competitividad.
Victor Manuel Meza - Contratista</t>
  </si>
  <si>
    <t xml:space="preserve">la poblacion no se tiene estimada ya que no se a dterminado municipios beneficiados   </t>
  </si>
  <si>
    <t xml:space="preserve">Asistir 100 nuevas unidades de producción minera (UPM)  en la actualización de la normatividad minera </t>
  </si>
  <si>
    <t>Número de nuevas unidades de producción minera (UPM)  en la actualización de la normatividad minera asistidas</t>
  </si>
  <si>
    <t>Elaboracion de Plan de Trabajos y Obras (PTO) y Plan de Manejo Ambiental (PMA)</t>
  </si>
  <si>
    <t xml:space="preserve">42 Municipios </t>
  </si>
  <si>
    <t>Centro- oriente</t>
  </si>
  <si>
    <t>Documento del  Plan de Trabajos y Obras (PTO) y Plan de Manejo Ambiental (PMA)</t>
  </si>
  <si>
    <t>Desarrollo productivo y sustentable de la minería  artesanal y de pequeña escala.</t>
  </si>
  <si>
    <t>Promover el desarrollo productivo y sustentable de la minería artesanal y de pequeña escala (tanto en minería metálica y la no metálica como el caso de Popayán en el cual se desarrolla explotaciones de arcilla para elaboración de ladrillo y canteras para afirmado  )</t>
  </si>
  <si>
    <t>Implementar 1 estrategia que permita fortalecer 4 distritos mineros en desarrollo productivo y sostenible</t>
  </si>
  <si>
    <t>Número de estrategias que permita fortalecer 4 distritos mineros en desarrollo productivo y sostenible implementadas</t>
  </si>
  <si>
    <t>2 distritos mineros fortalecidos</t>
  </si>
  <si>
    <t xml:space="preserve">Diseño, construcción  y desarrollo de una planta prototipo a nivel agricola, con la aplicación de tecnologías apropiadas para la producción de cal agricola, cal viva y cal apagada en el Municipio de Silvia, Departamento del Cauca  </t>
  </si>
  <si>
    <t>Miranda, Caldono, Jambaló, Silvia, Totoró, Morales, Inza, Paez, Toribío</t>
  </si>
  <si>
    <t>Norte, Oriente</t>
  </si>
  <si>
    <t xml:space="preserve">Diseño y construcción de la planta , Dotacion de equipos, incremento nivel organizativo-empresarial, asistencia tecnica, diferentes estudios de financiacion, rentabilidad, impacto ambiental, sostenibilidad, etc..  </t>
  </si>
  <si>
    <t>Apropiación de tecnologías limpias y rentables para las comunidades vulnerables alfareras y raizales, las cuales consoliden la minería no metálica en el norte del Departamento del cauca</t>
  </si>
  <si>
    <t>Pueto Tejada, Villa Rica, Guachene</t>
  </si>
  <si>
    <t>Actualizacion tecnologica de la microempresa del norte del cauca, Programa de formalizacion a la microemprsa alfarera del norte del cauca</t>
  </si>
  <si>
    <t>Actualizar el Sistema de información Geográfico en el módulo minero</t>
  </si>
  <si>
    <t>Sistema de información Geográfico en el módulo minero actualizado</t>
  </si>
  <si>
    <t>Sistema de información Geográfico implementado.</t>
  </si>
  <si>
    <t xml:space="preserve">Elaborar 1 inventario minero en articulación con entidades oficiales con los 42 municipios del departamento incluyendo las áreas de reserva especial minera, si existen </t>
  </si>
  <si>
    <t>Número de inventarios mineros en articulación con entidades oficiales elaborados</t>
  </si>
  <si>
    <t>1 caracterización minera (39 municipios).</t>
  </si>
  <si>
    <t>Seguridad minera en el Departamento del Cauca para la minería  artesanal y de pequeña escala.</t>
  </si>
  <si>
    <t>Disminuir la accidentalidad minera desde la parte técnica y operativa en las explotaciones mineras</t>
  </si>
  <si>
    <t>Asistir técnicamente a 100 unidades de producción minera (UPM)  sobre seguridad minera</t>
  </si>
  <si>
    <t xml:space="preserve">Número de unidades de producción minera (UPM) asistidas técnicamente en seguridad minera </t>
  </si>
  <si>
    <t>Mejoramiento de la prevención y atención de emergencias en las labores mineras subterraneas en el sur del Departamento del cauca</t>
  </si>
  <si>
    <t>Patia, mercaderes, florencia, Almaguer, Sucre, Balvoa, Bolivar, La Vega, La Sierra y Rosas</t>
  </si>
  <si>
    <t>La población a beneficiar está conformada por diferentes comunidades ancestrales campesinas y afro descendientes además de población desplazada. N. de beneficiados 47. 391</t>
  </si>
  <si>
    <t>Actualizacion de la normativa vigente y dotacion de elementos tecnológicos basicos para la prevencion y atencion inicial de emergencias mineras</t>
  </si>
  <si>
    <t xml:space="preserve">Capacitar y dotar a 10  Unidades de Producción Minera -(UPM )en salvamento minero </t>
  </si>
  <si>
    <t xml:space="preserve">Número de Unidades de Producción Minera -upm capacitadas y dotadas en salvamento minero </t>
  </si>
  <si>
    <t xml:space="preserve">Gestión ambiental en la explotación minera y comercial de productos mineros y sus derivados. </t>
  </si>
  <si>
    <t xml:space="preserve">Promover la organización y capacitación de mineros para generar un cambio de actitud sobre sus obligaciones de protección ambiental y el mejoramiento de su capacidad productiva </t>
  </si>
  <si>
    <t>Asistir técnicamente 100 unidades de producción minera en procesos de protección ambiental</t>
  </si>
  <si>
    <t>Número de unidades de producción minera en procesos de protección ambiental asistidas técnicamente</t>
  </si>
  <si>
    <t>Centro de investigacion e innovación  tecnológica sustentable para el mejoramiento de los procesos de beneficio de minerales auríferos, considerando los enfoques productivo, ambiental y ocupacional en el Departamento del Cauca (CETECMIN- CAUCA)</t>
  </si>
  <si>
    <t>Suarez, Buenos Aires, Santander de quilichao, morales, cajibio, y demas Municipios involucrados en la pequeña minería</t>
  </si>
  <si>
    <t xml:space="preserve">La población a beneficiar está conformada por diferentes comunidades ancestrales campesinas y afros </t>
  </si>
  <si>
    <t>Diagnosticar la poblacion involucrada en la minería artesanal, fortalecer la formacion académica, impementar laboratorio de analisis para medicion de parámetros que permitan un fortlecimiento de servicios tecnológico, evaluación y control de parámetros ambientales, desarrollo de tecnologías y metodologías limpias  para erradicar uso de cianuro y mercurio, optimizar el proceso de beneficio de minerales auríferos.</t>
  </si>
  <si>
    <t xml:space="preserve">La poblacion beneficiada seran todos aquellos municipios que practiquen la pequeña mineria y que lleguen a hacer parate del proyecto. </t>
  </si>
  <si>
    <t xml:space="preserve">Implementar una estrategia de orientación tecnológica y ambiental </t>
  </si>
  <si>
    <t xml:space="preserve">Número de estrategia de orientación tecnológica y ambiental implementadas </t>
  </si>
  <si>
    <t>Aumentar el 0.5% de la participación de la inversión nacional en actividades Ctel (Nota: La meta tomara como línea de base los resultados del año 2015 una vez se actualice y se publique por el Observatorio Colombiano de Ciencia y Tecnología)</t>
  </si>
  <si>
    <t xml:space="preserve">Porcentaje de la participación de la inversión nacional en actividades CTel aumentado </t>
  </si>
  <si>
    <t xml:space="preserve">1.044% año 2014 </t>
  </si>
  <si>
    <t>Implementación y Ejecución del Plan y Acuerdo Estratégico en CTeI (PAED)</t>
  </si>
  <si>
    <t xml:space="preserve">Consolidar al Departamento del Cauca como una región de conocimientos, pluriétnica y multicultural, donde el desarrollo de las actividades de ciencia, tecnología e innovación CteI </t>
  </si>
  <si>
    <r>
      <t xml:space="preserve">Realizar 2 sesiones participativas con actores del </t>
    </r>
    <r>
      <rPr>
        <sz val="11"/>
        <color rgb="FF000000"/>
        <rFont val="Calibri"/>
        <family val="2"/>
      </rPr>
      <t>SRCTeI</t>
    </r>
    <r>
      <rPr>
        <sz val="11"/>
        <rFont val="Calibri"/>
        <family val="2"/>
        <scheme val="minor"/>
      </rPr>
      <t xml:space="preserve"> para validar y adoptar el PAED </t>
    </r>
  </si>
  <si>
    <t xml:space="preserve">Número de sesiones participativas con actores del SRCT  para validar y adoptar el PAED realizadas </t>
  </si>
  <si>
    <t>Validación e implementación del plan y acuerdo estrategico del departamento del Cauca</t>
  </si>
  <si>
    <t>Terminos de referencia - versión consulta, descripción de ejes y lineas temáticas.
Determinar cuales son los proyectos rectores en la formulación de proyectos suceptibles de ser financiados con el fondo de CTeI de la Gobernación del Cauca.
Fortalecer las capacidades de los gestores de CTeI de las subregiones a través de talleres y capacitaciones.</t>
  </si>
  <si>
    <t>Población total beneficiada: 4.500
Actores y gestores de CTeI: 90
Grupos académicos e Investigadores:  160
Población indígena: 2.000
Población afro: 1.200</t>
  </si>
  <si>
    <t xml:space="preserve">Realizar 4 convocatorias para gestionar los proyectos priorizados en las apuestas y líneas consignadas en el PAED Cauca </t>
  </si>
  <si>
    <t>Número de convocatorias para gestionar los proyectos priorizados en las apuestas y líneas consignadas en el PAED Cauca realizadas</t>
  </si>
  <si>
    <t>Consolidación del ecosistema regional de Ciencia, Tecnología e Innovación.</t>
  </si>
  <si>
    <t>Desarrollar de acciones endógenas que consoliden la red de actores del sistema de ciencia, tecnología e innovación CTeI</t>
  </si>
  <si>
    <t>Estructurar 1 Plan operativo del CODECTI Cauca para la implementación del PAED</t>
  </si>
  <si>
    <t>Número de Planes operativos del CODECTI Cauca para la implementación del PAED estructurados</t>
  </si>
  <si>
    <t>Construcción de una estrategia para el diseño de centros de desarrollo tecnológico en el Departamento del Cauca</t>
  </si>
  <si>
    <t>Lineamientos y procedimientos para el diseño de centros de desarrollo tecnológico en el Cauca.
Caracterización de las principales actividades económicas agroindustriales y generadoras de valor agregado (económico y social).
Acciones para la consolidación del sistema regional de CTeI del Cauca.</t>
  </si>
  <si>
    <t>Población total beneficiada: 3.800
Actores y gestores de CTeI: 80
Empresas y organizaciones sociales: 350</t>
  </si>
  <si>
    <t xml:space="preserve">Realizar 7 sesiones del CODECTI Cauca para el acompañamiento en la implementación del PAED y la articulación de la red del SRCTeI </t>
  </si>
  <si>
    <t>Número de sesiones del CODECTI Cauca para el acompañamiento en la implementación del PAED y la articulación de la red del SRCTeI realizadas</t>
  </si>
  <si>
    <t>DEPENDENCIA RESPONSABLE: __SECRETARIA DE DESARROLLO ECONÓMICO_________________________________________</t>
  </si>
  <si>
    <t>DEPENDENCIA RESPONSABLE:    INDEPORTES CAUCA</t>
  </si>
  <si>
    <t>META DE PRODUCTO VIGENCIA 2016</t>
  </si>
  <si>
    <t>RECURSOS POR PROYECTO PROGRAMADOS VIGENCIA 2016 (MILES DE PESOS)</t>
  </si>
  <si>
    <t xml:space="preserve">Mejorar en 22 municipios la capacidad de ejecución de recursos de transferencia y empoderamiento en el sector deporte   </t>
  </si>
  <si>
    <t>Municipios con la capacidad de ejecución de recursos de transferencia y empoderamiento en el sector deporte mejorados</t>
  </si>
  <si>
    <t>Organización y Fortalecimiento del Sector Deporte</t>
  </si>
  <si>
    <t>Mejorar la capacidad  de gestión y ejecución en los recursos de transferencia de iva y tabaco y empoderamiento del sector deporte</t>
  </si>
  <si>
    <t>Brindar asistencia técnica a 42 municipios  para mejorar  la capacidad de gestión y ejecución  de recursos de transferencia.</t>
  </si>
  <si>
    <t>Número de municipios con asistencia técnica  para mejorar e la capacidad de gestión y ejecución  de recursos de transferencia brindada</t>
  </si>
  <si>
    <t xml:space="preserve">22 municipios </t>
  </si>
  <si>
    <t>incremento</t>
  </si>
  <si>
    <t>Asistencia y desarrollo organizacional al sector deportivo en el Departamento del Cauca</t>
  </si>
  <si>
    <t>Popayán, almaguer, Argelia, Balboa, Bolivar, Buenos Aires, Caldono, Caloto,Corinto, Florencia, Guachene,  La Sierra, La vega,  Miranda, Morales, Padilla, Patía, Piamonte, Puerto Tejada,  San sebastián, Santa Rosa, Santander de Quilichao, Silvia, Suarez,  Timbio, Timbiquí, Villa Rica, Tambo, Mercaderes, Toribio, Totoró, López de Micay.</t>
  </si>
  <si>
    <t>todas</t>
  </si>
  <si>
    <t>32 municipios con recursos iva y telefonia gestionados</t>
  </si>
  <si>
    <t>Milena Cabezas - Gerente</t>
  </si>
  <si>
    <t xml:space="preserve">se tomo la poblacion beneficiada proporcional al numero de municipios. </t>
  </si>
  <si>
    <t xml:space="preserve">Brindar asistencia técnica a 42 municipios para el empoderamiento de las políticas públicas del deporte </t>
  </si>
  <si>
    <t xml:space="preserve">Número de municipios con asistencia técnica para el empoderamiento de las políticas públicas del deporte brindada </t>
  </si>
  <si>
    <t>mantenimiento</t>
  </si>
  <si>
    <t>Todos</t>
  </si>
  <si>
    <t>42 municipios con asesoría y acompañamiento técnico en gestión deportiva</t>
  </si>
  <si>
    <t xml:space="preserve">Beneficiar a 33.125 nuevas personas  (niños, niñas, infantes, adolescentes, jóvenes, adultos, adultos mayores)  con actividades de formación integral,  convivencia y paz. </t>
  </si>
  <si>
    <t xml:space="preserve">Nuevas personas  (niños, niñas, infantes, adolescentes, jóvenes, adultos, adultos mayores)  con actividades de formación integral,  convivencia y paz beneficiados </t>
  </si>
  <si>
    <t>414.074 personas participantes</t>
  </si>
  <si>
    <t>Cauca Territorio de Convivencia y Paz</t>
  </si>
  <si>
    <t>Contribuir al proceso de formación integral y convivencia de los niños, niñas, infantes, adolescentes, jóvenes, adultos, adultos mayores  a través de la práctica deportiva, recreativa y actividad física con un enfoque  social y participativo  en organizaciones sociales, institucionales, comunitarias y con enfoque diferencial que permita crear espacios de convivencia y paz</t>
  </si>
  <si>
    <t>Beneficiar a 1.587  nuevos niños, niñas, infantes, adolescentes y jóvenes  con el  programas de formación integral, de paz y convivencia.</t>
  </si>
  <si>
    <t xml:space="preserve">Número de nuevos niños, niñas, infantes, adolescentes y jóvenes  con el  programas de formación integral, de paz y convivencia beneficiados </t>
  </si>
  <si>
    <t>19,835 niños y niñas atendidos</t>
  </si>
  <si>
    <t>Recreación y actividad física para la convivencia y paz en el Departamento del Cauca</t>
  </si>
  <si>
    <t>Piendamó, Popayán, Puerto Tejada, Mercaderes, Patía,  Villa rica, Silvia y Timbio</t>
  </si>
  <si>
    <t>norte,  centro, sur y oriente.</t>
  </si>
  <si>
    <t>Un Festival recreativo dia de los niños,  un Campamento Departamental y una participación  Nacional, grupos con implementos deportivos, actividades recreativas de forma regular</t>
  </si>
  <si>
    <t>Se financia con recursos de la Gobernación y de Coldeportes</t>
  </si>
  <si>
    <t>Beneficiar a 25.596 nuevos participantes con programas de hábitos y estilos de vida saludable.</t>
  </si>
  <si>
    <t>Número de nuevos participantes con programas de hábitos y estilos de vida saludable Beneficiados</t>
  </si>
  <si>
    <t>319,947 participantes</t>
  </si>
  <si>
    <t>Popayán, Puerto Tejada,  Timbio, Florencia, Santander de Quilichao,  Padilla, Tambo, Villa Rica, Silvia, Bolivar, Caloto, Corinto, San Sebastian, Almaguer, Miranda, Guachené, Rosas,  Patía, Caldono</t>
  </si>
  <si>
    <t>centro, sur, norte, oriente, macizo.</t>
  </si>
  <si>
    <t>Una Caminata 5 K por la salud,  Un evento del día mundial de la actividad física, grupos regulares con actividad física regular, Instituciones con asesoría física regular</t>
  </si>
  <si>
    <t>Beneficiar a 976 nuevos adultos mayores  con programas de  integración social.</t>
  </si>
  <si>
    <t>Número de nuevos adultos mayores  con programas de  integración social beneficiados</t>
  </si>
  <si>
    <t xml:space="preserve">12,200 adultos participantes </t>
  </si>
  <si>
    <t>Popayán, Santander, Mercaderes, Totoró, Villa Rica, Silvia y Timbio y Puerto Tejada</t>
  </si>
  <si>
    <t>centro, sur, norte</t>
  </si>
  <si>
    <t xml:space="preserve">Un encuentro Departamental de persona mayor y una participación encuentro nacional persona mayor, grupos con implementos lúdicos, Asesoría grupos regulares de recreación  </t>
  </si>
  <si>
    <t>Beneficiar a 3.608 nuevos  participantes en  eventos deportivos y recreativos.</t>
  </si>
  <si>
    <t>Número de nuevos  participantes en  eventos deportivos y recreativo beneficiados</t>
  </si>
  <si>
    <t>45,100 personas participantes</t>
  </si>
  <si>
    <t>los 42 municipios del departamento</t>
  </si>
  <si>
    <t>10 eventos deportivos realizados, eventos deportivos del departamento apoyados</t>
  </si>
  <si>
    <t>Beneficiar a 1.216 nuevas personas de comunidades étnicas con programas de deporte recreación y actividad física (afros, indígenas, room)</t>
  </si>
  <si>
    <t>Número de nuevas personas de comunidades étnicas con programas de deporte recreación y actividad física (afros, indígenas, room) beneficiados</t>
  </si>
  <si>
    <t xml:space="preserve">15.208 personas de las comunidades étnicas beneficiadas </t>
  </si>
  <si>
    <t>Puerto Tejada,  Padilla, Corinto, Caloto, Santander de Quilichao, Buenos Aires, Toribio, Guachené, Guapi, Lopez y Popayán.</t>
  </si>
  <si>
    <t>norte, costa pacífica y centro</t>
  </si>
  <si>
    <t xml:space="preserve"> personas indígenas  con grupos asesorados y apoyados y  personas capacitadas en temas deportivos</t>
  </si>
  <si>
    <t>se espera cumplir el incremento con juegos indígenas y juegos del litoral pacífico a realizar en el año 2018 y 2019</t>
  </si>
  <si>
    <t>Beneficiar a 72 nuevas personas de comunidades Campesinas,  comunales, institucionales y organizaciones con enfoque diferencial con programas de deporte recreación y actividad física.</t>
  </si>
  <si>
    <t>Número de nuevas personas de comunidades Campesinas,  comunales, institucionales y organizaciones con enfoque diferencial con programas de deporte recreación y actividad física beneficiados</t>
  </si>
  <si>
    <t>900 personas de comunidades campesinas, comunales, institucionales y organizaciones con enfoque diferencial beneficiadas</t>
  </si>
  <si>
    <t>Popayán, Puerto Tejada, Guachené, Caloto, Timbiquí, Guapi</t>
  </si>
  <si>
    <t>centro, norte, costa pacífica</t>
  </si>
  <si>
    <t xml:space="preserve"> personas campesinas  con grupos asesorados y apoyados y personas capacitadas en temas deportivos</t>
  </si>
  <si>
    <t>Se espera cumplir el incremento con juegos comunales a realizarse en el año 2018. se financia con recursos de la Gobernación y Coldeportes</t>
  </si>
  <si>
    <t xml:space="preserve">Beneficiar a 70 nuevas personas de capacidades diversas con programas de deporte recreación y actividad física </t>
  </si>
  <si>
    <t>Número de nuevas personas de capacidades diversas con programas de deporte recreación y actividad física beneficiados</t>
  </si>
  <si>
    <t>884 personas con capacidades diversas beneficiadas</t>
  </si>
  <si>
    <t>centro</t>
  </si>
  <si>
    <t>Un festival de la discapacidad, grupos regulares de discapacidad con asesoría técnica</t>
  </si>
  <si>
    <t xml:space="preserve">Beneficiar a 5.185 nuevos deportistas con formación, iniciación, preparación y participación en competencias regionales,  nacionales e internacionales </t>
  </si>
  <si>
    <t xml:space="preserve">Nuevos deportistas con formación, iniciación, preparación y participación en competencias regionales,  nacionales e internacionales beneficiados </t>
  </si>
  <si>
    <t>Cauca Territorio de Campeones</t>
  </si>
  <si>
    <t>Fortalecer el trabajo  en el deporte formativo en las instituciones educativas y el deporte competitivo con las ligas de deporte   convencional y  adaptado, mediante el acompañamiento técnico y  financiero que permita seguir avanzando en el desarrollo y posición del Deporte en el ámbito nacional e internacional.</t>
  </si>
  <si>
    <t xml:space="preserve">Beneficiar a 400 nuevos deportistas con preparación y participación en competencias nacionales e internacionales </t>
  </si>
  <si>
    <t>Número de nuevos deportistas con preparación y participación en competencias nacionales e internacionales beneficiados</t>
  </si>
  <si>
    <t>3600 deportistas convencionales beneficiados</t>
  </si>
  <si>
    <t>Formación de Campeones constructores de paz en el Departamento del Cauca</t>
  </si>
  <si>
    <t>popayán, Timbio, Piendamó, Santander, Puerto Tejada, Guachené, Miranda, Patía</t>
  </si>
  <si>
    <t>deportistas afiliados a Ligas deportivas convencionales  apoyados</t>
  </si>
  <si>
    <t xml:space="preserve">Beneficiar a 100 nuevos deportistas con capacidades diversas, en la preparación y participación en competencias nacionales e internacionales </t>
  </si>
  <si>
    <t xml:space="preserve">Número de nuevos deportistas con capacidades diversas, en la preparación y participación en competencias nacionales e internacionales beneficiados </t>
  </si>
  <si>
    <t>500 deportistas con capacidades diversas beneficiados</t>
  </si>
  <si>
    <t>popayán</t>
  </si>
  <si>
    <t>deportistas afiliados a Ligas deportivas de deporte adaptado  apoyados</t>
  </si>
  <si>
    <t xml:space="preserve">Implementar 1 estrategia para articular el sector deporte con entidades del sector privado, sector académico y organismos del sector público </t>
  </si>
  <si>
    <t>Número de estrategia para articular el sector deporte con entidades del sector privado, sector académico y organismos del sector público implementadas</t>
  </si>
  <si>
    <t>Una alianza estratégica con el sector académico y sector privado</t>
  </si>
  <si>
    <t xml:space="preserve">Beneficiar a 1.000  nuevos adolescentes y jóvenes en procesos de formación e iniciación con el programa fórmate </t>
  </si>
  <si>
    <t>Número de nuevos adolescentes y jóvenes en procesos de formación e iniciación con el programa fórmate beneficiados</t>
  </si>
  <si>
    <t>9.000 jóvenes y adolescentes beneficiados</t>
  </si>
  <si>
    <t xml:space="preserve"> Municipios del Departamento con Programas deportivos y recreativos</t>
  </si>
  <si>
    <t>Corresponde a recursos de iva a telefonia movil. Con recursos de regalías se ha proyectado realizarlo en los años 2017 y 2018. Se financia con recursos de la Gobernación, regalias e iva a la telefoía movil.</t>
  </si>
  <si>
    <t>Beneficiar a 4.185 nuevos  participantes con los programas de deporte estudiantil</t>
  </si>
  <si>
    <t>Número de nuevos  participantes con los programas de deporte estudiantil beneficiados</t>
  </si>
  <si>
    <t>83.700 jóvenes beneficiados</t>
  </si>
  <si>
    <t xml:space="preserve">Escuelas públicas y privadas con procesos deportivos </t>
  </si>
  <si>
    <t>Se financia con recursos de la Gobernación y de tabaco</t>
  </si>
  <si>
    <t>DEPENDENCIA RESPONSABLE: OFICINA ASESORA DE GESTION DEL RIESGO DE DESASTRES - OAGRD</t>
  </si>
  <si>
    <t xml:space="preserve">DEPENDENCIAS DE APOYO: Oficina Asesora de Gestión del Riesgo de Desastres - OAGRD.                                                        </t>
  </si>
  <si>
    <t>Cauca, cuidador de agua</t>
  </si>
  <si>
    <t>Gestión del riesgo</t>
  </si>
  <si>
    <t>Incrementar en el 131% la Inversión promedio per cápita Departamental para la prevención de desastres</t>
  </si>
  <si>
    <t xml:space="preserve">Porcentaje de la inversión promedio per cápita Departamental para la prevención de desastres incrementada </t>
  </si>
  <si>
    <t xml:space="preserve">724   (998.000/1379169 -Inversión sectorial reportada/ Población total del Dpto.) </t>
  </si>
  <si>
    <t>Conocimiento del riesgo</t>
  </si>
  <si>
    <t>Conocer el riesgo (Identificar, analizar, monitorear y comunicar el riesgo)</t>
  </si>
  <si>
    <t>Ajustar el Plan Departamental de Gestión del Riesgo  acorde a la ley 1523/2012 y al Plan Nacional de gestión del riesgo</t>
  </si>
  <si>
    <t>Número de Planes Departamentales de Gestión del Riesgo de Desastres ajustados</t>
  </si>
  <si>
    <t xml:space="preserve">1 Plan Departamental de Gestión del Riesgo formulado </t>
  </si>
  <si>
    <t>0.39,5</t>
  </si>
  <si>
    <t>0.1</t>
  </si>
  <si>
    <t>Formulación e Implementación del proceso de Conocimiento del Riesgo en el Departamento del Cauca.</t>
  </si>
  <si>
    <t>Población en condición de amaneza y vulnerabilidad por fenómenos de origen natural.</t>
  </si>
  <si>
    <t>Luis Gabriel Chica Bolaños,  Lider de la Oficina Asesora de Gestion del Reisgo de Desastres. De libre nombramiento</t>
  </si>
  <si>
    <t>Elaborar 1 Estrategia departamental  de Respuesta a Emergencias EDRE</t>
  </si>
  <si>
    <t xml:space="preserve"> Número de estrategias departamental de Respuesta a Emergencias EDRE elaborada</t>
  </si>
  <si>
    <t>0.33</t>
  </si>
  <si>
    <t>Primer documento de EMRE Departamental</t>
  </si>
  <si>
    <t>Luis Gabriel Chica Bolaños,Lider de la Oficina Asesora de Gestion del Reisgo de Desastres. De libre nombramiento</t>
  </si>
  <si>
    <t>Elaborar 1 mapa de escenarios de riesgo con estudios de amenaza y vulnerabilidad según demanda (regiones y/o municipios)</t>
  </si>
  <si>
    <t xml:space="preserve">Número de mapas de escenarios de riesgo con estudios de amenaza y vulnerabilidad según demanda (regiones y/o municipios) elaborados </t>
  </si>
  <si>
    <t>0.32,5</t>
  </si>
  <si>
    <t xml:space="preserve">0.2,5 </t>
  </si>
  <si>
    <t>Elaborar fase inicial de mapa de escenarios de riesgo con estudios de amenaza y vulnerabilidad según demanda.</t>
  </si>
  <si>
    <t xml:space="preserve">Elaborar 1 Plan de Comunicación de las Condiciones de riesgo existentes en el departamento </t>
  </si>
  <si>
    <t xml:space="preserve">Número de planes de Comunicación de las Condiciones de Riesgo existentes en el Departamento elaborados </t>
  </si>
  <si>
    <t xml:space="preserve">24 capacitaciones en comunicación de la gestión del Riesgo de desastres enfocados en los contextos municipales: </t>
  </si>
  <si>
    <t>Reducción del riesgo</t>
  </si>
  <si>
    <t>Intervenir prospectiva y correctivamente el riesgo</t>
  </si>
  <si>
    <t>Elaborar 1  ruta de intervención para ejecución obras de reducción</t>
  </si>
  <si>
    <t>Número de rutas   de Intervención para ejecución de obras de reducción elaborada</t>
  </si>
  <si>
    <t>0.41</t>
  </si>
  <si>
    <t>0.7</t>
  </si>
  <si>
    <t>Formulación e Implementación del proceso de ´Reducción del Riesgo del Riesgo en el Departamento del Cauca.</t>
  </si>
  <si>
    <t>2016-019000-0088</t>
  </si>
  <si>
    <t>Identificar procesos y procedimientos de reducción del riesgo de desastres en el departamento del cauca.</t>
  </si>
  <si>
    <t>Luis Gabriel Chica Bolaños,Lider de la Oficina Asesora de Gestion del Reisgo de Desastres De libre nombramiento</t>
  </si>
  <si>
    <t>Elaborar 1 ruta de asistencia técnica para la implementación integral de la Gestión del Riesgo</t>
  </si>
  <si>
    <t>Número de rutas de Asistencia Técnica en Gestión del Riesgo elaboradas</t>
  </si>
  <si>
    <t>0.2,5</t>
  </si>
  <si>
    <t xml:space="preserve">Conclusión y /o presentación del proyecto o documento para financiación del fondo departamental de Gestión del Riesgo de Desastres .
 Establecer un marco estratégico coordinado con las entidades que hacen parte del comité de reducción del riesgo del departamento,  así como con las entidades agentes y/o con responsabilidad en la reducción del riesgo en el departamento
Ejecución de la estrategia de reducción de la corporación Nasakiwe proyectada en el departamento.
Ejecución de las visitas técnicas.
8. Planificación y organización del encuentro de Coordinadores de gestión del riesgo municipales.
9. Encuentro de coordinadores municipales de Gestión del Riesgo de Desastres
</t>
  </si>
  <si>
    <t>Manejo del desastre</t>
  </si>
  <si>
    <t xml:space="preserve">Preparar  la respuesta y su  ejecución  para la recuperación y su ejecución </t>
  </si>
  <si>
    <t>Elaborar 1 procedimiento de preparación para la respuesta y la recuperación</t>
  </si>
  <si>
    <t>Número de procedimientos para la preparación para la respuesta y la recuperación  elaborado</t>
  </si>
  <si>
    <t>0.17</t>
  </si>
  <si>
    <t>0.50</t>
  </si>
  <si>
    <t>Formulación e Implementación del proceso de ´Manejo de Desastres en el Departamento del Cauca.</t>
  </si>
  <si>
    <t>0-00</t>
  </si>
  <si>
    <t>Ejecución de las visitas técnicas. En manejo de desastres.</t>
  </si>
  <si>
    <t>Elaborar 1 Procedimiento  de ejecución de respuesta a emergencias</t>
  </si>
  <si>
    <t>Número de procedimientos de respuesta a emergencias elaborados</t>
  </si>
  <si>
    <t>2016-019000-0087</t>
  </si>
  <si>
    <t xml:space="preserve"> 
Establecer parámetros para procesos de comunicación.
fortalecer el componente de sistemas de información
      </t>
  </si>
  <si>
    <t xml:space="preserve">Implementar 1 Sala de Crisis para la gestión del riesgo </t>
  </si>
  <si>
    <t>Número de salas de Crisis para la gestión del riesgo implementadas</t>
  </si>
  <si>
    <t>0.43,604</t>
  </si>
  <si>
    <t>0.0,8207</t>
  </si>
  <si>
    <t>Identificción de espacio físico para la instalación de la sala de crisis. -Cumplir con las competencias generales de la sala de crisis.-Velar por el cumplimiento de los productos de la sala de crisis.-Mantenimiento correctivo en la red de radiocomunicaciones  y acondicionamiento de la sala de crisis de la gobernación del cauca. - funcionalidad y operatividad de la  sala</t>
  </si>
  <si>
    <r>
      <t xml:space="preserve"> </t>
    </r>
    <r>
      <rPr>
        <sz val="10"/>
        <rFont val="Calibri"/>
        <family val="2"/>
      </rPr>
      <t>Actualizacion a 2017  del plan departamental de gestion del Riesgo y Compra de equipos para el Conocimiento del Riesgo</t>
    </r>
  </si>
  <si>
    <r>
      <t xml:space="preserve">En Fuentes de Financiacion: La planeacion en vigencias anteriores se hace con base a la naturaleza del Fondo de Gestion del Reisgo de Desatres al cual no se le aplican criterios de </t>
    </r>
    <r>
      <rPr>
        <b/>
        <sz val="10"/>
        <color theme="1"/>
        <rFont val="Arial"/>
        <family val="2"/>
      </rPr>
      <t>anualidad</t>
    </r>
    <r>
      <rPr>
        <sz val="10"/>
        <color theme="1"/>
        <rFont val="Arial"/>
        <family val="2"/>
      </rPr>
      <t xml:space="preserve"> y ademas es de naturaleza </t>
    </r>
    <r>
      <rPr>
        <b/>
        <sz val="10"/>
        <color theme="1"/>
        <rFont val="Arial"/>
        <family val="2"/>
      </rPr>
      <t>acumulativa</t>
    </r>
    <r>
      <rPr>
        <sz val="10"/>
        <color theme="1"/>
        <rFont val="Arial"/>
        <family val="2"/>
      </rPr>
      <t>.</t>
    </r>
  </si>
  <si>
    <t>DEPENDENCIA RESPONSABLE: OFICINA ASESORA DE PLAENACIÓN</t>
  </si>
  <si>
    <t xml:space="preserve">Mantener en nivel sobresaliente la evaluación del componente de eficacia </t>
  </si>
  <si>
    <t>Nivel de evaluación del componente de eficacia</t>
  </si>
  <si>
    <t>Nivel sobresaliente</t>
  </si>
  <si>
    <t>Fortalecimiento de los procesos de planeación y evaluación de la gestión</t>
  </si>
  <si>
    <t xml:space="preserve">Mantener un sistema de seguimiento y control que permita al Gobierno Departamental la toma de decisiones oportunas. </t>
  </si>
  <si>
    <t>Realizar 11 informes de seguimiento y rendición de cuentas</t>
  </si>
  <si>
    <t>Número de informes de seguimientos y rendición de cuentas realizados</t>
  </si>
  <si>
    <t xml:space="preserve">María Victoria Ortega </t>
  </si>
  <si>
    <t>Realizar seguimiento aleatorio al 10% de proyectos viabilizados por el banco de proyectos</t>
  </si>
  <si>
    <t xml:space="preserve">Porcentaje de proyectos viabilizados por el banco de proyectos con seguimiento aleatorio realizados </t>
  </si>
  <si>
    <t>Libio Hernando Ortega</t>
  </si>
  <si>
    <t xml:space="preserve">Dar apoyo administrativo,  técnico y logístico al Consejo Departamental de Planeación.  </t>
  </si>
  <si>
    <t>Apoyar 19 reuniones del Consejo Departamental de Planeación</t>
  </si>
  <si>
    <t xml:space="preserve">Número reuniones del Consejo Departamental de Planeación apoyadas </t>
  </si>
  <si>
    <t>Establecer directrices de Ordenamiento Territorial e instrumentos para el ordenamiento de porciones del territorio.</t>
  </si>
  <si>
    <t>Construir 1 documento con las directrices del  de Ordenamiento Territorial Departamental</t>
  </si>
  <si>
    <t>Número de documentos con las directrices del  de Ordenamiento Territorial Departamental construidos</t>
  </si>
  <si>
    <t>Incrementar en 8% la calificación del ranking integral municipal</t>
  </si>
  <si>
    <t>Porcentaje de incremento en la evaluación del ranking integral municipal incrementado</t>
  </si>
  <si>
    <t>Asesoría integral a las administraciones municipales</t>
  </si>
  <si>
    <t>Fortalecer la capacidad de gestión de las administraciones municipales</t>
  </si>
  <si>
    <t>Realizar 100 eventos de capacitación en gestión pública</t>
  </si>
  <si>
    <t>Número eventos de capacitación en gestión pública realizados</t>
  </si>
  <si>
    <t>Alcanzar el 60% del índice de gobierno en línea</t>
  </si>
  <si>
    <t>Porcentaje del índice de gobierno en línea alcanzado</t>
  </si>
  <si>
    <t>39.25 %</t>
  </si>
  <si>
    <t xml:space="preserve">Instrumentos de planificación </t>
  </si>
  <si>
    <t>Generar herramientas de planificación que permitan mejorar en la ciudadanía e instituciones, la cultura de uso y aprovechamiento de la información, incentivando el proceso de toma de decisiones, transparencia, seguimiento y la evaluación de las políticas y programas de gobierno.</t>
  </si>
  <si>
    <t>Fortalecer el Sistema de Información Socioeconómica del Cauca - Tángara</t>
  </si>
  <si>
    <t>Sistema de Información Socioeconómica del Cauca - Tángara, Fortalecido</t>
  </si>
  <si>
    <t>1 Sistema de Información Socioeconómica del Cauca - implementado</t>
  </si>
  <si>
    <t>Angela Cristina Urbano</t>
  </si>
  <si>
    <r>
      <t>DEPENDENCIA RESPONSABLE: _</t>
    </r>
    <r>
      <rPr>
        <u/>
        <sz val="10"/>
        <rFont val="Calibri"/>
        <family val="2"/>
        <scheme val="minor"/>
      </rPr>
      <t>SECRETARIA DE AGRICULTURA Y DESARROLLO RURAL</t>
    </r>
  </si>
  <si>
    <t xml:space="preserve">Beneficiar a 4000 nuevas familias en situación de vulnerabilidad con el programa de seguridad y soberanía alimentaria </t>
  </si>
  <si>
    <t>Número de nuevas familias en situación de vulnerabilidad con el programa de seguridad y soberanía alimentaria beneficiadas</t>
  </si>
  <si>
    <t>Seguridad y soberanía alimentaria (Programa PANES)</t>
  </si>
  <si>
    <t>Garantizar de manera progresiva y creciente la seguridad alimentaria y nutricional de la población caucana mas vulnerable a partir del reconocimiento de la diversidad étnica, cultural y ambiental del departamento.</t>
  </si>
  <si>
    <t xml:space="preserve">Producir y/o transformar 2000  toneladas de alimentos  </t>
  </si>
  <si>
    <t>Número de toneladas de alimentos producidos y/o transformados</t>
  </si>
  <si>
    <t xml:space="preserve"> INCREMENTO</t>
  </si>
  <si>
    <t xml:space="preserve">FORTALECIMIENTO DE LA SEGURIDAD ALIMENTARIA Y NUTRICIONAL A ESCOLARES DE LAS INSTITUCIONES EDUCATIVAS AGROPECUARIAS Y FAMILIAS VULNERABLES EN 41 MUNICIPIOS DEL CAUCA </t>
  </si>
  <si>
    <t>2016- 019000- 0006</t>
  </si>
  <si>
    <t xml:space="preserve">41 MUNICIPIOS DEL DEPARTAMENTO DEL CAUCA </t>
  </si>
  <si>
    <t xml:space="preserve">SUROCCIDENTE </t>
  </si>
  <si>
    <t>93.000 Escolares
1500 familias</t>
  </si>
  <si>
    <t xml:space="preserve"> 250  toneladas de alimentos  </t>
  </si>
  <si>
    <t xml:space="preserve">Ruben Dario Panzza- Contratista
Nestor Raúl Basto - Contratista </t>
  </si>
  <si>
    <t>Realizar 400 eventos de capacitaciones en Agroindustria</t>
  </si>
  <si>
    <t>Número de eventos de capacitación en agroindustria realizados</t>
  </si>
  <si>
    <t>INCREMENTO</t>
  </si>
  <si>
    <t xml:space="preserve"> 50 eventos de capacitaciones en Agroindustria</t>
  </si>
  <si>
    <t xml:space="preserve">Cristian Andres Moros - Contratista </t>
  </si>
  <si>
    <t>Realizar 700 capacitaciones en  manejo, cuidado y conservación de los recursos naturales para la producción de alimentos</t>
  </si>
  <si>
    <t>Número de capacitaciones en  manejo, cuidado y conservación de los recursos naturales para la producción de alimentos realizadas</t>
  </si>
  <si>
    <t xml:space="preserve"> 150 capacitaciones en  manejo, cuidado y conservación de los recursos naturales para la producción de alimentos</t>
  </si>
  <si>
    <t xml:space="preserve">
Gestores de PANES 
</t>
  </si>
  <si>
    <t xml:space="preserve">Beneficiar a  90.000 escolares con el programa de seguridad y soberanía alimentaria </t>
  </si>
  <si>
    <t>Número de escolares con el programa de seguridad y soberanía alimentaria beneficiados</t>
  </si>
  <si>
    <t xml:space="preserve">Mejorar en 20 instituciones educativas las condiciones  para el procesamiento de alimentos </t>
  </si>
  <si>
    <t xml:space="preserve">Número de Instituciones educativas donde se mejoran las condiciones para el procesamiento de alimentos </t>
  </si>
  <si>
    <t xml:space="preserve"> 0 instituciones educativas han mejorado las condiciones  para el procesamiento de alimentos </t>
  </si>
  <si>
    <t>Implementar 4000 arreglos productivos en familias vulnerables</t>
  </si>
  <si>
    <t>Número de arreglos productivos implementados en familias vulnerables implementados</t>
  </si>
  <si>
    <t xml:space="preserve">INCREMENTO </t>
  </si>
  <si>
    <t xml:space="preserve"> 1500 arreglos productivos en familias vulnerables implementados</t>
  </si>
  <si>
    <t xml:space="preserve">Nestor Raul Basto- Contratista 
Cristian Andres Moros - Contratista </t>
  </si>
  <si>
    <t>Realizar 20 encuentros de intercambio de saberes y sabores (al menos 1 por sub-región)</t>
  </si>
  <si>
    <t>Número de encuentros de saberes y sabores realizados (al menos 1 por sub-región realizados)</t>
  </si>
  <si>
    <t>MANTENIMIENTO</t>
  </si>
  <si>
    <t xml:space="preserve"> 4 encuentros de intercambio de saberes y sabores</t>
  </si>
  <si>
    <t xml:space="preserve">Silvia Alexandra Luna- Contratista </t>
  </si>
  <si>
    <t>Apoyar la  productividad en 20 organizaciones de mujeres</t>
  </si>
  <si>
    <t xml:space="preserve">Número de organizaciones de mujeres apoyadas en productividad </t>
  </si>
  <si>
    <t>Mujer rural</t>
  </si>
  <si>
    <t xml:space="preserve">Promover la participación activa y efectiva de la mujer rural en procesos productivos y de agro transformación integrándolas a las agrocadenas </t>
  </si>
  <si>
    <t>Apoyar 20 organizaciones de mujeres con iniciativas de emprendimiento.</t>
  </si>
  <si>
    <t xml:space="preserve">Número de Iniciativas de emprendimiento de organizaciones de mujeres apoyadas </t>
  </si>
  <si>
    <t>Convocatoria de Alianzas productivas del Ministerio de Agricultura y Desarrollo Rural</t>
  </si>
  <si>
    <t>Piedad Belalcázar - Profesional Universitario - Nivel Central</t>
  </si>
  <si>
    <t xml:space="preserve"> Fortalecer socioempresarialmente a 20 organizaciones de mujeres 
</t>
  </si>
  <si>
    <t>Número de organizaciones de mujeres 
en el componente socioempresarial fortalecidas</t>
  </si>
  <si>
    <t xml:space="preserve">Crecimiento y competitividad económica </t>
  </si>
  <si>
    <t>Apoyar 1 nueva agrocadena productiva del departamento en el componente de competitividad y productividad</t>
  </si>
  <si>
    <t>Número de agrocadenas productivas apoyadas en el componente de competitividad y productividad</t>
  </si>
  <si>
    <t xml:space="preserve">Cadenas productivas                                                                </t>
  </si>
  <si>
    <t>Impulsar la productividad del sector agropecuario con un esquema de crecimiento sostenible buscando desarrollar y fortalecer las agrocadenas productivas con un enfoque de desarrollo territorial y diferencial.</t>
  </si>
  <si>
    <t xml:space="preserve">Cofinanciar 12 cadenas productivas  </t>
  </si>
  <si>
    <t>Número de cadenas productivas Cofinanciadas</t>
  </si>
  <si>
    <t>MANTENIMIENTO (11) E INCREMENTO (1)</t>
  </si>
  <si>
    <t>Equipo Tecnico de la SADR Nivel Central</t>
  </si>
  <si>
    <t>Constituir 6 nuevos comités técnicos de cadena</t>
  </si>
  <si>
    <t>Número de Comités técnicos de cadenas constituidos</t>
  </si>
  <si>
    <t>No Aplica</t>
  </si>
  <si>
    <t>La constitucion se realiza mediante reuniones coordinadas por el equipo tecnico de la Secretaria</t>
  </si>
  <si>
    <t xml:space="preserve">Alianzas estratégicas </t>
  </si>
  <si>
    <t>Desarrollar apuestas productivas sostenibles y competitivas a través de alianzas estratégicas con un enfoque de desarrollo territorial y diferencial.</t>
  </si>
  <si>
    <t xml:space="preserve">Apoyar 10 proyectos productivos de interés Departamental </t>
  </si>
  <si>
    <t>Número de proyectos productivos de interés Departamental apoyados</t>
  </si>
  <si>
    <t xml:space="preserve">
42</t>
  </si>
  <si>
    <t>Convenio marco "memorando de entendimiento MYR 034 celebrado entre el Departamento del Caucay la Organización Internacional para las Migraciones - OIM"</t>
  </si>
  <si>
    <t>N. A.</t>
  </si>
  <si>
    <t>Popayán Timbio, El Tambo, Cajibio, Morales, Piendamo, Silvia, Puracé, Buenos Aires, Santander de Quilichao, Caloto, Guachene y Villa Rica</t>
  </si>
  <si>
    <t>Apoyo a las lineas productivas de: Café convencional y especial, Piña Oro Miel, Aguacate, Cacao. Los perfiles se encuentran en proceso de formulacion</t>
  </si>
  <si>
    <t>Apoyar 11 agrocadenas productivas existentes y cadenas productivas de cultivos promisorios  en el componente de competitividad y productividad</t>
  </si>
  <si>
    <t>Número de agrocadenas productivas y cadenas productivas de cultivos promisorios existentes apoyadas en el componente de competitividad y productividad</t>
  </si>
  <si>
    <t>Capacidades empresariales y comerciales</t>
  </si>
  <si>
    <t>Desarrollo y fortalecimiento de las capacidades socio-empresariales y comerciales de las agrocadenas productivas.</t>
  </si>
  <si>
    <t>Realizar 4 Ruedas de Negocios</t>
  </si>
  <si>
    <t>Número de ruedas de negocios realizadas</t>
  </si>
  <si>
    <t>Fortalecimiento de la Competitividad del Cauca, através del desarrollo de las capacidades comerciales de las agrocadenas productivas del departamento</t>
  </si>
  <si>
    <t>2016-019000-0028</t>
  </si>
  <si>
    <t>30.000 adicionales, fueron aportados por el componente de competitividad, programa desarrollo empresarial para un total de 82.980</t>
  </si>
  <si>
    <t xml:space="preserve">Apoyar en 4 eventos productivos y/o comerciales  la  participación de organizaciones del sector agropecuario </t>
  </si>
  <si>
    <t xml:space="preserve"> Número de eventos productivos y/o comerciales con participación de organizaciones agropecuarias apoyados</t>
  </si>
  <si>
    <t>Realizar 3 ferias de exposición agropecuaria</t>
  </si>
  <si>
    <t xml:space="preserve">Número de Ferias de exposición agropecuaria realizadas
</t>
  </si>
  <si>
    <t xml:space="preserve">Generación de condiciones para la riqueza colectiva </t>
  </si>
  <si>
    <t xml:space="preserve"> Innovación</t>
  </si>
  <si>
    <t>Tecnologías para la producción</t>
  </si>
  <si>
    <t xml:space="preserve"> Impulsar la aplicación de nuevas tecnologías en la producción y transformación agropecuaria</t>
  </si>
  <si>
    <t>Impulsar la aplicación de 4 nuevas tecnologías en el sector agropecuario</t>
  </si>
  <si>
    <t>Número de nuevas tecnologías en el sector agropecuario impulsadas</t>
  </si>
  <si>
    <t>Proyecto en construccion</t>
  </si>
  <si>
    <t>Estrategias para el desarrollo productivo</t>
  </si>
  <si>
    <t xml:space="preserve">Promover el desarrollo productivo del departamento,  mediante la implementación de estrategias dirigidas a mitigar los puntos críticos de la producción (abastecimiento de agua para la producción, acceso a los recursos de crédito, acceso a la tierra y la baja formalización de la propiedad rural). </t>
  </si>
  <si>
    <t xml:space="preserve">Cofinanciar 4 distritos de riego </t>
  </si>
  <si>
    <t>Número de distritos de riego    cofinanciados</t>
  </si>
  <si>
    <t>Avalar 2.000 solicitudes de crédito en el Fondo de Garantías del Departamento</t>
  </si>
  <si>
    <t xml:space="preserve">Número de solicitudes de crédito en el Fondo de Garantías del Departamento avaladas </t>
  </si>
  <si>
    <t>INCREMENTO Y MANTENIMIENTO</t>
  </si>
  <si>
    <t>Fortalecimiento financiero al programa Fondo de Garantias Complementarias del Departamento del Cauca</t>
  </si>
  <si>
    <t>2015-019000-0176</t>
  </si>
  <si>
    <t>Fortalecer el convenio financiero interadministrativo para financiar proyectos agropecuarios con garantia del Fondo Agropecuario</t>
  </si>
  <si>
    <t>Mediante este proyecto se hizo una adicion de recursos al convenio 5885 - 2010 entre el Departamento y Banagrario</t>
  </si>
  <si>
    <t xml:space="preserve">Formalizar  500 predios rurales </t>
  </si>
  <si>
    <t xml:space="preserve">Número de predios rurales formalizados </t>
  </si>
  <si>
    <t>En Definicion</t>
  </si>
  <si>
    <t>Hernando Sanchez - Profesional Universitario - Nivel Central</t>
  </si>
  <si>
    <t>El proyecto en construccion, depende de la puesta en marcha de la nueva Agencia Nacional de Tierras</t>
  </si>
  <si>
    <t>Implementar 1 nuevo instrumento de planificación</t>
  </si>
  <si>
    <t>Número de instrumentos de planificación implementados</t>
  </si>
  <si>
    <t>Instrumentos de planificación participativa del desarrollo rural</t>
  </si>
  <si>
    <t xml:space="preserve">Desarrollar herramientas  y propiciar espacios de coordinación sectorial e interinstitucional para la planificación del sector agropecuario </t>
  </si>
  <si>
    <t>Actualizar un 20 % el Sistema de Información geográfico departamental – SIG</t>
  </si>
  <si>
    <t>Porcentaje del Sistema de Información geográfico sectorial departamental – SIG actualizado</t>
  </si>
  <si>
    <t>1 Sistema de Información geográfico sectorial implementado</t>
  </si>
  <si>
    <t>implementaciòn de un sistema de informaciòn Geogràfica para la planificaciòn de los Recursos Agrìcola, Minero, Hidrìco y Forestal del Departamento del Cauca.</t>
  </si>
  <si>
    <t xml:space="preserve">centro ,macizo,Norte,sur, pacifico, oriente y la bota caucana </t>
  </si>
  <si>
    <t>capas de informacion cartograficas y alfanumericas estructuradas entre los  usos agricola,minero hidrico  y forestal departamento del Cauca en formato shape file</t>
  </si>
  <si>
    <t>Monica Valencia Profesional Conttratista SADR</t>
  </si>
  <si>
    <t>Las capas de informacion geografica  se consolida en funciòn de la informaciòn geogràfica primaria y segundaria en cualquiera de los sectores mensionados en el producto.</t>
  </si>
  <si>
    <t xml:space="preserve">Elaborar 1 plan de fortalecimiento del Consejo seccional de Desarrollo Agropecuario, pesquero, forestal, comercial y de desarrollo rural CONSEA </t>
  </si>
  <si>
    <t xml:space="preserve">Número de planes de fortalecimiento del Consejo seccional de Desarrollo Agropecuario, pesquero, forestal, comercial y de desarrollo rural CONSEA elaborados </t>
  </si>
  <si>
    <t>Implementaciòn de un sistema de informaciòn Geogràfica para la planificaciòn de los Recursos Agrìcola, Minero, Hidrìco y Forestal del Departamento del Cauca.</t>
  </si>
  <si>
    <t>centtro, norte, sur, pacifico, oriente y bota caucana</t>
  </si>
  <si>
    <t>Hugo A Lopez - Profesional Universitario - Nivel Central</t>
  </si>
  <si>
    <t>Analizar 6.000 muestras de suelos en el departamento</t>
  </si>
  <si>
    <t xml:space="preserve">Número de muestras de suelos en el departamento analizadas </t>
  </si>
  <si>
    <t>Se contrata el personal con recursos del Fondo rotatorio agropecuario</t>
  </si>
  <si>
    <t>Realizar 40 eventos de capacitación en análisis de suelos</t>
  </si>
  <si>
    <t>Número de eventos de capacitación en análisis de suelos realizados</t>
  </si>
  <si>
    <t xml:space="preserve">Continuar la implementación de 6 instrumentos de planificación </t>
  </si>
  <si>
    <t>Número de instrumentos de planificación que continúan su implementación</t>
  </si>
  <si>
    <t>Elaborar 1 diagnóstico nutricional a niños menores de 5 años de 4000 familias vulnerables</t>
  </si>
  <si>
    <t>Número de diagnósticos nutricionales a niños menores de 5 años de 4000 familias vulnerables</t>
  </si>
  <si>
    <t xml:space="preserve">FORTALECIMIENTO DE LA SEGURIDAD ALIMENTARIA Y NUTRICIONAL A ESCOLARES DE LAS INSTITUCIONES EDUCATIVAS AGROPECUARIAS Y FAMILIAS VULNERABLES EN 41 </t>
  </si>
  <si>
    <t>41 MUNICIPIOS DEL DEPARTAMENTO DEL CAUCA</t>
  </si>
  <si>
    <t>SUROCCIDENTE</t>
  </si>
  <si>
    <t>1 diagnóstico nutricional a niños menores de 5 años de 4000 familias vulnerables</t>
  </si>
  <si>
    <t xml:space="preserve">Felipe Uribe- Contratista </t>
  </si>
  <si>
    <t>Elaborar 7 perfiles alimentarios zonales</t>
  </si>
  <si>
    <t>Número de perfiles alimentarios por zona realizados</t>
  </si>
  <si>
    <t xml:space="preserve"> 0 perfiles alimentarios zonales</t>
  </si>
  <si>
    <t>Conservación y desarrollo ambiental</t>
  </si>
  <si>
    <t xml:space="preserve">Apoyar 8 Planes Municipales de SAN en su proceso de construcción </t>
  </si>
  <si>
    <t xml:space="preserve">Número de Planes Municipales de SAN en su proceso de construcción apoyados </t>
  </si>
  <si>
    <t>FORTALECIMIENTO DE LA SEGURIDAD ALIMENTARIA Y NUTRICIONAL A ESCOLARES DE LAS INSTITUCIONES EDUCATIVAS AGROPECUARIAS Y FAMILIAS VULNERABLES EN 43</t>
  </si>
  <si>
    <t xml:space="preserve"> 2 Planes Municipales de SAN en su proceso de construcción </t>
  </si>
  <si>
    <t>Nestor Raul Basto- Contratista, Equipo PANES</t>
  </si>
  <si>
    <t xml:space="preserve">Dinamizar 6 planes Municipales de SAN </t>
  </si>
  <si>
    <t>Número de planes  Municipales de SAN dinamizados</t>
  </si>
  <si>
    <t>FORTALECIMIENTO DE LA SEGURIDAD ALIMENTARIA Y NUTRICIONAL A ESCOLARES DE LAS INSTITUCIONES EDUCATIVAS AGROPECUARIAS Y FAMILIAS VULNERABLES EN 44</t>
  </si>
  <si>
    <t xml:space="preserve"> 3 planes Municipales de SAN </t>
  </si>
  <si>
    <t xml:space="preserve">Nestor Raul Basto- Contratista, Equipo Seguridad Alimentaria PANES 
</t>
  </si>
  <si>
    <t>Realizar 12 sesiones del CISANC</t>
  </si>
  <si>
    <t>Número de sesiones de CISANC realizadas</t>
  </si>
  <si>
    <t>FORTALECIMIENTO DE LA SEGURIDAD ALIMENTARIA Y NUTRICIONAL A ESCOLARES DE LAS INSTITUCIONES EDUCATIVAS AGROPECUARIAS Y FAMILIAS VULNERABLES EN 45</t>
  </si>
  <si>
    <t xml:space="preserve"> 3 sesiones del CISANC</t>
  </si>
  <si>
    <t>Nestor Raul Basto- Contratista 
Silvia Alexamdra Luna  - Contratista</t>
  </si>
  <si>
    <t>Reducir al 1% la tasa de deforestación de bosques y coberturas naturales en ecosistemas estratégicos</t>
  </si>
  <si>
    <t>Tasa de deforestación de bosques y coberturas naturales en ecosistemas estratégicos reducida</t>
  </si>
  <si>
    <t>1.3%</t>
  </si>
  <si>
    <t>Gestión integral de la biodiversidad, de los servicios ecosistémicos y áreas protegidas</t>
  </si>
  <si>
    <t>Ejecutar los procedimientos de administración, propios del cumplimiento de la misión institucional para la recuperación, conservación y protección de  los suelos, los ecosistemas y la flora y fauna asociada.</t>
  </si>
  <si>
    <t xml:space="preserve">Incrementar 25 % las Hectáreas con iniciativas de conservación de ecosistemas estratégicos </t>
  </si>
  <si>
    <t xml:space="preserve">Porcentaje de Hectáreas con iniciativas de conservación de ecosistemas estratégicos incrementadas </t>
  </si>
  <si>
    <t>C.R.C (Oficina de Planeación)</t>
  </si>
  <si>
    <t xml:space="preserve">Construir 1 modelo de Gestión Integral del Recurso Suelo con alto componente de conocimientos y tecnologías pertinentes que soporten el desarrollo agrícola productivo y sostenible del Departamento </t>
  </si>
  <si>
    <t>Número de modelos de Gestión Integral del Recurso Suelo con alto componente de conocimientos y tecnologías pertinentes que soporten el desarrollo agrícola productivo y sostenible del departamento construidos</t>
  </si>
  <si>
    <t>modelo de Gestión Integral del Recurso Suelo con alto componente de conocimientos y tecnologías pertinentes que soporten el desarrollo agrícola productivo y sostenible del departamento construidos</t>
  </si>
  <si>
    <t>FORTALECIMIENTO DE LOS MECANISMOS DE Gestión Integral del recurso suelo para la producción agrícola sostenible en el Dpto del Cauca</t>
  </si>
  <si>
    <t>Almaguer, Bolívar, Cajibío, Mercaderes, Popayán, Puracé y Santander de Quilichao</t>
  </si>
  <si>
    <t>HERNANDO SÁNCHEZ (Profesional Universitario) Carolina Olave (Contratista9</t>
  </si>
  <si>
    <t>El presupuesto son 900 millones de CTI y 24 millones de la CRC</t>
  </si>
  <si>
    <t xml:space="preserve">Diseñar 1 corredor biológico para incrementar la conectividad socioecosistemica y la conservación de la biodiversidad que vincule los municipios de El Tambo, Cajibio, Totoró, Popayán y Puracé </t>
  </si>
  <si>
    <t>Número de corredores biológicos para incrementar la conectividad socioecosistemica y la conservación de la biodiversidad que vincule los municipios de El Tambo, Cajibio, Totoró, Popayán y Puracé diseñados</t>
  </si>
  <si>
    <t xml:space="preserve">corredor biológico para incrementar la conectividad socioecosistemica y la conservación de la biodiversidad que vincule los municipios de El Tambo, Cajibio, Totoró, Popayán y Puracé </t>
  </si>
  <si>
    <t>Aura Libia Espinoza (Contratista)</t>
  </si>
  <si>
    <t>Planificación y ordenamiento ambiental regional</t>
  </si>
  <si>
    <t>Promover  el ordenamiento ambiental, la planificación del uso y manejo de las cuencas hidrográficas, de los ecosistemas, los recursos naturales para una gestión ambiental en el departamento.</t>
  </si>
  <si>
    <t xml:space="preserve">Ordenar 4 nuevas corrientes hídricas </t>
  </si>
  <si>
    <t>Número de nuevas corrientes hídricas ordenadas</t>
  </si>
  <si>
    <t>Oficina de Planeación CRC</t>
  </si>
  <si>
    <t xml:space="preserve">Esta activiad la realiza la CRC con el acompañamiento del la Gobernación. </t>
  </si>
  <si>
    <t>Ubicar el 60 % de los municipios dentro de la categoría baja del índice de vulnerabilidad respecto a regulación y oferta hídrica</t>
  </si>
  <si>
    <t>Porcentaje de  municipios ubicados dentro de la categoría baja del índice de vulnerabilidad respecto a regulación y oferta hídrica</t>
  </si>
  <si>
    <t>Gestión del recurso hídrico</t>
  </si>
  <si>
    <t>Contribuir al mejoramiento y la recuperación de la cantidad y calidad del recurso hídrico en el departamento del Cauca.</t>
  </si>
  <si>
    <t>Adquirir 700 hectáreas para conservación de fuentes hídricas</t>
  </si>
  <si>
    <t>Número de has  para conservación de fuentes hídricas adquiridas</t>
  </si>
  <si>
    <t>Hernando Sanchez E. (Prof. Universitario) Yamilet Palechor (Contratista)</t>
  </si>
  <si>
    <t xml:space="preserve">Promover la formulación de 1 política pública para la protección del agua en el macizo colombiano </t>
  </si>
  <si>
    <t>Número de Políticas públicas que se promueve su formulación para la protección del agua en el macizo colombiano</t>
  </si>
  <si>
    <t>En el 2016 no se realizará</t>
  </si>
  <si>
    <t xml:space="preserve">Desarrollar 1 herramienta para el análisis de vulnerabilidad e implementación de alertas tempranas para sistemas de abastecimiento de agua </t>
  </si>
  <si>
    <t xml:space="preserve">Número de herramientas para el análisis de vulnerabilidad e implementación de alertas tempranas para sistemas de abastecimiento de agua desarrolladas
</t>
  </si>
  <si>
    <t>BPIN(2103000100076</t>
  </si>
  <si>
    <t>La  Sierra, Mercaderes, Santander de Quilichao, Patía, Bolívar, Suárez, Cajibío, Timbío y Popayán</t>
  </si>
  <si>
    <t>Análisis de vulnerabilidad e implementación de alertas tempranas para sistemas de abastecimiento de agua en el Departamento del Cauca</t>
  </si>
  <si>
    <t>Hernando Sanchez E. (Prof. Universitario) Luis Alberto Díaz Gómez (Contratista)</t>
  </si>
  <si>
    <t xml:space="preserve">El 100% de los municipios mejoran el conocimiento en adaptación al cambio climático y en adopción de medidas de mitigación </t>
  </si>
  <si>
    <t>Porcentaje de municipios que mejoran el conocimiento en adaptación al cambio climático y en adopción de medidas de mitigación</t>
  </si>
  <si>
    <t>Por construir</t>
  </si>
  <si>
    <t>Gestión del riesgo de desastres y adaptación y mitigación al cambio climático</t>
  </si>
  <si>
    <t>Ejecutar las estrategias de asesoría y asistencia, asociadas a la incorporación de los componentes de  gestión  del  riesgo, adaptación y  cambio climático en  los planes de ordenamiento territorial de los municipios (POT) y de prevención, mitigación y contingencia de desastres naturales.</t>
  </si>
  <si>
    <t>Implementar  1 sistema de información para la gestión del Riesgo Ambiental articulado al SIG</t>
  </si>
  <si>
    <t>Número de sistemas de información implementados para la gestión del Riesgo Ambiental articulado al SIG</t>
  </si>
  <si>
    <t>Actualizar el 70% de los planes municipales para la prevención, mitigación y contingencia de desastres naturales.</t>
  </si>
  <si>
    <t>Porcentaje de planes municipales para la prevención, mitigación y contingencia de desastres naturales actualizados.</t>
  </si>
  <si>
    <t>Recursos propios de la CRC</t>
  </si>
  <si>
    <t>DEPENDENCIA RESPONSABLE: ______________________________________________________________</t>
  </si>
  <si>
    <t>VALOR ACTUAL - linea base</t>
  </si>
  <si>
    <t>Incrementar en un 10%  las rentas del Departamento</t>
  </si>
  <si>
    <t xml:space="preserve">Porcentaje de las rentas del Departamento incrementadas </t>
  </si>
  <si>
    <t>128.198 millones</t>
  </si>
  <si>
    <t>Fortalecimiento Financiero</t>
  </si>
  <si>
    <t>Incrementar el recaudo de los ingresos tributarios del Departamento manteniendo indicadores de responsabilidad fiscal sanos haciendo uso eficiente de los recursos propios.</t>
  </si>
  <si>
    <t>Ejecutar 1 plan de acción para el fortalecimiento y modernización de la Oficina de Rentas del Departamento</t>
  </si>
  <si>
    <t xml:space="preserve">Número de planes de acción para el fortalecimiento y modernización de la Oficina de Rentas del Departamento ejecutados </t>
  </si>
  <si>
    <t>Apoyo a la Gestión misional de la Secretaria de Hacienda para el periodo 2016-2017en el Departamento del Cauca</t>
  </si>
  <si>
    <t>2016-0190000055</t>
  </si>
  <si>
    <t xml:space="preserve"> - Disponer de una planta de personal profesiona, técnico y asistencial suficiente en la secretaria de hacienda del Departamento del Cauca - Dotación de medios operativos, - sofwares de cobro de impuestos al consumo y el de vehiculos contratados y operando.</t>
  </si>
  <si>
    <t>Dr. Rubio Humberto Perez</t>
  </si>
  <si>
    <t>Implementar 1 Programa de Saneamiento Fiscal y Financiero voluntario del Departamento</t>
  </si>
  <si>
    <t xml:space="preserve">Número de Programas de Saneamiento Fiscal y Financiero voluntario del Departamento implementados </t>
  </si>
  <si>
    <t>Programa de Saneamiento Fiscal y Financiero 2012-2015</t>
  </si>
  <si>
    <t>Programa de Saneamiento Fiscal y Financiero Departamento del Cauc</t>
  </si>
  <si>
    <t xml:space="preserve"> - Programa de saneamiento fiscal y financiero implementado</t>
  </si>
  <si>
    <t>Dra. Yolanda Meneses , Dra. Flor keide Bolaños l</t>
  </si>
  <si>
    <t>Implementar 1 Plan de Saneamiento de Cartera</t>
  </si>
  <si>
    <t xml:space="preserve">Número de Planes de Saneamiento de Cartera implementados </t>
  </si>
  <si>
    <t xml:space="preserve"> Plan de Saneamiento de Cartera</t>
  </si>
  <si>
    <t xml:space="preserve"> Plan de Saneamiento de Cartera implementado</t>
  </si>
  <si>
    <t>Dr. Rubio Humberto Perez , Dr. Jorge Acosta Meneses</t>
  </si>
  <si>
    <t>Los recursos se ejecutan con el personal de planta y/o contratistas</t>
  </si>
  <si>
    <t>Ejecutar 1 plan de acción para el saneamiento contable de los bienes inmuebles del Departamento</t>
  </si>
  <si>
    <t xml:space="preserve">Número de planes de acción para el saneamiento contable de los bienes inmuebles del Departamento ejecutados </t>
  </si>
  <si>
    <t>Saneamiento contable de los bienes inmuebles del Departamento</t>
  </si>
  <si>
    <t xml:space="preserve"> - Plan de acción elaborado</t>
  </si>
  <si>
    <t>Dr. Jorge Acosta Meneses</t>
  </si>
  <si>
    <t>___________________________________</t>
  </si>
  <si>
    <t>____________________________________</t>
  </si>
  <si>
    <t>_______________________________</t>
  </si>
  <si>
    <t>DEPENDENCIA RESPONSABLE: SECRETARÍA DE LA MUJER</t>
  </si>
  <si>
    <t xml:space="preserve">DEPENDENCIAS DE APOYO: SECRETARÍA DE EDUCACIÓN, SECRETARÍA DE SALUD, SECRETARÍA DE AGRICULTURA, SECRETARÍA DE GOBIERNO, GESTIÓN SOCIAL.                                                   </t>
  </si>
  <si>
    <t>PRESUPUESTO GENERAL DE LA NACIÓN</t>
  </si>
  <si>
    <t>Cambiar en el 50% de los y las estudiantes y comunidad educativa de 14 Instituciones Educativas, (2 por subregión) su percepción frente a las violencias contra las mujeres</t>
  </si>
  <si>
    <t>Porcentaje de los y las estudiantes y comunidad educativa de 14 Instituciones Educativas, (2 por subregión) que cambian su percepción frente a las violencias contra las mujeres</t>
  </si>
  <si>
    <t>Cauca, hacia un territorio libre de violencias contra las mujeres.</t>
  </si>
  <si>
    <t>Desarrollar una estrategia  que de cumplimiento a la ley 1257 de 2008 y que conduzca a avanzar en la garantía a una vida libre de violencias para las mujeres que habitan el departamento.</t>
  </si>
  <si>
    <t xml:space="preserve">Generar en 14 instituciones educativas, (2 por subregión), acciones de movilización social para la promoción de una cultura no violenta hacia las mujeres. </t>
  </si>
  <si>
    <t>Número de instituciones educativas, (2 por subregión), con acciones de movilización social para la promoción de una cultura no violenta hacia las mujeres generadas</t>
  </si>
  <si>
    <t>Prevencion de violencia contra las Mujeres</t>
  </si>
  <si>
    <t>0,0,0,0,</t>
  </si>
  <si>
    <t xml:space="preserve">(5 Municipios): Popayán Sotará,Corinto, Tambo y Rosas </t>
  </si>
  <si>
    <t>Centro, Norte y macizo</t>
  </si>
  <si>
    <t xml:space="preserve">Elaborar 1 documento con los contenidos para la promoción de una cultura no violenta contra las mujeres, para darles aplicación desde la Secretaría de Educación y Cultura a través de la Cátedra Cauca. </t>
  </si>
  <si>
    <t>Número de documentos con los contenidos para la promoción de una cultura no violenta contra las mujeres, para darles aplicación desde la Secretaría de Educación y Cultura a través de la Cátedra Cauca elaborados</t>
  </si>
  <si>
    <t xml:space="preserve">Promover en 14 Instituciones Educativas (2 por subregión),  acciones de sensibilización con herramientas para actuar con cero tolerancia frente a las violencias contra las mujeres.  </t>
  </si>
  <si>
    <t>Número de Instituciones Educativas (2 por subregión),  con acciones de sensibilización y herramientas para actuar con cero tolerancia frente a las violencias contra las mujeres promovidas.</t>
  </si>
  <si>
    <t>Por establecer</t>
  </si>
  <si>
    <t xml:space="preserve">Incrementar en 20% las denuncias de los casos de Violencias Basadas en Género - VBG.
</t>
  </si>
  <si>
    <t xml:space="preserve">Porcentaje de las denuncias de los casos de Violencias Basadas en Género – VBG incrementado </t>
  </si>
  <si>
    <t xml:space="preserve">1125 casos de Violencias Basadas en Género denunciados - año 2013 – Medicina Legal </t>
  </si>
  <si>
    <t xml:space="preserve">Ajustar en 7 nuevos municipios, (1 por subregión), las rutas y protocolos para la atención a las mujeres víctimas de las violencias de acuerdo a la institucionalidad presente.                                  </t>
  </si>
  <si>
    <t>Número de nuevos municipios, (1 por subregión),con  rutas y protocolos para la atención a las mujeres víctimas de las violencias de acuerdo a la institucionalidad presente ajustadas.</t>
  </si>
  <si>
    <t xml:space="preserve">(4 Municipios):  Sotará,Corinto, Tambo y Rosas </t>
  </si>
  <si>
    <t>Centro, Norte y Sur</t>
  </si>
  <si>
    <t xml:space="preserve">Realizar 1 campaña para motivar la denuncia de casos de Violencias Basadas en Género - VBG- en contra de niñas, adolescentes, adultas mayores, lesbianas, mujeres trans y con capacidades diversas. </t>
  </si>
  <si>
    <t>Número de campañas para motivar la denuncia de casos de Violencias Basadas en Género - VBG- en contra de niñas, adolescentes, adultas mayores, lesbianas, mujeres trans y con capacidades diversas realizadas.</t>
  </si>
  <si>
    <t xml:space="preserve">Promover 2 movilizaciones contra las violencias hacia las mujeres.                                         </t>
  </si>
  <si>
    <t xml:space="preserve">Número de movilizaciones  contra las violencias hacia las mujeres promovidas.                                       </t>
  </si>
  <si>
    <t>Conmemorar 8 fechas emblemáticas en torno al derecho a una vida libre de violencias.</t>
  </si>
  <si>
    <t>Número de fechas emblemáticas en torno al derecho a una vida libre de violencias conmemoradas.</t>
  </si>
  <si>
    <t xml:space="preserve">Implementar 7 mesas de trabajo con el sector salud que movilicen la creación de Casas Refugio ( en las 7 subregiones).  </t>
  </si>
  <si>
    <t>Número de mesas de trabajo con el sector salud que movilicen la creación de Casas Refugio ( en las 7 subregiones) implementadas.</t>
  </si>
  <si>
    <t xml:space="preserve">Aumentar en el 20% de las Comisarías de familia (una por subregión) las competencias de sus funcionarios para la intervención efectiva en casos de violencias basadas en género </t>
  </si>
  <si>
    <t xml:space="preserve">Porcentaje de las Comisarías de familia (una por subregión) con competencias de sus funcionarios para la intervención efectiva en casos de violencias basadas en género aumentado </t>
  </si>
  <si>
    <t>Capacitar al 100% de las comisarías de familia en herramientas para la atención y protección de las mujeres de acuerdo a lo establecido en la ley 1257/2008</t>
  </si>
  <si>
    <t>Porcentaje de comisarías de familia capacitadas en herramientas para la atención y protección de las mujeres de acuerdo a lo establecido en la ley 1257 /2008</t>
  </si>
  <si>
    <t>Incrementar en un 5% la participación política de las mujeres en las elecciones 2019 frente a las participantes en el 2015</t>
  </si>
  <si>
    <t xml:space="preserve">Porcentaje de participación política de las mujeres en las elecciones 2019 frente a las participantes en el 2015 incrementado </t>
  </si>
  <si>
    <t xml:space="preserve">1106 mujeres inscritas en el año 2015 – Registraduria Nacional </t>
  </si>
  <si>
    <t>Fortalecimiento a la participación social y política  de las mujeres</t>
  </si>
  <si>
    <t>Aumentar la participación de las mujeres en espacios políticos y político comunitarios para incidir en los temas de su interés.</t>
  </si>
  <si>
    <t xml:space="preserve">Capacitar 1260 mujeres con herramientas que les permita participar en procesos políticos electorales </t>
  </si>
  <si>
    <t>Número de mujeres capacitadas con herramientas que les permita participar en procesos políticos electorales</t>
  </si>
  <si>
    <t>Escuela itinerante de formación política y organizativa de las mujeres para el empoderamiento económico y construcción de paz</t>
  </si>
  <si>
    <t>18 Municipios</t>
  </si>
  <si>
    <t>Norte, Sur, Oriente,Bota Caucana, Centro costa pacifica , macizo</t>
  </si>
  <si>
    <t>Incrementar en 5 % la participación política de las mujeres en escenarios sociales y comunitarios</t>
  </si>
  <si>
    <t xml:space="preserve">Porcentaje de la participación política de las mujeres en escenarios sociales y comunitarios incrementado </t>
  </si>
  <si>
    <t xml:space="preserve">Juntas de acción comunal electas en el año 2016 – consejos comunitarios y cabildos existentes </t>
  </si>
  <si>
    <r>
      <rPr>
        <sz val="11"/>
        <rFont val="Calibri"/>
        <family val="2"/>
      </rPr>
      <t xml:space="preserve">Poner en marcha la Escuela Itinerante de Formación en Derechos y Formación Política con enfoque de Paz </t>
    </r>
    <r>
      <rPr>
        <sz val="11"/>
        <rFont val="Calibri"/>
        <family val="2"/>
        <scheme val="minor"/>
      </rPr>
      <t xml:space="preserve">
</t>
    </r>
  </si>
  <si>
    <r>
      <rPr>
        <sz val="11"/>
        <rFont val="Calibri"/>
        <family val="2"/>
      </rPr>
      <t>Escuela Itinerante de Formación en Derechos y Formación Política con enfoque de Paz puesta en marcha</t>
    </r>
    <r>
      <rPr>
        <sz val="11"/>
        <rFont val="Calibri"/>
        <family val="2"/>
        <scheme val="minor"/>
      </rPr>
      <t xml:space="preserve">
</t>
    </r>
  </si>
  <si>
    <t>Escuela itinerante de formación política y organizativa de las mujeres para el empoderamiento económico y construcción de paz.</t>
  </si>
  <si>
    <t>Norte, Sur, oriente, occidente, centro costa pacifica , macizo</t>
  </si>
  <si>
    <t xml:space="preserve">Capacitar a 1260 mujeres, 30 por municipio, cuentan con herramientas para la promoción y defensa de los derechos humanos de las mujeres en los diferentes escenarios de participación y decisión social y política.                                                        
</t>
  </si>
  <si>
    <t xml:space="preserve">Número de mujeres con herramientas para la promoción y defensa de los derechos humanos en los diferentes escenarios de participación y decisión social y política  capacitadas                                                  
</t>
  </si>
  <si>
    <t>Poner en marcha 21 mecanismos de género para la inclusión de los intereses y necesidades de las mujeres en las agendas públicas y para la promoción de la participación política y ciudadana de las mujeres</t>
  </si>
  <si>
    <t xml:space="preserve">Número de mecanismos de género para la inclusión de los intereses y necesidades de las mujeres en las agendas públicas y para la promoción de la participación política y ciudadana de las mujeres puestos en marcha </t>
  </si>
  <si>
    <t>18 Mecanismos (353 mujeres)</t>
  </si>
  <si>
    <t>Aumentar a 150 el número de organizaciones de mujeres, (en las diferentes sub-regiones del departamento) con plan de mejoramiento para incrementar su Índice de Capacidad Organizativa</t>
  </si>
  <si>
    <t>Número de organizaciones de mujeres, (en las diferentes sub-regiones del departamento) con plan de mejoramiento para incrementar su Índice de Capacidad Organizativa</t>
  </si>
  <si>
    <t>12 Organizaciones de mujeres con Plan de Mejoramiento</t>
  </si>
  <si>
    <t>Autonomía y empoderamiento económico para las mujeres.</t>
  </si>
  <si>
    <t>Gestionar oportunidades para mujeres frente al acceso de activos y  generación de ingresos constantes encaminados a lograr su autonomía económica.</t>
  </si>
  <si>
    <t>Caracterizar 150 organizaciones de mujeres para el establecimiento del índice de capacidad organizativa en las diferentes sub-regiones del departamento</t>
  </si>
  <si>
    <t>Número de organizaciones de mujeres caracterizadas para el establecimiento del índice de capacidad organizativa en las diferentes sub-regiones del departamento</t>
  </si>
  <si>
    <t>Apoyo para el empoderamiento económico de la mujer del Cauca, subregiones norte, centro y macizo del Departamento del cauca</t>
  </si>
  <si>
    <t>Tambo, Corinto y  Rosas</t>
  </si>
  <si>
    <t>3 Subregiones: Norte Centro Macizo</t>
  </si>
  <si>
    <t xml:space="preserve">Realizar 150 talleres de capacitación a mujeres sobre medición de su Índice de Capacidad Organizativa -ICO y formulación de Planes de Mejoramiento </t>
  </si>
  <si>
    <t xml:space="preserve">Número de talleres de capacitación a mujeres sobre medición de su Índice de Capacidad Organizativa -ICO y formulación de Planes de Mejoramiento realizados </t>
  </si>
  <si>
    <t>Apoyo para el empoderamiento económico de la mujer del Cauca, Occidente.</t>
  </si>
  <si>
    <t>Formular 150 planes de mejoramiento con base en los resultados de la caracterización</t>
  </si>
  <si>
    <t xml:space="preserve">Número de planes de mejoramiento con base en los resultados de la caracterización formulados  </t>
  </si>
  <si>
    <t>Mejorar en las 7 sub-regiones del departamento las condiciones de las organizaciones de las mujeres que cuentan con herramientas de gestión para mejorar su nivel de ingresos a través  de emprendimientos productivos de impacto sub-regional</t>
  </si>
  <si>
    <t xml:space="preserve">Número de sub-regiones del departamento con las condiciones de las organizaciones de las mujeres que cuentan con herramientas de gestión para mejorar su nivel de ingresos a través  de emprendimientos productivos de impacto sub-regional mejoradas </t>
  </si>
  <si>
    <t xml:space="preserve">Capacitar a 1260 mujeres con vocación de producción en fortalecimiento socio-empresarial                                                                                                            </t>
  </si>
  <si>
    <t>Número de mujeres con vocación de producción en fortalecimiento socio-empresarial capacitadas</t>
  </si>
  <si>
    <t xml:space="preserve">Realizar 4 ferias de intercambios de experiencias ejemplificantes en procesos de producción y comercialización, con mujeres con vocación de producción                                                                                                                                       </t>
  </si>
  <si>
    <t>Número de ferias de intercambios de experiencias ejemplificantes en procesos de producción y comercialización, con mujeres con vocación de producción realizadas</t>
  </si>
  <si>
    <t xml:space="preserve">Impulsar 10 emprendimientos de organizaciones de mujeres </t>
  </si>
  <si>
    <t xml:space="preserve">Número de emprendimientos de organizaciones de mujeres impulsados </t>
  </si>
  <si>
    <t>Formular 7 perfiles de proyectos productivos en conjunto con las organizaciones de mujeres</t>
  </si>
  <si>
    <t xml:space="preserve">Número de perfiles de proyectos productivos en conjunto con las organizaciones de mujeres formulados </t>
  </si>
  <si>
    <t xml:space="preserve">Aumentar en un 50% el conocimiento de las mujeres sobre el proceso de paz y los acuerdos de la mesa de negociación de la Habana </t>
  </si>
  <si>
    <t>Porcentaje del conocimiento de las mujeres sobre el proceso de paz y los acuerdos de la mesa de negociación de la Habana</t>
  </si>
  <si>
    <t xml:space="preserve">Mujeres A-portantes de paz y reconciliación </t>
  </si>
  <si>
    <t>Favorecer espacios de dialogo y memoria que aporten a la construcción de paz desde las miradas y sentires de las mujeres.</t>
  </si>
  <si>
    <r>
      <t>Implementar 4</t>
    </r>
    <r>
      <rPr>
        <sz val="11"/>
        <rFont val="Calibri"/>
        <family val="2"/>
      </rPr>
      <t xml:space="preserve"> </t>
    </r>
    <r>
      <rPr>
        <sz val="11"/>
        <rFont val="Calibri"/>
        <family val="2"/>
        <scheme val="minor"/>
      </rPr>
      <t xml:space="preserve">estrategias de re significación del territorio y construcción de memoria histórica contada por las Mujeres como acciones para la no repetición
</t>
    </r>
  </si>
  <si>
    <t xml:space="preserve">Número de estrategias de re significación del territorio y construcción de memoria histórica contada por las Mujeres como acciones para la no repetición implementadas 
</t>
  </si>
  <si>
    <t>Aporte de la Mujer a la Paz del Departamento del [Cauca</t>
  </si>
  <si>
    <t>3 municipios : Caldono, Buenos Aires, y Miranda</t>
  </si>
  <si>
    <t>Apoyar 4 iniciativas desarrolladas por organizaciones de mujeres víctimas del conflicto en torno a la paz y reconstrucción del tejido social</t>
  </si>
  <si>
    <t xml:space="preserve">Número de iniciativas desarrolladas por organizaciones de mujeres víctimas del conflicto en torno a la paz y reconstrucción del tejido social apoyadas </t>
  </si>
  <si>
    <t>Promover 1 procesos (uno con mujeres afro y otro con mujeres indígenas) para la reconstrucción del tejido social, desde sus procesos socioculturales, saberes ancestrales, y prácticas culturales</t>
  </si>
  <si>
    <t>Número de procesos (con mujeres indígenas y afros) para la reconstrucción del tejido social, desde sus procesos socioculturales, saberes ancestrales, y prácticas culturales promovidos</t>
  </si>
  <si>
    <t xml:space="preserve">Número de procesos (con mujeres indígenas y afros) para la </t>
  </si>
  <si>
    <t>Capacitar 4000 mujeres en los contenidos de los acuerdos de paz y la normatividad vigente que tenga relación con las mujeres víctimas del conflicto armado</t>
  </si>
  <si>
    <t xml:space="preserve">Número de mujeres en los contenidos de los acuerdos de paz y la normatividad vigente que tenga relación con las mujeres víctimas del conflicto armado capacitadas </t>
  </si>
  <si>
    <t>Mujeres A-portantes de paz y reconciliación  OJO ES DE TRANSVERSALIZACION DE ENFORME DE GENERO</t>
  </si>
  <si>
    <t>Poner en marcha el Observatorio de asuntos de género y derechos humanos de las mujeres mediante un proceso de articulación institucional</t>
  </si>
  <si>
    <t xml:space="preserve">Observatorio de asuntos de género y derechos humanos de las mujeres mediante un proceso de articulación institucional puesto en marcha </t>
  </si>
  <si>
    <t>7 subrregiones</t>
  </si>
  <si>
    <t>Incluir en el 80 % de los proyectos viabilizados por el Banco de Programas y Proyectos del Departamento formulados por las Secretarías el enfoque de género</t>
  </si>
  <si>
    <t xml:space="preserve">Porcentaje de los proyectos viabilizados por el Banco de Programas y Proyectos del Departamento formulados por las Secretarías el enfoque de género incluido </t>
  </si>
  <si>
    <t>Transversalización del enfoque de género y fortalecimiento institucional</t>
  </si>
  <si>
    <t>Fortalecer la administración Departamental para la transversalización del enfoque de género.</t>
  </si>
  <si>
    <t xml:space="preserve">Conformar un equipo con delegados de cada una de las Secretarías y Oficinas Asesoras para poner en marcha acciones de transversalización y el fortalecimiento del enfoque de género en cada una de las dependencias de la Gobernación del Cauca.                       </t>
  </si>
  <si>
    <t xml:space="preserve">Equipo con delegados de cada una de las Secretarías y Oficinas Asesoras para poner en marcha acciones de transversalización y el fortalecimiento del enfoque de género en cada una de las dependencias de la Gobernación del Cauca conformado   </t>
  </si>
  <si>
    <t>Transversalizacion del Enfoque de Genero en el Departamento del Cauca</t>
  </si>
  <si>
    <t xml:space="preserve"> Implementar un plan de capacitación sobre enfoque de género dirigido a funcionarias y funcionarios de las Secretarías y Oficinas Asesoras </t>
  </si>
  <si>
    <t xml:space="preserve">Número de planes de capacitación sobre enfoque de género dirigido a funcionarias y funcionarios de las Secretarías y Oficinas Asesoras implementado </t>
  </si>
  <si>
    <t xml:space="preserve">Implementar 4 planes para la transversalización del enfoque de género que incluyan acciones en cada Secretaría y Oficina Asesora de la Administración Departamental. </t>
  </si>
  <si>
    <t xml:space="preserve">Número de planes para la transversalización del enfoque de género que incluyan acciones en cada Secretaría y Oficina Asesora de la Administración Departamental implementados </t>
  </si>
  <si>
    <t>Institucionalizar el Sello de buenas prácticas de equidad de género</t>
  </si>
  <si>
    <t xml:space="preserve">Sello de buenas prácticas de equidad de género institucionalizado </t>
  </si>
  <si>
    <t>Aumentar en 50% el conocimiento sobre derechos sexuales y reproductivos en el 80% de los y las participantes de campañas que impulse la Secretaría de la Mujer</t>
  </si>
  <si>
    <t xml:space="preserve">Porcentaje del conocimiento sobre derechos sexuales y reproductivos en el 80% de los y las participantes de campañas que impulse la Secretaría de la Mujer </t>
  </si>
  <si>
    <t>Mujer, salud, derechos sexuales y reproductivos</t>
  </si>
  <si>
    <t>Desarrollar estrategias de prevención para la promoción de los derechos sexuales y reproductivos.</t>
  </si>
  <si>
    <t xml:space="preserve">Realizar 4 campañas para prevención de cáncer de cuello uterino                                                     </t>
  </si>
  <si>
    <t xml:space="preserve">Número de campañas para prevención de cáncer de cuello uterino realizadas                                                     </t>
  </si>
  <si>
    <t>Mujer Derechos secuales y reproductivos</t>
  </si>
  <si>
    <t>6 : Inza, Paez, Totoró, Guapi, Timbiqui, Lopez de Micay</t>
  </si>
  <si>
    <t>Oriente y Costa Pacifica</t>
  </si>
  <si>
    <t xml:space="preserve">Realizar 4 campañas para prevención de cáncer de seno                                          </t>
  </si>
  <si>
    <t xml:space="preserve">Número de campañas para prevención de cáncer de seno realizadas                                                                                       </t>
  </si>
  <si>
    <t xml:space="preserve">Realizar 4 campañas para prevenir el contagio de enfermedades e infecciones de transmisión sexual en mujeres                                         </t>
  </si>
  <si>
    <t xml:space="preserve">Número de campañas para prevenir el contagio de enfermedades e infecciones de transmisión sexual en mujeres realizadas                                                                               </t>
  </si>
  <si>
    <t>Realizar 4 campañas para la prevención del embarazo adolescente y embarazo subsiguiente</t>
  </si>
  <si>
    <t xml:space="preserve">Número de campañas para la prevención del embarazo adolescente y embarazo subsiguiente realizadas                                                     </t>
  </si>
  <si>
    <t xml:space="preserve">Realizar 7 Conversatorios con grupos, organizaciones y/o redes de mujeres sobre sexualidad y derechos sexuales y reproductivos </t>
  </si>
  <si>
    <t xml:space="preserve">Número de conversatorios con grupos, organizaciones y/o redes de mujeres sobre sexualidad y derechos sexuales y reproductivos realizadas                                                      </t>
  </si>
  <si>
    <t xml:space="preserve">Mujer, salud, derechos sexuales y reproductivos </t>
  </si>
  <si>
    <t xml:space="preserve"> Realizar 3 jornadas de capacitación dirigidas a las ESE´s del Departamento del Cauca y a operadores de justicia en la Sentencia 355 del 2008 (Interrupción Voluntaria del Embarazo – IVE)</t>
  </si>
  <si>
    <t xml:space="preserve">Número de jornadas de capacitación dirigidas a las ESE´s del Departamento del Cauca y a operadores de justicia en la Sentencia 355 del 2008 (Interrupción Voluntaria del Embarazo – IVE) realizadas                                                      </t>
  </si>
  <si>
    <r>
      <t xml:space="preserve">PLAN DE ACCION 
OFICINA DE GESTION SOCIAL Y ASUNTOS POBLACIONALES
</t>
    </r>
    <r>
      <rPr>
        <b/>
        <sz val="14"/>
        <rFont val="Arial"/>
        <family val="2"/>
      </rPr>
      <t>2017</t>
    </r>
  </si>
  <si>
    <t xml:space="preserve">DEPENDENCIA RESPONSABLE: OFICINA DE GESTION SOCIAL Y ASUNTOS POBLACIONALES </t>
  </si>
  <si>
    <t xml:space="preserve">                                                     </t>
  </si>
  <si>
    <t>RECURSOS PROGRAMADOS POR META VIGENCIA 2016  2 proyecto</t>
  </si>
  <si>
    <t>PROYECTO 2017</t>
  </si>
  <si>
    <t>MUNICIPIOS 2016</t>
  </si>
  <si>
    <t>MUNICIPIOS 2017</t>
  </si>
  <si>
    <t>MUNICIPIOS 2018</t>
  </si>
  <si>
    <t>MUNICIPIOS 2019</t>
  </si>
  <si>
    <t>ACTIVIDAD</t>
  </si>
  <si>
    <t xml:space="preserve">Implementar 1 estrategia de socialización de la política publica de primera infancia, infancia y adolescencia </t>
  </si>
  <si>
    <t>Número de estrategias de socialización de la política publica de primera infancia, infancia y adolescencia Implementadas</t>
  </si>
  <si>
    <t>Caucas todos y todas por la infancia y la adolescencia</t>
  </si>
  <si>
    <t>Socializar e Implementar la política pública Departamental de primera infancia, infancia y adolescencia y fortalecer su articulación interinstitucional en beneficio del sector</t>
  </si>
  <si>
    <t xml:space="preserve"> Crear y fortalecer el Consejo Temático de Primera Infancia, Infancia y Adolescencia </t>
  </si>
  <si>
    <t xml:space="preserve">  Consejo Temático de Primera Infancia, Infancia y Adolescencia creado y fortalecido</t>
  </si>
  <si>
    <t xml:space="preserve">Dos consejos temáticos,
 uno de primera infancia e infancia y
 otro de adolescencia trabajando 
de manera independiente sin seguimiento de la administración
 y con muy pocas entidades comprometidas </t>
  </si>
  <si>
    <t>Fortalecer el Consejo tematico de Primera infancia, infancia y adolescencia</t>
  </si>
  <si>
    <t>Consejo tematico de Primera infancia, infancia y adolescencia fortalecido</t>
  </si>
  <si>
    <t>Implementacion de una estrategia para la institucionalizacion de la politica publica de primera infancia, infancia y adolescencia del departamento del Cauca"</t>
  </si>
  <si>
    <t>Norte, sur, Centro, Macizo, Pacifico, Piedemonte</t>
  </si>
  <si>
    <t>Instituciones departamentales referentes de primera infancia, infancia adolescencia y familia</t>
  </si>
  <si>
    <t xml:space="preserve">12 Talleres de capacitación dirigido a miembros del consejo temático de primera infancia, infancia y adolescencia. </t>
  </si>
  <si>
    <t>Adriana Quina- Coordinadora de PIIA- Contratista</t>
  </si>
  <si>
    <t xml:space="preserve">Realizar 42 talleres en los municipios para la implementación de la política pública departamental de primera infancia, infancia y adolescencia </t>
  </si>
  <si>
    <t xml:space="preserve">Número de talleres en los municipios para la implementación de la política pública departamental de primera infancia, infancia y adolescencia realizados </t>
  </si>
  <si>
    <t xml:space="preserve">Socialización de la  politica publica de PIIA  con los Referentes de Primera Infancia, Infancia y Adolescencia,  Gestoras Sociales en 15 municipios  y demas actores sociales. </t>
  </si>
  <si>
    <t>Socializada la Politica publica de PIIA  con los Referentes de Primera Infancia, Infancia y Adolescencia,  Gestoras Sociales en 15 municipios del departamento y demas actores sociales.</t>
  </si>
  <si>
    <t>2016-019000-0041( $22.400.000)</t>
  </si>
  <si>
    <t>San Sebastián, Piendamo, La Sierra, Purace, Jambaló, Caloto,Miranda, Totoro, López, Balboa, Argelia,Cajibio, El Tambo,Sucre y Sotara.</t>
  </si>
  <si>
    <t xml:space="preserve">Instituciones municipales referentes de primera infancia, infancia y adolescencia, gestoras sociales de los  municipios y  Lideres, lideresas de la comunidad  </t>
  </si>
  <si>
    <t xml:space="preserve">Talleres de socialización de la PPIIA </t>
  </si>
  <si>
    <t>Registros civiles y tarjetas de identidad expedidos.</t>
  </si>
  <si>
    <t>Adriana Quina - Coordinadora de PIIA- Contratista</t>
  </si>
  <si>
    <t>Se recibirá apoyo para la socializacion de la Politica publica de PIIA, por parte del Consejo tematico de PIIA.</t>
  </si>
  <si>
    <t xml:space="preserve">Implementar 1 ruta de atención integral departamental dirigida a niños, niñas y adolescentes. </t>
  </si>
  <si>
    <t>Número de rutas de atención integral departamental dirigida a niños, niñas y adolescentes implementadas</t>
  </si>
  <si>
    <t xml:space="preserve">Socializacion  de las rutas  de atencion integral para la primera infancia, infancia,  y adolescencia. </t>
  </si>
  <si>
    <t xml:space="preserve">Rutas de atencion in tegral para PIIA socializada </t>
  </si>
  <si>
    <t xml:space="preserve">Santa Rosa, Morales, Silvia, Rosas, Caldono, Corinto, Cuachene, Paez, Timbiqui, Bolivar, Florencia, Mercaderes, Toribio, Timbio y Padilla </t>
  </si>
  <si>
    <t xml:space="preserve">Referentes de Primera infancia, infancia y adolescencia,gestoras sociales, liders y liderezas de los municipios. </t>
  </si>
  <si>
    <t xml:space="preserve">realizar  15 talleres de  socializacion  de las rutas  de atencion integral para la primera infancia, infancia,  y adolescencia en las subregiones con los r eferentes de Primera infancia, infancia y adolescencia,gestoras sociales, liders y liderezas de  estos municipios. </t>
  </si>
  <si>
    <t>La socializacion estara apoyada por el Consejo tematico de PIIA</t>
  </si>
  <si>
    <t xml:space="preserve">Poner en marcha 1 consejo departamental participativo de Infancia y adolescencia. </t>
  </si>
  <si>
    <t>Consejo participativo departamental de Infancia y adolescencia puesto en marcha</t>
  </si>
  <si>
    <t xml:space="preserve">Talleres capacitación sobre la estrategia de participación para crear los consejos de participación de infancia y adolescencia </t>
  </si>
  <si>
    <t xml:space="preserve">Talleres capacitación sobre la estrategia de participación para crear los consejos de participación de infancia y adolescencia , realizados </t>
  </si>
  <si>
    <t>2016-019000-0041 ($ 16.000.000)</t>
  </si>
  <si>
    <t>Santa Rosa, Balboa, Patia, Guapi, Inza, La Vega, Jambalo, Caloto, Puerto Tejada, Villa Rica, Corinto, Guachene, Paez , Purace y Suarez</t>
  </si>
  <si>
    <t>Norte, Centro, Macizo, Sur, Piedemonte, Oriente y Pacifico</t>
  </si>
  <si>
    <t>Niños, niñas y Adolescentes</t>
  </si>
  <si>
    <t>7 talleres dirigidos a 280 niños, niñas y adolescentes formados para el fomento de liderazgo ejecutado en 7 municipios del Cauca que son: Santander de Quilichao, Argelia, El Tambo, Guapi, Piamonte, La Vega y Páez. Ejecutado</t>
  </si>
  <si>
    <t>Relizar Talleres capacitación sobre la estrategia de participación para crear los consejos de participación de infancia y adolescencia  y apoyo a su creacion a 15 municipios del departamento.</t>
  </si>
  <si>
    <t>Implementar 1 estrategia permanente de prevención de todo tipo de violencia contra la población infantil</t>
  </si>
  <si>
    <t xml:space="preserve">Número de estrategias permanentes de prevención de todo tipo de violencia contra la población infantil implementadas </t>
  </si>
  <si>
    <t>Porcentaje de niños, niñas y adolescentes victimas de acto terrorista, atentados, combates y hostigamientos en el 214 fue de 0.79 %.</t>
  </si>
  <si>
    <t>Cauca en paz para nuestros niños y niñas</t>
  </si>
  <si>
    <t xml:space="preserve">Potencializar la cultura de paz, resolución de conflictos y los componentes de formación integral haciendo énfasis en los valores como estrategia para la prevención y promoción de espacios libres de violencia y conflicto.  </t>
  </si>
  <si>
    <t>Realizar 42 talleres en municipios de socialización e implementación de las rutas de prevención temprana, urgente y en protección del reclutamiento de niños, niñas y adolescentes.</t>
  </si>
  <si>
    <t>Número de talleres municipales para la socialización e implementación de las rutas de prevención temprana, urgente y en protección del reclutamiento de niños, niñas y adolescentes realizados</t>
  </si>
  <si>
    <t>Talleres de socialización de las rutas  de prevención temprana, urgente y en protección del reclutamiento de niños, niñas y adolescentes</t>
  </si>
  <si>
    <t>Talleres de socialización de las rutas  de prevención temprana, urgente y en protección del reclutamiento de niños, niñas y adolescentes, realizada</t>
  </si>
  <si>
    <t>Implementacion de una estrategia de prevencion y cultura para el fomento de la no violencia a la poblacion infantil.</t>
  </si>
  <si>
    <t>2016-019000-0041 ($ 19.366.667)</t>
  </si>
  <si>
    <t xml:space="preserve">Cajibio, Morales, Lopez de Micay, Florencia, Sucre, Almaguer, Inza, Jambalo, Morales, Caldono, Piamonte, Corinto, Sotara, Puerto Tejada, Balboa.  </t>
  </si>
  <si>
    <t xml:space="preserve">Centro, Norte, Oriente, Macizo, Su </t>
  </si>
  <si>
    <t xml:space="preserve">Instituciones municipales referentes de primera infancia, infancia y adolescencia y gestoras sociales de los municipios, lideres, lideresas y demas actores sociales. </t>
  </si>
  <si>
    <t xml:space="preserve">Realizar talleres de socialización de las rutas  de prevención temprana, urgente y en protección del reclutamiento de niños, niñas y adolescentes en 15 municipios del departamento,  con mayores índices de reclutamiento de niños, niñas y adolescentes, dirigido a las instituciones y referentes de primera infancia, infancia y adolescencia de dichos municipios. </t>
  </si>
  <si>
    <t>Realizar 42 capacitaciones en los municipios para el fortalecimiento de la comunidad como entorno protector para los niños y las niñas</t>
  </si>
  <si>
    <t xml:space="preserve">Número de capacitaciones en los municipios para el fortalecimiento de la comunidad como entorno protector para los niños y las niñas realizados </t>
  </si>
  <si>
    <t>Talleres de capacitación en 15 municipios para  el fortalecimiento de la comunidad como entorno protector para los niños y las niñas</t>
  </si>
  <si>
    <t>Talleres de capacitación en 15 municipios para  el fortalecimiento de la comunidad como entorno protector para los niños y las niñas, realizados</t>
  </si>
  <si>
    <t xml:space="preserve"> Paez, Caldono, Guapi, Patia, Bolivar, Totoro, Purace, Silvia, Rosas, Piendamo, Toribio, Padilla, Guachene, Caloto, Argelia. </t>
  </si>
  <si>
    <t>Centro, Norte, Oriente, Macizo</t>
  </si>
  <si>
    <t>Instituciones municipales referentes de primera infancia, infancia y adolescencia, Lideres y lideresas de la comunidad  y gestoras sociales del municipio.</t>
  </si>
  <si>
    <t xml:space="preserve">Se realizaran 15 talleres de capacitación que  tienen como objetivo brindar herramientas para  fortalecer  la comunidad como entorno protector para los niños y las niñas. </t>
  </si>
  <si>
    <t>Realizar 1 campaña permanente de prevención de todo tipo de violencia contra la población infantil</t>
  </si>
  <si>
    <t xml:space="preserve"> Campaña permanente de prevención de todo tipo de violencia contra la población infantil realizada      </t>
  </si>
  <si>
    <t>Estrategia de Prevención de los diferentes tipos de violencia que se presentan en los NNA con una metodología de cultura de paz.</t>
  </si>
  <si>
    <t>Estrategia de Prevención de los diferentes tipos de violencia que se presentan en los NNA con una metodología de cultura de paz,realizada</t>
  </si>
  <si>
    <t xml:space="preserve">Totoro, Mercaderes, Sucre, Buenos Aires, Villa Rica, Rosas, Piamonte, Santander de Quilichao, la Vega, Paez, Bolívar, Corinto, Piendamo, Miranda y Almaguer.  </t>
  </si>
  <si>
    <t>Centro, Norte, Oriente, Macizo, Sur y Pacifico</t>
  </si>
  <si>
    <t>Niños, niñas y Adolescentes,comunidad educativa y ppadres de familia</t>
  </si>
  <si>
    <t>Estrategia mediante una metodológica denominada “metodología de cultura de paz” , implemendor acciones para el fomento de la paz,  dirigida a instituciones educativas, especialmente comunidad docente, quienes recibirán a través de un profesional talleres participativos de formación de cultura de Paz y se entregaran inicipativas deportivas a los NNA</t>
  </si>
  <si>
    <t xml:space="preserve">Implementar 1 Estrategia de Prevención de Embarazos y promoción de los derechos sexuales y reproductivos en adolecentes </t>
  </si>
  <si>
    <t>Número de Estrategia de Prevención de Embarazos y promoción de los derechos sexuales y reproductivos en adolecentes implementadas</t>
  </si>
  <si>
    <t>23,98%. Porcentaje de  embarazo en adolescentes en el Departamento - Año 2013</t>
  </si>
  <si>
    <t>Adolescente: Yo pienso en ti</t>
  </si>
  <si>
    <t xml:space="preserve">Atender la población adolescente, con acciones de prevención de embarazos  a temprana edad,  apoyo en construcción de proyectos de vida,  articulación para la aplicación del sistema nacional de responsabilidad penal y acciones de prevención de consumo de sustancias psicoactivas. </t>
  </si>
  <si>
    <t>Implementar 1 estrategia de dinamización para Comité Coordinador Departamental del Sistema Nacional de Responsabilidad Penal para Adolescentes</t>
  </si>
  <si>
    <t xml:space="preserve">Número estrategia de dinamización para Comité Coordinador Departamental del Sistema Nacional de Responsabilidad Penal para Adolescentes implementadas </t>
  </si>
  <si>
    <t>Sesiones del comité Departamental del sistema nacional de coordinación de Responsabilidad penal para adolescentes apoyadas con talleres en materia conceptual y contextual, para su fortalecimiento.</t>
  </si>
  <si>
    <t>Sesiones del comité Departamental del sistema nacional de coordinación de Responsabilidad penal para adolescentes apoyadas con talleres en materia conceptual y contextual, para su fortalecimiento, realizadas</t>
  </si>
  <si>
    <t xml:space="preserve"> Estrategia Integral Para El Fomento De Un Libre Desarrollo  Adolescente </t>
  </si>
  <si>
    <r>
      <t>Popayán, Santander de Quilichao, Caloto, Patía, Bolívar, Guapi, Silvia, Puerto Tejada</t>
    </r>
    <r>
      <rPr>
        <i/>
        <sz val="12"/>
        <color theme="1"/>
        <rFont val="Calibri"/>
        <family val="2"/>
        <scheme val="minor"/>
      </rPr>
      <t xml:space="preserve"> </t>
    </r>
  </si>
  <si>
    <t xml:space="preserve">Referentes de infancia y adolescencia,gestoras sociales, lideres y liderezas de los municipios. </t>
  </si>
  <si>
    <t>Fortalecimiento del comité Departamental del sistema nacional de coordinación de Responsabilidad penal para adolescentes a través del apoyo en conceptualización y contextualización durante 6 sesiones del mismo con el objetivo fortalecer las capacidades del comité , además la realización de un diagnóstico de la Oferta institucional (programas disponibles infraestructura, capacidad técnica y humana, etc) con que cuenten el Departamento</t>
  </si>
  <si>
    <t xml:space="preserve">    Realizar 42 talleres de socialización y adaptación en los municipios de la estrategia nacional de atención integral para la prevención de embarazos en adolescentes</t>
  </si>
  <si>
    <t>Número de talleres de socialización y adaptación en los municipios de la estrategia nacional de atención integral para la prevención de embarazos en adolescentes realizados</t>
  </si>
  <si>
    <t>15 Talleres de socialización  y adaptación de la estrategia nacional de atención integral para la prevención de embarazos en adolescentes dirigido a las instituciones y referentes de infancia y adolescencia de los municipios priorizados .</t>
  </si>
  <si>
    <t>Talleres de socialización  y adaptación de la estrategia nacional de atención integral para la prevención de embarazos en adolescentes dirigido a las instituciones y referentes de infancia y adolescencia de los municipios priorizados , realizados.</t>
  </si>
  <si>
    <t>Timbio, Caloto, Villa Rica, Silvia, Piendamo, Totoro, Morales, La sierra, Sotara, Miranda, Suarez, Cajibio, Santa Rosa, Bolivar y Corinto.</t>
  </si>
  <si>
    <t xml:space="preserve">Sur, Norte, Centro,Macizo </t>
  </si>
  <si>
    <t>Instituciones de los municipios referentes de los adolescentes, Gestoras sociales.</t>
  </si>
  <si>
    <t xml:space="preserve">Se realizara talleres de socialización  y adaptación de la estrategia nacional de atención integral para la prevención de embarazos en adolescentes dirigido a las instituciones y referentes de infancia y adolescencia de los municipios priorizados ..Las temáticas y la estructura de contenido de los talleres será definida conforme a las condiciones particulares de cada territorio. </t>
  </si>
  <si>
    <t xml:space="preserve">Implementar 1 programa de formación en derechos sexuales y reproductivos dirigido a diferentes sectores de los 42 municipios </t>
  </si>
  <si>
    <t xml:space="preserve">Número de programas de formación en derechos sexuales y reproductivos dirigido a diferentes sectores de los 42 municipios implementados </t>
  </si>
  <si>
    <t>Talleres de formación en derechos sexuales y reproductivos</t>
  </si>
  <si>
    <t>Talleres de formación en derechos sexuales y reproductivos, realizados</t>
  </si>
  <si>
    <t>Adolescentes</t>
  </si>
  <si>
    <t>Realizar un taller para formacion en los derechos sexuales y reproductivos dirigido a los personeritos y adolescentes  lideres y lideresas .</t>
  </si>
  <si>
    <t>Realizar 4 Jornadas de movilización acompañadas de campañas comunicativas permanentes sobre sexualidad y prevención de embarazo en adolescentes</t>
  </si>
  <si>
    <t xml:space="preserve">Número de Jornadas de movilización acompañadas de campañas comunicativas permanentes sobre sexualidad y prevención de embarazo en adolescentes realizadas  </t>
  </si>
  <si>
    <t xml:space="preserve"> 1 Jornada de movilización y  campañas comunicativas en el mes de septiembre de 2015</t>
  </si>
  <si>
    <t>Realizar 1 Jornadas de movilización  sobre sexualidad y prevención de embarazo en adolescentes</t>
  </si>
  <si>
    <t>1 Jornadas de movilización  sobre sexualidad y prevención de embarazo en adolescentes. Realizada.</t>
  </si>
  <si>
    <t>Timbio, Piendamo, Morales, Silvia, Sotara, Cajibio, El Tambo</t>
  </si>
  <si>
    <t>1  Jornada de movilizacion   sobre sexualidad y prevención de embarazo en adolescentes dirigidos a estudiantes de diferentes instituciones educativas de los municipios de la subregion del centro</t>
  </si>
  <si>
    <t xml:space="preserve">Implementar 1 plan de apoyo para la realización de proyecto de vida de mujeres y hombres adolecentes beneficiados con el programa ¨Adolecente pienso en ti¨   </t>
  </si>
  <si>
    <t>Número de planes de apoyo para la realización de proyecto de vida de mujeres y hombres adolecentes beneficiados con el programa ¨Adolecente pienso en ti¨ implementados</t>
  </si>
  <si>
    <t>Poner en marcha 1 programa de ocupación del tiempo libre para adolescentes a través de acciones lúdicas, recreativas, artísticas y deportivas</t>
  </si>
  <si>
    <t>Número de programas de ocupación del tiempo libre para adolescentes a través de acciones lúdicas, recreativas, artísticas y deportivas en marcha</t>
  </si>
  <si>
    <t>Campaña para Incentivar  e implementar los juegos tradicionales.</t>
  </si>
  <si>
    <t>Campaña para Incentivar  e implementar los juegos tradicionales, realizada</t>
  </si>
  <si>
    <t>2016-019000-0041 ($56.100.000)</t>
  </si>
  <si>
    <t>Guachene, El Tambo, Morales, , San Sebastian, Patia, Argelia, Corinto  y Rosas</t>
  </si>
  <si>
    <t xml:space="preserve">Centro Norte, Sur, Oriente, </t>
  </si>
  <si>
    <t>Niños, niñas y Adolescentes y familias</t>
  </si>
  <si>
    <t xml:space="preserve"> mediante una campaña para incentivar los juegos tradicionales en los municipios priorizados. Esta consiste en una jornada lúdica por municipio en donde se retomen los juegos tradicionales de las comunidades de los municipios mientras se promueve el rescate y permanencia de las prácticas juveniles tradicionales.</t>
  </si>
  <si>
    <t xml:space="preserve">Eventos de fechas de conmemoración realizados </t>
  </si>
  <si>
    <t xml:space="preserve">Realizar 4 Campañas de comunicación permanentes de prevención de consumo de sustancias psicoactivas en adolescentes     </t>
  </si>
  <si>
    <t>Número de campañas de comunicación permanentes de prevención de consumo de sustancias psicoactivas en adolescentes realizadas</t>
  </si>
  <si>
    <t>Realizar 1 campaña de comunicación de prevencion de consumo de sustancias psicoactivas en adolescentes</t>
  </si>
  <si>
    <t>1 campaña de comunicación de prevencion de consumo de sustancias psicoactivas en adolescentes, realizada</t>
  </si>
  <si>
    <t>Puerto Tejada, Miranda, Patía, ,Balboa, Caldono y Piendamo</t>
  </si>
  <si>
    <t>Centro Norte, Sur, Oriente</t>
  </si>
  <si>
    <t>Una campaña de comunicación de prevención de consumo de sustancias psicoactivas en adolescentes, dirigida a los colegios de los municipios priorizados, Esta se realizara a través de jornadas lúdicas en instituciones educativas en donde se darán a conocer los aspectos relevante relacionados con el consumo de sustancias psicoactivas  en adolescentes y definir participativamente estrategias para hacer frente a esta problemática</t>
  </si>
  <si>
    <t>Realizar 4 Campañas de prevención de suicidio en adolescentes</t>
  </si>
  <si>
    <t xml:space="preserve">Número de campañas de prevención de suicidio en adolescentes realizadas </t>
  </si>
  <si>
    <t>Realizar 1 campaña de prevencion de suicidio en adolescentes</t>
  </si>
  <si>
    <t>1 campaña de prevencion de suicidio en adolescentes realizado</t>
  </si>
  <si>
    <r>
      <rPr>
        <sz val="12"/>
        <color theme="1"/>
        <rFont val="Calibri"/>
        <family val="2"/>
        <scheme val="minor"/>
      </rPr>
      <t>Argelia, Popayán, Buenos Aires</t>
    </r>
    <r>
      <rPr>
        <sz val="12"/>
        <color theme="1"/>
        <rFont val="Arial"/>
        <family val="2"/>
      </rPr>
      <t xml:space="preserve">. </t>
    </r>
  </si>
  <si>
    <t xml:space="preserve">Argelia, Popayán, Buenos Aires. </t>
  </si>
  <si>
    <t>Centro, sur  y Norte</t>
  </si>
  <si>
    <t>realizacion de campañas de comunicación con frases  educativas sobre temas como los estilos de afrontamiento y el manejo del estrés.</t>
  </si>
  <si>
    <t>Realizar en los 42 municipios talleres de capacitación a los sectores que incidan y apoyen en la construcción de los proyectos de vida y amor  de los adolescentes</t>
  </si>
  <si>
    <t xml:space="preserve">Número de municipios con talleres de capacitación a los sectores que incidan y apoyen en la construcción de los proyectos de vida y  amor de los adolescentes realizados  </t>
  </si>
  <si>
    <t>Capacitaciones para la construcción de los proyectos de vida y amor  de los adolescentes</t>
  </si>
  <si>
    <t>Capacitaciones para la construcción de los proyectos de vida y amor  de los adolescentes, realizados</t>
  </si>
  <si>
    <t xml:space="preserve"> Implementación De Una Estrategia Integral Para El Fomento De Un Libre Desarrollo  Adolescente En El Departamento Del Cauca</t>
  </si>
  <si>
    <t>Bolivar, Morales, , San Sebastian, Puerto Tejada,Silvia, Argelia</t>
  </si>
  <si>
    <t>Centro, Oriente, Macizo</t>
  </si>
  <si>
    <t xml:space="preserve">Capacitación a los referentes de infancia y adolescencia, gestoras sociales, líderes y lideresas,  y sectores para que incidan y apoyen la construcción de los proyectos de vida y amor  de los adolescentes, mediante mesas de trabajo se capacitaran e incentivaran a los referentes para que incidan y apoyen la construcción de los proyectos de vida y amor  de los adolescentes, acompañado de una estrategia de movilización institucional para identificar nodos o futuras alianzas que permitan generar condiciones habilitantes para que los jóvenes construyan su proyecto de vida
</t>
  </si>
  <si>
    <t xml:space="preserve">Disminuir en un 100% la deserción escolar ocasionada por la falta de posibilidad de los padres de comprar los útiles escolares     </t>
  </si>
  <si>
    <t xml:space="preserve">Porcentaje de la deserción escolar ocasionada por la falta de posibilidad de los padres de comprar los útiles escolares disminuido      </t>
  </si>
  <si>
    <t>La mochila de la educación</t>
  </si>
  <si>
    <t xml:space="preserve">Realizar acciones de prevención de la deserción escolar generando respuestas a sus causas como el trabajo infantil, la desnutrición y promoción de  escenarios saludables. </t>
  </si>
  <si>
    <t xml:space="preserve">Implementar 1 plan para dinamizar el comité interinstitucional para la erradicación del trabajo infantil y la protección del menor trabajador- CIET </t>
  </si>
  <si>
    <t xml:space="preserve">Número de planes de dinamización del comité interinstitucional para la erradicación del trabajo infantil y la protección del menor trabajador- CIET implementados </t>
  </si>
  <si>
    <t xml:space="preserve">Existe el comité de erradicación 
del trabajo infantil y protección
 del menor trabajador pero no opera </t>
  </si>
  <si>
    <t xml:space="preserve">Talleres de capacitación dirigido a alcaldes, instituciones y referentes de infancia y adolescencia sobre la erradicación del trabajo infantil. </t>
  </si>
  <si>
    <t>Talleres de capacitación dirigido a alcaldes, instituciones y referentes de infancia y adolescencia sobre la erradicación del trabajo infantil, realizados</t>
  </si>
  <si>
    <t>Implementación De Una Estrategia Para Disminuir Los Niveles De Deserción Escolar En El Departamento Del Cauca.</t>
  </si>
  <si>
    <t>Puerto Tejada, El Tambo, Páez, La Vega, Santa Rosa, Balboa, Timbique, Piendamo, y Suarez</t>
  </si>
  <si>
    <t xml:space="preserve"> Centro, Norte , Sur,  y Macizo</t>
  </si>
  <si>
    <t>Referentes municipales de Primera Infancia, Infancia y Adolescencia.</t>
  </si>
  <si>
    <t>apacitar a los alcaldes, instituciones y referentes de infancia y adolescencia sobre la erradicación del trabajo infantil y la firma de un pacto con los alcaldes  como estrategia de movilización política en torno al tema</t>
  </si>
  <si>
    <t xml:space="preserve">Realizar 4 campañas para la prevención de trabajo infantil </t>
  </si>
  <si>
    <t xml:space="preserve">  Número de campañas para la prevención de trabajo infantil realizada</t>
  </si>
  <si>
    <t>Crear e implementar una campaña de prevencion de trabajo infantil</t>
  </si>
  <si>
    <t>Una campaña de prevencion de trabajo infantil creada e implementada</t>
  </si>
  <si>
    <t>2016-019000-0041 ($ 25.060.000)</t>
  </si>
  <si>
    <t>Santander de Quilichao, Patia</t>
  </si>
  <si>
    <t>, sur,  Norte</t>
  </si>
  <si>
    <t>Niños, niñas y adolescentes</t>
  </si>
  <si>
    <t>socialización e implementación de la campaña  “Una moneda más, un derecho menos”   mediante metodología participativa y legal, además se realizara efectiva convocatorias al comité departamental para la erradicación de trabajo infantil y la protección del joven trabajado. Conmemoracion del dia de erradicacion del trabajo infantil.</t>
  </si>
  <si>
    <t>Documento diseño estrategia de comunicación dirigida a niños y niñas víctimas de violencia infantil, en medio magnético para primera revisión del consejo temático de primera infancia, infancia y adolescencia.</t>
  </si>
  <si>
    <t>Entregar 12.000 Kits escolares a padres de familia de escasos recursos con niños matriculados en las Instituciones Educativas públicas del Departamento</t>
  </si>
  <si>
    <t>Número de kits escolares entregados a padres de familia de escasos recursos con niños matriculados en las Instituciones Educativas públicas del Departamento</t>
  </si>
  <si>
    <t xml:space="preserve">Desarrollo de la campaña todos a estudiar sin archivo detallado </t>
  </si>
  <si>
    <t>Entregar 4.000 Kits escolares a padres de familia de escasos recursos con niños matriculados en las Instituciones Educativas públicas del Departamento</t>
  </si>
  <si>
    <t>4.000 Kits escolares a padres de familia de escasos recursos con niños matriculados en las Instituciones Educativas públicas del Departamento</t>
  </si>
  <si>
    <t>López de Micay,Florencia, Sucre, Santa Rosa, Soltara, La Vega, Totoro, Morales, Cajibio, Purace, jámbalo, Buenos Aires, Corinto, Toribio, padilla</t>
  </si>
  <si>
    <t xml:space="preserve">Pacifico, Norte, Oriente, Sur, Centro, Macizo </t>
  </si>
  <si>
    <t xml:space="preserve"> Entrega de Kits escolares a padres de familia de escasos recursos. 
Las condiciones de pobreza son factor directo en los índices de deserción escolar, por diversos motivos entre ellos las dificultades para la compra de útiles escolares. Buscando promover la permanencia en la escuela de nuestros niños, niñas y adolescentes, este componente plantea la entrega de 10.000 Kits escolares a padres de familia de escasos recursos con niños matriculados en las Instituciones Educativas públicas de las zonas rurales dispersas.
</t>
  </si>
  <si>
    <t xml:space="preserve">Realizar 1 campaña permanente para promover la alimentación y hábitos de vida saludable en niños y niñas que no estén beneficiados por los programas de nutrición </t>
  </si>
  <si>
    <t>Número de campañas permanentes para promover la alimentación y hábitos de vida saludable en niños y niñas que no estén beneficiados por los programas de nutrición realizadas</t>
  </si>
  <si>
    <t xml:space="preserve">Realizar 1 campaña  para promover la alimentación y hábitos de vida saludable en niños y niñas que no estén beneficiados por los programas de nutrición </t>
  </si>
  <si>
    <t xml:space="preserve">1 campaña  para promover la alimentación y hábitos de vida saludable en niños y niñas que no estén beneficiados por los programas de nutrición, realizada </t>
  </si>
  <si>
    <t xml:space="preserve">Timbiqui, Argelia, Patía, El Tambo, Almaguer, Santa Rosa,  Timbio, Miranda,Suarez, Buenos Aires,Corinto,Inza,Totoro, Sucre y Balboa. </t>
  </si>
  <si>
    <t>Sur,Macizo, Centro y Norte, Costa Pacifica</t>
  </si>
  <si>
    <r>
      <t>eria de hábitos de vida saludable” dirigido a  niños y niñas que no estén beneficiados por los programas de nutrición en zona rural dispersa de los municipios priorizados</t>
    </r>
    <r>
      <rPr>
        <b/>
        <i/>
        <sz val="11"/>
        <color theme="1"/>
        <rFont val="Arial"/>
        <family val="2"/>
      </rPr>
      <t>.</t>
    </r>
  </si>
  <si>
    <t>Asistir al 5% de las familias Caucanas en acciones que fortalezcan las competencias de cuidado y pautas de crianza en padres de familia adolescentes</t>
  </si>
  <si>
    <t>Porcentaje de las familias Caucanas en acciones que fortalezcan las competencias de cuidado y pautas de crianza en padres de familia adolescentes asistidas</t>
  </si>
  <si>
    <t>Cauca por nuestras familias</t>
  </si>
  <si>
    <t xml:space="preserve">  Implementar acciones que fortalezcan en las familias caucanas las competencias de cuidado y pautas de crianza positiva de los niños, niñas y adolescentes. </t>
  </si>
  <si>
    <t>Realizar 42 Talleres de fortalecimiento a la familia (uno por municipio) como entorno protector de crianza positiva para los niños, niñas y adolescentes</t>
  </si>
  <si>
    <t xml:space="preserve">Número de talleres de fortalecimiento a la  familia (uno por municipio) como entorno protector de crianza positiva para los niños, niñas y adolescentes realizados </t>
  </si>
  <si>
    <t xml:space="preserve">Realizar 3 talleres de fortalecimiento a la  familia (uno por municipio) como entorno protector de crianza positiva para los niños, niñas y adolescentes. </t>
  </si>
  <si>
    <t xml:space="preserve"> 3 talleres de fortalecimiento a la  familia (uno por municipio) como entorno protector de crianza positiva para los niños, niñas y adolescentes, realizados</t>
  </si>
  <si>
    <t>Proyecto del programa primera infanica, infancia y adolescencia en el departamento del Cauca</t>
  </si>
  <si>
    <t>2016-019000-0041 ($ 17.500.000)</t>
  </si>
  <si>
    <t>, Jambalo, El Tambo, Florencia</t>
  </si>
  <si>
    <t>Norte, Centro,Sur.</t>
  </si>
  <si>
    <t>familias</t>
  </si>
  <si>
    <t>Talleres realizados sobre prevención y abandono o precariedad de vínculos familiares.</t>
  </si>
  <si>
    <t>Realizar 4 campañas (una por año) de manifestaciones de afecto y comunicación asertiva entre los integrantes de las familias</t>
  </si>
  <si>
    <t xml:space="preserve">Número de campañas de manifestaciones de afecto y comunicación asertiva entre los integrantes de las familias realizados </t>
  </si>
  <si>
    <t>Realizar 1 campañas de manifestaciones de afecto y comunicación asertiva entre los integrantes de las familias</t>
  </si>
  <si>
    <t>1 campañas de manifestaciones de afecto y comunicación asertiva entre los integrantes de las familias realizados</t>
  </si>
  <si>
    <t>2016-019000-0041 ($ 15.000.000)</t>
  </si>
  <si>
    <t xml:space="preserve"> Sotara, Popayan, Cajibio, Morales y Timbio</t>
  </si>
  <si>
    <t>Oriente y Macizo, Centro</t>
  </si>
  <si>
    <t>Un documento preliminal que contenga la informacion necesaria para el diseño de la campañapedagofica, alusiva a las manifestaciones de afecto, comunicación asertiva y el fortalecimiento del buen trato</t>
  </si>
  <si>
    <t xml:space="preserve">Aumentar en un 50% la participación de la población con discapacidad en los programas sociales de la Oficina de Gestión Social </t>
  </si>
  <si>
    <t>Participación de la población con discapacidad en los programas sociales de la Oficina de Gestión Social aumentada</t>
  </si>
  <si>
    <t>3500 Personas con discapacidad a 2015</t>
  </si>
  <si>
    <t>Somos paz, Somos más</t>
  </si>
  <si>
    <t xml:space="preserve">Incrementar el número de acciones en la implementación y dinamización de la política pública departamental de discapacidad </t>
  </si>
  <si>
    <t>Implementar 4 planes de acción sectoriales para dinamizar y operativizar la política pública departamental de discapacidad</t>
  </si>
  <si>
    <t xml:space="preserve">    Número de Planes de acción sectoriales para dinamizar y operativizar la política pública departamental de discapacidad implementados</t>
  </si>
  <si>
    <t>Implementar 0.6 plan de acción sectorial para dinamizar y operativizar la política pública departamental de discapacidad</t>
  </si>
  <si>
    <t>0.4</t>
  </si>
  <si>
    <t>IMPLEMENTACIÓN DEL PROGRAMA “SOMOS PAZ, SOMOS MÁS” DIRIGIDO A LA POBLACIÓN CON DISCAPACIDAD DEL DEPARTAMENTO DEL CAUCA 2016-2017</t>
  </si>
  <si>
    <t>Total: 29,656.     Adulto mayor: 13,820; Adultos:  4,270; Adolescentes: 3,262; Niños: 356, Primera Infancia: 415.   Étnico Afro: 1,557, Índigena: 1,246; otras etnias: 26,987. Área de residencia urbano: 9,193  ; rural: 20,463.</t>
  </si>
  <si>
    <t>1 documento de instalación y desarrollo de las actividades de 1 mesa técnica de concertación con la Población con discapacidad para priorizar las acciones intersectoriales en el Departamento del Cauca. 
1 plan de acción sobre política pública intersectorial formulado. 
1 informe de  evaluación y seguimiento del plan de acción intersectorial.
1 servicio de interpretación de lengua de señas permanente para la inclusión de población sorda, contratado.</t>
  </si>
  <si>
    <t>Liliana Velasco - Contratista  Estrategia  Capacidades Diversas de la Oficina de Gestion Social y AP.</t>
  </si>
  <si>
    <t>Apoyo interprete de LENGUA DE SEÑAS COLOMBIANA</t>
  </si>
  <si>
    <t>3501 Personas con discapacidad a 2015</t>
  </si>
  <si>
    <t>Establecer 1 ruta de atención integral (con 12 protocolos sectoriales) para la atención de la población con discapacidad</t>
  </si>
  <si>
    <t xml:space="preserve">
Número de rutas de atención integral (con 12 protocolos sectoriales) para la atención de la población con discapacidad establecidas 
</t>
  </si>
  <si>
    <t xml:space="preserve"> Ruta de atención integral con 0.3 protocolo de Gestión Social para la atención de la población con discapacidad con énfasis en inclusión laboral implementado.</t>
  </si>
  <si>
    <t xml:space="preserve">
Número de rutas de atención integral (con 1 protocolo sectorial para la atención de la población con discapacidad implementado. 
</t>
  </si>
  <si>
    <t xml:space="preserve">1 mesa técnica de concertación con la Población con discapacidad para elaborar 9 protocolos sectoriales de atención integral para personas con discapacidad.
9 Protocolos sectoriales para la atención de la población con discapacidad validados y difundidos.
</t>
  </si>
  <si>
    <t>3502 Personas con discapacidad a 2015</t>
  </si>
  <si>
    <t xml:space="preserve">Actualizar el 60% de los registros inactivos o incompletos del Registro de Localización y Caracterización para Personas con Discapacidad -RLCPD </t>
  </si>
  <si>
    <t>Porcentaje de registros inactivos o incompletos del  Registro de Localización y Caracterización para Personas con Discapacidad -RLCPD  actualizado</t>
  </si>
  <si>
    <t>Total  registros: 29.690   48.4% (N=14.370) registros activos
37.2% (N=11,045) registros inactivos.                                                     14,4% (N=4,275) de registros incompletos.</t>
  </si>
  <si>
    <t xml:space="preserve">Actualizar el 28 % de los registros inactivos o incompletos del Registro de Localización y Caracterización para Personas con Discapacidad -RLCPD </t>
  </si>
  <si>
    <t xml:space="preserve">Total: 7.585 personas </t>
  </si>
  <si>
    <t>1. Un taller de capacitación en fortalecimiento del Registro para La Localización y Caracterización de Personas con Discapacidad - RLCPD   para los 10 municipios intervenidos.
2. Un Informe de Monitoreo de los 10 municipios con reporte de registros inactivos.
3. Un documento de depuración de registros inactivos en 10 municipios intervenidos.
4. 1 Un Acta de articulación con la red prestadora de servicios de salud, Secretaria de Educación Departamental (calidad, cobertura, Instituciones educativas, jefes de núcleo, rectores, operadores), UARIV Unidad de atención y reparación integral a víctimas.
Un Informe de Monitoreo de los 7 municipios con reporte de registros inactivos. 
Un documento de depuración de registros inactivos en 7 municipios intervenidos. 
400 sillas de ruedas (estándar y todo terreno) gestionadas a través de la donación de la empresa privada, nacionalizadas por el Departamento y entregadas  a 400 personas con movilidad reducida.</t>
  </si>
  <si>
    <t>Apoyada por Liliana Margarita Zambrano - Contratista Coordinadora Estrategia  Capacidades Diversas de la Oficina de Gestion Social y AP.</t>
  </si>
  <si>
    <t>3503 Personas con discapacidad a 2015</t>
  </si>
  <si>
    <t>Implementar 1 sistema de información de discapacidad incorporado al sistema de información socioeconómica del Cauca - Tángara</t>
  </si>
  <si>
    <t>Número de Sistemas de información de discapacidad implementado e incorporado al sistema de información socioeconómica del Cauca - Tángara</t>
  </si>
  <si>
    <r>
      <t xml:space="preserve">Implementar el 0.34 % del sistema de información de discapacidad incorporado al sistema de información socioeconómica del Cauca - Tángara. </t>
    </r>
    <r>
      <rPr>
        <b/>
        <sz val="11"/>
        <rFont val="Calibri"/>
        <family val="2"/>
        <scheme val="minor"/>
      </rPr>
      <t>Nota:</t>
    </r>
    <r>
      <rPr>
        <sz val="11"/>
        <rFont val="Calibri"/>
        <family val="2"/>
        <scheme val="minor"/>
      </rPr>
      <t xml:space="preserve"> El cumplimiento de esta meta depende del proyecto formulado por la Oficina Asesora de Planeación en el diseño tecnológico del sistema de Información Tángara.</t>
    </r>
  </si>
  <si>
    <t xml:space="preserve">1. Interconexión con el sistema Tángara para la incorporación de 10 variables complementarias.       
2.  Tres (3) actualizaciones anuales de las 20 variables de discapacidad incorporadas a Tángara.                       
3. Una 1 estrategia de medios para la socialización, consulta y difusión de la información sobre discapacidad incorporada a Tángara.
</t>
  </si>
  <si>
    <r>
      <t xml:space="preserve">Apoyada por Liliana Margarita Zambrano - Contratista Coordinadora Estrategia  Capacidades Diversas de la Oficina de Gestion Social y AP.   </t>
    </r>
    <r>
      <rPr>
        <b/>
        <sz val="11"/>
        <rFont val="Calibri"/>
        <family val="2"/>
        <scheme val="minor"/>
      </rPr>
      <t>Nota:</t>
    </r>
    <r>
      <rPr>
        <sz val="11"/>
        <rFont val="Calibri"/>
        <family val="2"/>
        <scheme val="minor"/>
      </rPr>
      <t xml:space="preserve"> El cumplimiento de esta meta depende del proyecto formulado por la Oficina Asesora de Planeación en el diseño tecnológico del sistema de Información Tángara.</t>
    </r>
  </si>
  <si>
    <t>3504 Personas con discapacidad a 2015</t>
  </si>
  <si>
    <t>Cuenta con mis capacidades</t>
  </si>
  <si>
    <t>Incrementar la participación social de las personas con discapacidad en los diferentes escenarios sociales (Salud, Educación, generación de ingresos, Cultura y Deporte)</t>
  </si>
  <si>
    <t>Realizar 40 talleres municipales para la adopción e implementación de la Política Pública Departamental de Discapacidad</t>
  </si>
  <si>
    <t>Número de talleres municipales para la adopción e implementación de la Política Pública Departamental de Discapacidad realizados</t>
  </si>
  <si>
    <t>Realizar 20 talleres municipales para la adopción e implementación de la Política Pública Departamental de Discapacidad</t>
  </si>
  <si>
    <t>IMPLEMENTACIÓN DEL PROGRAMA “CUENTA CON MIS CAPACIDADES” DIRIGIDO A LA POBLACIÓN CON DISCAPACIDAD DEL DEPARTAMENTO DEL CAUCA 2016-2017</t>
  </si>
  <si>
    <t>Total: 1,645.     Adulto mayor: 1,645; Adultos:  897; Adolescentes: 388 ; Niños: 42, Primera Infancia: 49.   Étnico Afro: 138, Índigena: 148; otras etnias: 3,213. Área de residencia urbano: 1,094  ; rural: 2,436.</t>
  </si>
  <si>
    <t xml:space="preserve">1 instrumento metodológico (ruta) para la formulación de Política pública municipal de discapacidad elaborada.       7 conmemoraciones del día internacional de la discapacidad.
20 comités municipales de discapacidad capacitados en adopción e implementación de la Política Pública de discapacidad (fase I y fases III, descritas en la ruta) realizados.              
1 Evento departamental con el ministerio de Justicia sobre acceso a la justicia para personas con discapacidad realizado. 
</t>
  </si>
  <si>
    <t>Liliana Margarita Zambrano - Contratista Coordinadora Estrategia  Capacidades Diversas de la Oficina de Gestion Social y AP.</t>
  </si>
  <si>
    <t>Se requiere mas recursos por cuanto el valor de logísitca y honorarios es mayor a los recursos asignados.</t>
  </si>
  <si>
    <t>3505 Personas con discapacidad a 2015</t>
  </si>
  <si>
    <t>Capacitar al 10% de los agentes educativos de los Hogares Comunitarios sobre atención integral de niños y niñas con discapacidad</t>
  </si>
  <si>
    <t>Porcentaje de agentes educativos de los Hogares Comunitarios sobre atención integral de niños y niñas con discapacidad capacitados</t>
  </si>
  <si>
    <t>Capacitar al 3,7 % (420 apróx.) de los agentes educativos de los Hogares Comunitarios sobre atención integral de niños y niñas con discapacidad</t>
  </si>
  <si>
    <t>Implementación del programa CUENTA CON MIS CAPACIDADES, dirigido a la población con Discapacidad del Departamento del Cauca 2016-2017.</t>
  </si>
  <si>
    <t>440 Madres comunitarias entre 30y 60 años, que atienden niños con discapacidad.</t>
  </si>
  <si>
    <t>420 madres comunitarias con formación de 40 horas en atención integral en primera infancia con discapacidad. 1 documento publicable de recolección de experiencias exitosas en atención integral de primera infancia con discapacidad.</t>
  </si>
  <si>
    <t>Durante esta vigencia se capacitaran a un mayor número de madres comunitarias, porque en el 2016 no se ejecuto la meta debido a la demora en la viabilización del proyecto.</t>
  </si>
  <si>
    <t>3506 Personas con discapacidad a 2015</t>
  </si>
  <si>
    <t>Dotar directamente el 10% de los hogares comunitarios con material pedagógico de niños y niñas con necesidades educativas especiales</t>
  </si>
  <si>
    <t xml:space="preserve"> Porcentaje de hogares comunitarios con material pedagógico de niños y niñas con necesidades educativas especiales dotados</t>
  </si>
  <si>
    <t>Dotar directamente el 0% de los hogares comunitarios con material pedagógico de niños y niñas con necesidades educativas especiales</t>
  </si>
  <si>
    <t>Total  Primera Infancia: 415.   Área de residencia urbano:71  ; rural: 344</t>
  </si>
  <si>
    <t>Durante este año se  realizaran Gestiones de solicitud de apoyo a la empresa privada y entidades cooperantes. Para que se puedan realizar las dotaciones en las vigencias 2018 y 2019.                          5 Oficios de solicitud de apoyo.    3 Reuniones de socialización de la estrategia de discapacidad y solicitud de apoyo de material lúdico para infantes con discapacidad, con posibles aportantes públicos o privados.</t>
  </si>
  <si>
    <t>Durante la vigencia de 2016 se realizaran las acciones de gstión con la empresa privada y la cooperación nacional e internacional para obtener las dotaciones.</t>
  </si>
  <si>
    <t>3507 Personas con discapacidad a 2015</t>
  </si>
  <si>
    <t>Ingresar 200 nuevas personas con discapacidad en edad extraescolar al sistema de educación para adultos.</t>
  </si>
  <si>
    <t xml:space="preserve">Número de nuevas personas con discapacidad en edad extraescolar ingresados al sistema de educación para adultos  </t>
  </si>
  <si>
    <t xml:space="preserve">Base de datos secretaría de educación Dptal </t>
  </si>
  <si>
    <t xml:space="preserve">Ingresar 16 nuevas personas con discapacidad en edad extraescolar al sistema de educación para adultos.                                                                                                                                                                                                                 
</t>
  </si>
  <si>
    <t>200 personas con discapacidad entre 20 y 70 años</t>
  </si>
  <si>
    <t xml:space="preserve">16 adultos con discapacidad matriculados en el sistema de educación para adultos.
1 documento técnico sobre los apoyos pedagógicos requeridos para la inclusión de los 60 candidatos con discapacidad a la educación para adultos.
</t>
  </si>
  <si>
    <t>Articulación con la secretaria de educación departamental, área de cobertura, sistema de educación para adultos.</t>
  </si>
  <si>
    <t>3508 Personas con discapacidad a 2015</t>
  </si>
  <si>
    <t xml:space="preserve">Conformar en 39 Municipios una organización de personas con discapacidad </t>
  </si>
  <si>
    <t>número de municipios con organización de personas con discapacidad conformada</t>
  </si>
  <si>
    <t>3 municipios con organizaciones constituidas y fortalecidas (Popayán, Caloto, Santander de Quilichao).</t>
  </si>
  <si>
    <t xml:space="preserve">Conformar en 11 Municipios una organización de personas con discapacidad </t>
  </si>
  <si>
    <t>Total: 900.     Adulto mayor: 480; Adultos:  230; Adolescentes: 40 ; Niños: 15 Primera Infancia: 6   Étnico Afro: 68, Índigena: 56; otras etnias: 815. Área de residencia urbano: 180  ; rural: 820.</t>
  </si>
  <si>
    <t xml:space="preserve">1. Once (11) actividades culturales de visibilización de las capacidades de la población con discapacidad realizada en los municipios de Páez, Patía, Puracé, Jambaló, Sucre, Balboa, Argelia, Sotará,  Almaguer, Bolívar, Guapi, y La Vega.  2. Un (1) instrumento para la recolección en la conformación y funcionalidad de las Organizaciones de Personas con Discapacidad elaborado. 3. Un (1) taller de capacitación en la estructura organizacional realizado. 4. Veintidós (22) asesorías durante 5 meses en la estructuración y conformación de la Organización de Personas con Discapacidad: fase operativa.  5. Veintidós (22) asesorías durante 5 meses en la parte contable de la organización de personas con discapacidad en la inscripción de los libros de actas, contabilidad y declaraciones de renta. Fase operativa 6. Veintidós (22) asesorías durante 5 meses en la elaboración de proyectos Comunitarios – Fase Operativa  7. 1 capacitación sobre prescripción de silla de ruedas y evaluación de personas con discapacidad física. Informe de seguimiento y control a las organizaciones de discapacidad conformadas a través de la oficina de INSPECCIÓN, VIGILANCIA Y CONTROL DE ENTIDADES SIN ÁNIMO DE LUCRO – Fase de seguimiento. </t>
  </si>
  <si>
    <t>Se realizará la conformación de organizaciones  de discapacidad en 1 municipio con recursos de 2017 y el otro taller con recursos de otras fuentes - Gestión.</t>
  </si>
  <si>
    <t>3509 Personas con discapacidad a 2015</t>
  </si>
  <si>
    <t xml:space="preserve">Implementar en los 42 municipios un modelo de escuela de liderazgo para personas con discapacidad y sus cuidadores,  con énfasis en formación para el trabajo. </t>
  </si>
  <si>
    <t>Número de municipios con un modelo de escuela de liderazgo  para personas con discapacidad y sus cuidadores, con énfasis en formación para el trabajo implementado</t>
  </si>
  <si>
    <t xml:space="preserve">Implementar en  6  municipios un modelo de escuela de liderazgo para personas con discapacidad y sus cuidadores,  con énfasis en formación para el trabajo. </t>
  </si>
  <si>
    <t xml:space="preserve">. Un (1) documento con la creación y validación de los módulos (estarán acordes a cada tipo de discapacidad) de la Escuela de Liderazgo para personas con discapacidad.  2. Dieciocho (18) líderes y lideresas formados en la implementación de la escuela de liderazgo en los municipios de Santander de Quilichao, Miranda, Páez, Caloto, Puerto Tejada y Totoró.            3. Dieciocho (18) talleres orientativos por tipo de discapacidad (visual, auditiva y cognitiva) de liderazgo Implementadas en los municipios los municipios de Santander de Quilichao, Miranda, Páez, Caloto, Puerto Tejada y Totoró. 4. 40 personas con discapacidad certificadas como tele trabajadores. 5. 200 personas sordas realizan un evento departamental de identidad y cultura sorda Caucano </t>
  </si>
  <si>
    <t>Se realizará la implementación de la Escuela de liderazgo en 1 municipio con los recursos de 2017, los otros 3 municipios serán cubiertos con recursos de otras fuentes - Gestión.</t>
  </si>
  <si>
    <t>3510 Personas con discapacidad a 2015</t>
  </si>
  <si>
    <t>Implementar en 8 Municipios la Rehabilitación Basada en Comunidad -RBC</t>
  </si>
  <si>
    <t>Número de municipios con Rehabilitación Basada en Comunidad RBC implementada</t>
  </si>
  <si>
    <t>Implementar en 2 Municipio la Rehabilitación Basada en Comunidad -RBC</t>
  </si>
  <si>
    <t xml:space="preserve"> 1. Un (1) documento del modelo adoptado de RBC exitoso en Colombia.       2. Diez (10) gestores capacitados en RBC en fase de implementación.          3. Activación de las 2 rutas de subsistencia y social dentro de la estrategia RBC 4. 840 cuidadores incluidos en los talleres de prevención del síndrome del cuidador. </t>
  </si>
  <si>
    <t>Se realizará la ejcución de la primera fase en un municipio con recursos propios de 2017, las otras 2 fases se realizaran con recursos de otras fuentes Gestiín.</t>
  </si>
  <si>
    <t xml:space="preserve">Beneficiar el 20% de población adulta mayor con los programas sociales de la gobernación </t>
  </si>
  <si>
    <t>Porcentaje de la población adulta mayor con los programas sociales de la gobernación beneficiada</t>
  </si>
  <si>
    <t xml:space="preserve">149.917 Total población adultos mayor beneficiada </t>
  </si>
  <si>
    <t xml:space="preserve">Envejecimiento positivo
</t>
  </si>
  <si>
    <t xml:space="preserve">Promover la participación del adulto mayor mediantes estrategias de utilización del tiempo libre.  </t>
  </si>
  <si>
    <t xml:space="preserve">Formular 1 batería de indicadores para monitorear la política pública departamental para el adulto mayor. </t>
  </si>
  <si>
    <t xml:space="preserve"> Número de baterías de indicadores para monitorear la política pública departamental para el adulto mayor formuladas </t>
  </si>
  <si>
    <t>Número de baterías de indicadores para monitorear la política pública departamental para el adulto mayor.</t>
  </si>
  <si>
    <t>Implemetación de la Política Pública para el adulto mayor Por una Vejez digna y humanizada en el departamento del Cauca.</t>
  </si>
  <si>
    <t>2016-019000-0161</t>
  </si>
  <si>
    <t>Centro, Bota Caucana, Macizo, Norte, Oriente, Pacifico y Sur.</t>
  </si>
  <si>
    <t>Oficina de Gestión Social y Asuntos Poblacionales - Jesús Enrique Pérez Mompotes - Contratista</t>
  </si>
  <si>
    <t>Realizar 42 talleres municipales para la adopción e implementación de la Política Pública  para el adulto mayor.</t>
  </si>
  <si>
    <t xml:space="preserve">Número de talleres municipales para la adopción e implementación de la Política Pública  para el adulto mayor realizados </t>
  </si>
  <si>
    <t>Número de talleres municipales para la adopción e implementación de la Política Pública para el adulto mayor realizados.</t>
  </si>
  <si>
    <t>Puracé, Piendamo, Popayán, Piamonte, Sotará, Jambalo, Santander de Quilichao, Corinto, López de Micay y Bolívar.</t>
  </si>
  <si>
    <t>300 personas capacitadas en política pública para el adulto mayor.</t>
  </si>
  <si>
    <t xml:space="preserve">Dotar a 84 grupos de adultos mayores con implementos para actividades de ocupación del tiempo libre </t>
  </si>
  <si>
    <t xml:space="preserve">Número de grupos de adultos mayores con implementos para actividades de ocupación del tiempo libre dotados </t>
  </si>
  <si>
    <t>2000 personas beneficiadas de la entrega de kits deportivos para la estimulación funcional del adulto mayor.</t>
  </si>
  <si>
    <t>Capacitar al 100% de los coordinadores de grupos de adultos mayores conformados en cultura de recreación y actividad física</t>
  </si>
  <si>
    <t xml:space="preserve">Porcentaje de los coordinadores de grupos de adultos mayores conformados en cultura de recreación y actividad física capacitados </t>
  </si>
  <si>
    <t xml:space="preserve">220 coordinadores de grupos de adultos mayores </t>
  </si>
  <si>
    <t>50 coordinadores de grupos de adulto mayor capacitados en actividad física y recreación.</t>
  </si>
  <si>
    <t>Semillas de vida</t>
  </si>
  <si>
    <t xml:space="preserve">Promover la seguridad alimentaria en los grupos de adulto mayor.  </t>
  </si>
  <si>
    <t>Entregar a 84 grupos de adultos mayores del departamento (21 por subregión) suplemento nutricional a base de quinua como apoyo nutricional</t>
  </si>
  <si>
    <t xml:space="preserve">Número de grupos de adultos mayores del departamento con kits a base de quinua como apoyo nutricional entregados </t>
  </si>
  <si>
    <t>Fortalecimietno a la seguridad alimentaria y nutricional del adulto mayor en el departamento del Cauca Semillas de Vida.</t>
  </si>
  <si>
    <t>2016-019000-0163</t>
  </si>
  <si>
    <t>4860 personas adultas mayores beneficiadas con suplemento nutricional a base de quinua.</t>
  </si>
  <si>
    <t>Realizar 28 encuentros intergeneracionales (uno por año en cada subregión)</t>
  </si>
  <si>
    <t>Número de encuentros intergeneracionales (uno por año en cada subregión) realizados</t>
  </si>
  <si>
    <t>Piendamo, Piamonte, Sotará, Jambalo, Totoro, López de Micay y Bolívar.</t>
  </si>
  <si>
    <t>700 personas entre adultos mayores y jovenes con conocimiento en el respeto entre las generaciones.</t>
  </si>
  <si>
    <t>Caucanidad de oro</t>
  </si>
  <si>
    <t xml:space="preserve">Promover la inclusión social del adulto mayor.  </t>
  </si>
  <si>
    <t xml:space="preserve">Visibilizar 84 saberes de personas adultas mayores con enfoque subregional </t>
  </si>
  <si>
    <t xml:space="preserve">Número de saberes de personas adultas mayores con enfoque subregional visibilizados     </t>
  </si>
  <si>
    <t>Implementación de un programa lúdico, recreativo y cultural caucanidad de oro para la inclusión social del adulto mayro en el departamento del Cauca año 2017</t>
  </si>
  <si>
    <t>2016-019000-0162</t>
  </si>
  <si>
    <t>20 adultos mayores apoyados con iniciativas para la recuperación de saberes y memoria historica en el Cauca</t>
  </si>
  <si>
    <t>Conformar 20 nuevos grupos de adulto mayor (con prioridad en las subregiones Piedemonte Amazónico, Oriente y Costa Pacífica)</t>
  </si>
  <si>
    <t>Número de nuevos grupos de adulto mayor (con prioridad en las subregiones: Piedemonte Amazónico, Oriente y Costa Pacífica) conformados</t>
  </si>
  <si>
    <t xml:space="preserve">220 grupos de adultos mayores conformados </t>
  </si>
  <si>
    <t>Piamonte, Totoro y López de Micay.</t>
  </si>
  <si>
    <t>4 grupos de adulto mayor conformados y operando.</t>
  </si>
  <si>
    <t>Capacitar a 300 adultos mayores en herramientas digitales básicas.</t>
  </si>
  <si>
    <t>Número de adultos mayores en herramientas digitales básicas capacitados</t>
  </si>
  <si>
    <t>Popayán, Caldono, Corinto y Timbio.</t>
  </si>
  <si>
    <t>50 adultos mayores capacitados en herramientas informaticas.</t>
  </si>
  <si>
    <t>Garantizar acceso a 2.100 adultos mayores a actividades lúdico recreativas, culturales y artísticas organizadas por el Departamento para la conservación de la memoria histórica y transmisión de saberes.</t>
  </si>
  <si>
    <t>Número de adultos mayores que acceden a actividades lúdico recreativas, culturales y artísticas organizadas por el Departamento para la conservación de la memoria histórica y transmisión de saberes.</t>
  </si>
  <si>
    <t>300 adultos mayores participando de actividades ludico recreativas, culturales y artisticas.</t>
  </si>
  <si>
    <t>Beneficiar el 30% de familias que pertenecen a la RED UNIDOS en los programas sociales de la administración departamental</t>
  </si>
  <si>
    <t>Porcentaje de familias que pertenecen a la RED UNIDOS en los programas sociales de la administración departamental beneficiados</t>
  </si>
  <si>
    <t>20570 familias de la Red Unidos acompañadas.</t>
  </si>
  <si>
    <t>Abriendo caminos sin pobreza extrema</t>
  </si>
  <si>
    <t>Articular la oferta institucional para la promoción social de familias en pobreza extrema que pertenecen a la estrategia Red Unidos en las subregiones.</t>
  </si>
  <si>
    <t xml:space="preserve">Implementar 1 estrategia a través del cual se logre mejorar la incidencia de entidades en reducir pobreza extrema en el Departamento </t>
  </si>
  <si>
    <t xml:space="preserve">Número de estrategias a través de las cuales se logre mejorar la incidencia de entidades en reducir pobreza extrema en el Departamento implementadas </t>
  </si>
  <si>
    <t xml:space="preserve">Reducción </t>
  </si>
  <si>
    <t>Número de estrategias a través de las cuales se logre mejorar la incidencia de entidades en reducir pobreza extrema en el Departamento implementadas</t>
  </si>
  <si>
    <t>Acciones para el Fortalecimiento del Progrma Abriendo Caminos sin Pobreza Extrema del Dpto. del Cauca                        2016 - 019000 - 069</t>
  </si>
  <si>
    <t xml:space="preserve">Caloto, Jámbalo, Toribio,  Guachene, El Tambo, Florencia, Popayán 
Sucre, La Sierra, Sotará
</t>
  </si>
  <si>
    <t xml:space="preserve">Familias pertenecientes a la RED UNIDOS de los Municipiso priorizados para la vigencia 2016 Caloto, Jámbalo, Toribio,  Guachene, El Tambo, Florencia, Popayán 
Sucre, La Sierra, Sotará
</t>
  </si>
  <si>
    <t xml:space="preserve">Norte, Centro, Sur, Oriente </t>
  </si>
  <si>
    <t>Familias pertenecientes a la RED UNIDOS</t>
  </si>
  <si>
    <t xml:space="preserve">Conformación de la mesa de Superación de la Pobreza Extrema, con la institucionalidad que tiene sede en Cauca, con el fin de evidenciar y hacer seguimiento a los logros que benefician a la poblacion en Pobreza Extrema. Construccion del Mapa de Oferta Departamental, con el objetivo de socializarlo en los Municipios para que accedan y reducir indices de pobreza extrema. Acompañamiento y gestion a las instituciones y los entes territoriales, tendientes a reducir la brecha de pobreza en el Departamento. Elaboracion del Plan de Acción y conformación de mesas territoriales en la Subregion Norte y Centro del Departamento. Orientación metodologica a los coordinadores locales y cogestores de la Red Unidos.  Apoyo a la ejecución de las politica publicas para las familias en Pobreza Extrema.   </t>
  </si>
  <si>
    <t xml:space="preserve">Yenny Cristina Galvis Chamorro - Contratista </t>
  </si>
  <si>
    <t xml:space="preserve">Se requiere inversión en las iniciativas productivas que se prioricen en el 2017, con el fin de que estos recursos permitan superar el estado dee vulnerabilidad de algunas familias de la Red Unidos que han participado en el  desarrollo del proyecto. </t>
  </si>
  <si>
    <t xml:space="preserve">Incrementar en un 45 % la participación de jóvenes activos en los programas sociales de la gobernación    </t>
  </si>
  <si>
    <t xml:space="preserve">Porcentaje de la participación de jóvenes activos en los programas sociales de la gobernación incrementado </t>
  </si>
  <si>
    <t>Cauca + Joven</t>
  </si>
  <si>
    <t xml:space="preserve"> Promover espacios y mecanismos de participación para los y las jóvenes del Departamento</t>
  </si>
  <si>
    <t xml:space="preserve">Crear 1 Consejo Departamental de Juventud </t>
  </si>
  <si>
    <t>Número de Consejos Departamentales de juventud creados</t>
  </si>
  <si>
    <r>
      <t xml:space="preserve">“FORTALECIMIENTO    DE    LAS    ACCIONES    </t>
    </r>
    <r>
      <rPr>
        <sz val="11.5"/>
        <color indexed="8"/>
        <rFont val="Calibri"/>
        <family val="2"/>
      </rPr>
      <t>PARA    LA   PROMOCIÓN   DE   ESPACIOS Y MECANISMOS DE PARTICIPACIÓN EN LOS JÓVENES DEL DEPARTAMENTO DEL CAUCA”.                                          2016-2017 DE LA OFICINA DE GESTION SOCIAL Y ASUNTOS POBLACIONALES .</t>
    </r>
  </si>
  <si>
    <t xml:space="preserve">Socializar la ruta para la eleccion del consejo departamental de juventud por medio de elección popular </t>
  </si>
  <si>
    <t>COORDINADOR DE JUVENTUD</t>
  </si>
  <si>
    <t xml:space="preserve">Conformar 126 organizaciones juveniles y el sistema departamental para la juventud </t>
  </si>
  <si>
    <t xml:space="preserve">Número de organizaciones juveniles y el sistema departamental para la juventud conformadas </t>
  </si>
  <si>
    <t>Realizar actividades de difusion que permitan el incremento en la participación de jóvenes en las plataformas municipales de juventud</t>
  </si>
  <si>
    <t>APOYO 2</t>
  </si>
  <si>
    <t>en cabeza del coordinador de juventud</t>
  </si>
  <si>
    <t xml:space="preserve">Asistir técnicamente al 100% de los Consejos Municipales de Juventudes  </t>
  </si>
  <si>
    <t>Porcentaje de los Consejos Municipales de Juventudes  asistidos técnicamente</t>
  </si>
  <si>
    <t xml:space="preserve">Socializar la ruta para la eleccion de los consejos municipales de juventud por medio de elección popular </t>
  </si>
  <si>
    <t xml:space="preserve">Implementar en los 42 municipios la política pública departamental de juventud </t>
  </si>
  <si>
    <t>Número de municipios con la política pública departamental de juventud implementada</t>
  </si>
  <si>
    <t>Socializar el Documento de la Política Pública de Juventud en 9 municipios del Departamento, Acompañado de la Asistencia Tecnica Brindada por parte del Departamento para la Formulación de Políticas Püblicas de Juventud en municipios</t>
  </si>
  <si>
    <t xml:space="preserve"> Apoyar 28 iniciativas juveniles en el marco de la semana de la juventud  </t>
  </si>
  <si>
    <t>Número de  iniciativas juveniles apoyadas en el marco de la semana de la juventud</t>
  </si>
  <si>
    <t xml:space="preserve">Apoyar 7 iniciativas de Juventud en las 7 diferentes Sub Regiones del Departamento </t>
  </si>
  <si>
    <t>APOYO 1</t>
  </si>
  <si>
    <t>Incrementar en un 50% la participación de los colectivos de la comunidad LGBT en la mesa de diversidad sexual</t>
  </si>
  <si>
    <t xml:space="preserve">Porcentaje de la participación de los colectivos de la comunidad LGBT en la mesa de diversidad sexual incrementado </t>
  </si>
  <si>
    <t xml:space="preserve">6 Colectivos de la comunidad LGTBI (Fundación ERES, FUDIIVERSA, 
Fundación semillas del CAUCA,
 FUNVICAUCA,
 Colectivo LABRIS y FUNQUIDIVERSA) </t>
  </si>
  <si>
    <t>Cauca diverso e incluyente</t>
  </si>
  <si>
    <t xml:space="preserve">Generar acciones
y espacios de promoción y garantía de
los derechos de la población LGBTI
</t>
  </si>
  <si>
    <t>Realizar 1 caracterización de la población LGBTI Visible</t>
  </si>
  <si>
    <t>Número de caracterizaciones de la población LGBTI visible realizadas</t>
  </si>
  <si>
    <t>IMPLEMENTACIÓN DE LA ESTRATEGIA CAUCA DIVERSO E INCLUYENTE PARA LA POBLACIÓN LGBTI DEL DEPARTAMENTO DEL CAUCA 2016 – 2017 DE LA OFICINA DE GESTIÓN SOCIAL Y ASUNTOS POBLACIONALES</t>
  </si>
  <si>
    <t xml:space="preserve">los 42 Municipios del Departamento </t>
  </si>
  <si>
    <t>Los 42 Municipios
del Departamento</t>
  </si>
  <si>
    <t xml:space="preserve">Elaboracion de metodologia para la realizacion de la caracterizacion de la poblacion LGBTI Visible y Caracterizacion de la poblacion LGBTI Visible. </t>
  </si>
  <si>
    <t xml:space="preserve">Carolina
 Ordoñez </t>
  </si>
  <si>
    <t>Tanto en las actividades 
como en los recursos esta
 ajustado lo dejado de ralizar en
 2016 y necesario desarrollar</t>
  </si>
  <si>
    <t>Implementar 1 plan de fortalecimiento para la mesa de diversidad sexual como mecanismo de participación</t>
  </si>
  <si>
    <t xml:space="preserve">Número de planes de fortalecimiento para la mesa de diversidad sexual como mecanismo de participación implementados </t>
  </si>
  <si>
    <t xml:space="preserve">Una mesa de diversidad 
existente operando sin reglamentación
 ni soporte jurídico </t>
  </si>
  <si>
    <t>Aprobacion del documento elaborador como pplan de fortalecimiento y ejecucion del plan de fortalecimiento</t>
  </si>
  <si>
    <t xml:space="preserve">Apoyar 16 iniciativas (académicas y culturales) de la población LGTBI seleccionadas a través de concursos (una por cada sigla) </t>
  </si>
  <si>
    <t xml:space="preserve">Número de iniciativas (académicas y culturales) de la población LGTBI seleccionadas a través de concursos (una por cada sigla) apoyadas </t>
  </si>
  <si>
    <t>Popayán, Santander de Quilichao,
 Puerto Tejada, Villa Rica, 
Piendamo</t>
  </si>
  <si>
    <t xml:space="preserve">nueve iniciativas apoyadaas para la poblacion LGBTI </t>
  </si>
  <si>
    <t xml:space="preserve">Realizar 20 conmemoraciones propias de la comunidad LGBTI
</t>
  </si>
  <si>
    <t>Conmemoraciones propias de la comunidad LGBTI realizadas</t>
  </si>
  <si>
    <t xml:space="preserve">Día del orgullo gay, Día de la no Homofobia, Día internacional contra el VIH Sida, Día de la visibilización trans y Día de la no violencia contra las mujeres. </t>
  </si>
  <si>
    <t xml:space="preserve">realizar seis conmemoraciones propios de la poblacion LGBTI </t>
  </si>
  <si>
    <t>Cultura ciudadana de gestión y de servicio</t>
  </si>
  <si>
    <t>Implementación estratégica de tecnologías de la información ti</t>
  </si>
  <si>
    <t>Impulsar el buen gobierno en la gobernación del cauca mediante las tecnologías de la información ti.</t>
  </si>
  <si>
    <t>Alcanzar el 80% de los objetivos ti para servicios de la estrategia gobierno en línea.</t>
  </si>
  <si>
    <t>Porcentaje de los objetivos ti para servicios de la estrategia gobierno en línea alcanzado</t>
  </si>
  <si>
    <t>RENOVACIÓN PLATAFORMA TECNOLÓGICA - EN REVISIÓN</t>
  </si>
  <si>
    <t>2016-019000-0149</t>
  </si>
  <si>
    <t>Infraestructura de red renovada. Equipo informatico adquirido, capacitaciones impartidas, licenciamiento renovado, contratos de soporte y mantenimiento suscritos y en ejecución.</t>
  </si>
  <si>
    <t>César Andrés Olave Ruiz</t>
  </si>
  <si>
    <t>El proyecto ya fue viabilizado.</t>
  </si>
  <si>
    <t xml:space="preserve">Implementar en el 70% de las dependencias de la gobernación del cauca nueva red de telecomunicaciones </t>
  </si>
  <si>
    <t xml:space="preserve">Porcentaje de las dependencias de la gobernación del cauca nueva red de telecomunicaciones implementada </t>
  </si>
  <si>
    <t>Implementar el 30%  del marco de referencia de arquitectura empresarial para la gestión de las tecnologías de la información en la gobernación</t>
  </si>
  <si>
    <t xml:space="preserve">Porcentaje del marco de referencia de arquitectura empresarial para la gestión de las tecnologías de la información en la gobernación implementado </t>
  </si>
  <si>
    <t>Realizar 2 ferias de atención al ciudadano.</t>
  </si>
  <si>
    <t>Número de ferias de atención al ciudadano realizadas</t>
  </si>
  <si>
    <t>Desarrollo de feria Departamental de tramites y servicios de atencion al ciudadano Popayan Cauca</t>
  </si>
  <si>
    <t>2016-019000-0057</t>
  </si>
  <si>
    <t>Bordo, Bolivar la Vega, la Sierra, Sucre, Mercaderes, rosas, Patia y San Sebastian.</t>
  </si>
  <si>
    <t>Feria realizada en el municipio del Bordo Patia sobre tramites y servicios de la entidad y entes descentralizados.</t>
  </si>
  <si>
    <t>Jose Vicente Montaño Lopez-Tecnico administrativo-Carrera administrativa</t>
  </si>
  <si>
    <t>Ejecutar el 80 % del proyecto cauca vive digital.</t>
  </si>
  <si>
    <t>Porcentaje del proyecto vive digital ejecutado</t>
  </si>
  <si>
    <t>César Andrés Olave Ruiz - Daniel Valencia</t>
  </si>
  <si>
    <t>SE ESPERA LA CONVOCATORIA PARA PRESENTAR EL PROYECTO; SIN EMBARGO YA SE ESTA TRABAJANDO PROPUESTA PARA SOSTENIBILIDAD DE VIVE DIGITAL</t>
  </si>
  <si>
    <t>Fortalecer el 100% de las dependencias de la administración departamental</t>
  </si>
  <si>
    <t>Porcentaje  de las dependencias  de la administración departamental fortalecidas</t>
  </si>
  <si>
    <t xml:space="preserve"> Modernización y fortalecimiento institucional</t>
  </si>
  <si>
    <t>Fortalecer  la gestión de la administración departamental para lograr mayor efectividad en la prestación de los servicios que permitan el posicionamiento del departamento</t>
  </si>
  <si>
    <t>Adecuar 4 edificaciones de propiedad de la Gobernación</t>
  </si>
  <si>
    <t>Número de edificaciones de propiedad de la Gobernación adecuadas</t>
  </si>
  <si>
    <t>Deriam Duban Muñoz Burbano - Profesional Universitario</t>
  </si>
  <si>
    <t>En este momento se estan realizando los estudios y diseños que serviran como insumo para el proyecto.</t>
  </si>
  <si>
    <t xml:space="preserve">Construir 1 planta física del archivo general del departamento </t>
  </si>
  <si>
    <t>Número de planta físicas de archivo general del departamento construidas</t>
  </si>
  <si>
    <t>Esta meta se programo para el 2018 teniendo en cuenta el plan operativo</t>
  </si>
  <si>
    <t>Reponer 10 vehículos para diez dependencias</t>
  </si>
  <si>
    <t>Número de vehículos para diez dependencias repuestos</t>
  </si>
  <si>
    <t>Esta meta se cumple en el 2016</t>
  </si>
  <si>
    <t>Modernizar 132 puestos de trabajo de los servidores públicos de la gobernación</t>
  </si>
  <si>
    <t>Número de puestos de trabajo de los servidores públicos de la gobernación modernizados</t>
  </si>
  <si>
    <t xml:space="preserve">Se esta elaborando el proyecto </t>
  </si>
  <si>
    <t xml:space="preserve">Implementar 1 estrategia anual de visibilización y comunicación del   departamento en el ámbito Regional, Nacional e internacional </t>
  </si>
  <si>
    <t xml:space="preserve">Número de estrategias anuales de visibilización y comunicación del departamento en el ámbito Regional, Nacional e internacional implementadas </t>
  </si>
  <si>
    <t xml:space="preserve">Capacitar al 50% de los servidores públicos de la Gobernación en temas propios de las funciones  del cargo y del clima organizacional </t>
  </si>
  <si>
    <t xml:space="preserve">Porcentaje de los servidores públicos de la Gobernación capacitados  en temas propios de las funciones  del cargo y del clima organizacional </t>
  </si>
  <si>
    <t xml:space="preserve">Sena </t>
  </si>
  <si>
    <t>Profesional Universitario</t>
  </si>
  <si>
    <t>Pendiente viabilización del proyecto PIC para la vigencia 2017.</t>
  </si>
  <si>
    <t xml:space="preserve">Implementar 1 estrategia para el fortalecimiento de las dependencias de la administración departamental   </t>
  </si>
  <si>
    <t xml:space="preserve">Número de estrategias para el fortalecimiento de las dependencias de la administración departamental implementadas   </t>
  </si>
  <si>
    <t>Sanear el 70% bienes inmuebles de propiedad del Departamento.</t>
  </si>
  <si>
    <t>Porcentaje de bienes inmuebles de propiedad del Departamento saneados</t>
  </si>
  <si>
    <t>Saneamiento de bienes  inmuebles del Departamento</t>
  </si>
  <si>
    <t>Legalizar y/o titular los bienes  inmuebles de propiedad del departamento.</t>
  </si>
  <si>
    <t>Legalizar y/o titular 150 bienes inmuebles de propiedad del departamento del cauca</t>
  </si>
  <si>
    <t>Número de bienes inmuebles de propiedad del departamento del cauca legalizados y/o titulados</t>
  </si>
  <si>
    <t xml:space="preserve">
436.219</t>
  </si>
  <si>
    <t>Saneamientos de los bienes inmuebles de propiedad del Departamento del Cauca</t>
  </si>
  <si>
    <t>2016-019000-0020</t>
  </si>
  <si>
    <t>1,342,650</t>
  </si>
  <si>
    <t>12 BIENES INMUEBLES PRIORIZADOS SANEADOS POPAYAN (ACCIONES
ADMINISTRATIVAS DE LEGALIZACION Y TITULACION
IMPLEMENTADAS, DE 6 PREDIOS EN LA VIENCIA 2016 Y 6 EN LA
VIGENCIA 2017).</t>
  </si>
  <si>
    <t>Deriam Duban Muñoz Burbano- Profesional Universitario</t>
  </si>
  <si>
    <t>Actualizar el inventario de 150 bienes inmuebles del departamento</t>
  </si>
  <si>
    <t>Número de bienes inmuebles del departamento con inventario  actualizado</t>
  </si>
  <si>
    <t>2016-019000-0021</t>
  </si>
  <si>
    <t>Alcanzar el 100% de la clasificación,  ordenación y descripción del fondo acumulado de la Gobernación</t>
  </si>
  <si>
    <t>Porcentaje de la clasificación,  ordenación y descripción del fondo acumulado de la Gobernación alcanzada</t>
  </si>
  <si>
    <t>Gestión documental</t>
  </si>
  <si>
    <t xml:space="preserve">Aplicar la normatividad vigente del archivo general de nación para lograr que   el archivo central opere  técnicamente  </t>
  </si>
  <si>
    <t>Ordenar el 33% del fondo documental acumulado de la Gobernación</t>
  </si>
  <si>
    <t>Porcentaje del fondo documental ordenado</t>
  </si>
  <si>
    <t>La meta de ordenar el 33% se cumplira en el 2016.</t>
  </si>
  <si>
    <t>Describir el 33 % del fondo documental acumulado en la Gobernación</t>
  </si>
  <si>
    <t>Porcentaje del fondo documental descrito</t>
  </si>
  <si>
    <t xml:space="preserve">Fortalecimiento a los procesos de transparencia y acceso a la informacion en la Gobernacion del Cauca mediante la intervencion de los fondos acumulados en el archivo general del Departamento </t>
  </si>
  <si>
    <t>2016-019000-0061</t>
  </si>
  <si>
    <t>Aplicación de tablas de valoracion documental</t>
  </si>
  <si>
    <t>Pablo Fernando Rosero Alarcon-Tecnico administrativo-carrera administrativa</t>
  </si>
  <si>
    <t>Implementar en un 30% el sistema de gestión de la seguridad y salud en el trabajo para la Gobernación del Departamento</t>
  </si>
  <si>
    <t>Porcentaje de implementación del sistema gestión de la seguridad y salud en el trabajo para la Gobernación del Departamento implementado</t>
  </si>
  <si>
    <t>Sistema de Gestión de la Seguridad y Salud en el Trabajo.</t>
  </si>
  <si>
    <t>Mejorar las condiciones de salud y el medio ambiente de trabajo, que conlleva a la promoción y el mantenimiento del bienestar físico, mental y social de los trabajadores de la gobernación del departamento del cauca.</t>
  </si>
  <si>
    <t>Implementar 1 sistema de seguridad y salud en el trabajo para la gobernación del cauca</t>
  </si>
  <si>
    <t xml:space="preserve">Número de sistema de seguridad y salud en el trabajo para la gobernación del cauca implementados </t>
  </si>
  <si>
    <t>Documento del sistema de seguridad y salud en el trabajo para la gobernación del cauca</t>
  </si>
  <si>
    <t>Implementación del sistema de gestión de seguridad y salud en el trabajo para los servidores públicos de la Gobernación del Cauca</t>
  </si>
  <si>
    <t>2016-019000-0073</t>
  </si>
  <si>
    <t>Maria del Socorro Olave Perez-profesional Universitario- Carreara administrativa</t>
  </si>
  <si>
    <t>El cumplimiento de la meta depende de la disponibilidad presupuestal,  y la agilidad de los procesos administrativos.</t>
  </si>
  <si>
    <t>Incrementar en un 10% el resultado de evaluación del informe ejecutivo anual de control interno realizado por el  DAFP</t>
  </si>
  <si>
    <t>Porcentaje del resultado de evaluación del informe ejecutivo anual de control interno incrementado</t>
  </si>
  <si>
    <t>Actualización del sistema integrado de gestión  NTCGP1000-MECI 2014</t>
  </si>
  <si>
    <t>Implementar la ntcgp1000, en la Gobernación del cauca fortaleciendo la armonización de  MECI 2014.</t>
  </si>
  <si>
    <t>Alcanzar 77,6 puntos en la evaluación MECI realizada por el departamento administrativo de la función pública (DAFP)</t>
  </si>
  <si>
    <t xml:space="preserve">Puntaje de la evaluación MECI realizada por el departamento administrativo de la función pública (DAFP) alcanzada </t>
  </si>
  <si>
    <t xml:space="preserve"> 67,6 PUNTOS </t>
  </si>
  <si>
    <t>Fortalecimiento del Sistema Integrado de Gestión de la Gobernación del Cauca.</t>
  </si>
  <si>
    <t>2016-019000-0080</t>
  </si>
  <si>
    <t>1,391,889</t>
  </si>
  <si>
    <t>Realizar documento que contengan guias, caracterizaciones y protocolos para los macroprocesos de gestión tecnologica, juridica , hacienda publica, infraestructura publica, planeación, desarrollo administrativo , fomento economico, gestión del talento humano, direccionamiento estrategico, gestión de la evaluación</t>
  </si>
  <si>
    <t xml:space="preserve">Paola Andrea Vidales Narvaez- profesional Universitario-Provisional </t>
  </si>
  <si>
    <t>Esta meta se lograra, siempre y cuando la entidad apoye con la contratación necesaria.</t>
  </si>
  <si>
    <t>Alcanzar 77  puntos en la evaluación gestión de la calidad realizada por el departamento administrativo de la función pública (DAFP)</t>
  </si>
  <si>
    <t xml:space="preserve">Puntaje  de la evaluación gestión de la calidad realizada por el departamento administrativo de la función pública (DAFP) alcanzada. </t>
  </si>
  <si>
    <t xml:space="preserve"> 67  PUNTOS </t>
  </si>
  <si>
    <t>Alcanzar 90 puntos en  la evaluación eficacia realizada por el departamento administrativo de la función pública (DAFP)</t>
  </si>
  <si>
    <t xml:space="preserve">Puntaje de la evaluación eficacia por el departamento administrativo de la función pública (DAFP) alcanzada. </t>
  </si>
  <si>
    <t xml:space="preserve"> 85 PUNTOS </t>
  </si>
  <si>
    <t>Alcanzar  66 puntos en  la evaluación efectividad por el departamento administrativo de la función pública (DAFP)</t>
  </si>
  <si>
    <t xml:space="preserve">Puntaje de la evaluación efectividad por el departamento administrativo de la función pública (DAFP) alcanzada. </t>
  </si>
  <si>
    <t>59 PUNTOS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</si>
</sst>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 #,##0_);[Red]\(&quot;$&quot;\ #,##0\)"/>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d\.m"/>
    <numFmt numFmtId="165" formatCode="&quot;$&quot;#,##0"/>
    <numFmt numFmtId="166" formatCode="_-* #,##0.00_-;\-* #,##0.00_-;_-* &quot;-&quot;??_-;_-@_-"/>
    <numFmt numFmtId="167" formatCode="0.0%"/>
    <numFmt numFmtId="168" formatCode="0.000%"/>
    <numFmt numFmtId="169" formatCode="_(* #,##0_);_(* \(#,##0\);_(* &quot;-&quot;??_);_(@_)"/>
    <numFmt numFmtId="170" formatCode="0000"/>
    <numFmt numFmtId="171" formatCode="0.000"/>
    <numFmt numFmtId="172" formatCode="#,##0\ &quot;km&quot;"/>
    <numFmt numFmtId="173" formatCode="#,##0.0\ &quot;km&quot;"/>
    <numFmt numFmtId="174" formatCode="#,##0.0"/>
    <numFmt numFmtId="175" formatCode="_ * #,##0_ ;_ * \-#,##0_ ;_ * &quot;-&quot;??_ ;_ @_ "/>
    <numFmt numFmtId="176" formatCode="#,##0.000"/>
    <numFmt numFmtId="177" formatCode="_(* #,##0.000_);_(* \(#,##0.000\);_(* &quot;-&quot;_);_(@_)"/>
    <numFmt numFmtId="178" formatCode="_-* #,##0_-;\-* #,##0_-;_-* &quot;-&quot;???_-;_-@_-"/>
    <numFmt numFmtId="179" formatCode="&quot;$&quot;#,##0;\-&quot;$&quot;#,##0"/>
    <numFmt numFmtId="180" formatCode="_-&quot;$&quot;* #,##0_-;\-&quot;$&quot;* #,##0_-;_-&quot;$&quot;* &quot;-&quot;_-;_-@_-"/>
    <numFmt numFmtId="181" formatCode="_-* #,##0_-;\-* #,##0_-;_-* &quot;-&quot;_-;_-@_-"/>
    <numFmt numFmtId="182" formatCode="0.0"/>
    <numFmt numFmtId="183" formatCode="_-[$$-240A]* #,##0_-;\-[$$-240A]* #,##0_-;_-[$$-240A]* &quot;-&quot;??_-;_-@_-"/>
    <numFmt numFmtId="184" formatCode="&quot;$&quot;\ #,##0.00"/>
  </numFmts>
  <fonts count="8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4"/>
      <name val="Arial"/>
      <family val="2"/>
    </font>
    <font>
      <b/>
      <sz val="14"/>
      <name val="Arial"/>
      <family val="2"/>
    </font>
    <font>
      <sz val="10"/>
      <name val="Arial"/>
      <family val="2"/>
    </font>
    <font>
      <b/>
      <sz val="11"/>
      <name val="Calibri"/>
      <family val="2"/>
    </font>
    <font>
      <sz val="10"/>
      <name val="Calibri"/>
      <family val="2"/>
    </font>
    <font>
      <sz val="11"/>
      <name val="Calibri"/>
      <family val="2"/>
    </font>
    <font>
      <sz val="10"/>
      <color rgb="FF000000"/>
      <name val="Calibri"/>
      <family val="2"/>
    </font>
    <font>
      <sz val="11"/>
      <color rgb="FF000000"/>
      <name val="Calibri"/>
      <family val="2"/>
    </font>
    <font>
      <sz val="9"/>
      <name val="Arial"/>
      <family val="2"/>
    </font>
    <font>
      <b/>
      <sz val="11"/>
      <color rgb="FF000000"/>
      <name val="Calibri"/>
      <family val="2"/>
    </font>
    <font>
      <sz val="11"/>
      <color rgb="FF000000"/>
      <name val="Arial"/>
      <family val="2"/>
    </font>
    <font>
      <sz val="10"/>
      <color rgb="FFFF0000"/>
      <name val="Arial"/>
      <family val="2"/>
    </font>
    <font>
      <sz val="11"/>
      <color rgb="FF000000"/>
      <name val="Calibri"/>
      <family val="2"/>
    </font>
    <font>
      <sz val="11"/>
      <name val="Calibri"/>
      <family val="2"/>
      <scheme val="minor"/>
    </font>
    <font>
      <sz val="12.1"/>
      <color rgb="FF000000"/>
      <name val="Calibri"/>
      <family val="2"/>
    </font>
    <font>
      <sz val="11"/>
      <color theme="1"/>
      <name val="Calibri"/>
      <family val="2"/>
    </font>
    <font>
      <sz val="11"/>
      <color rgb="FF000000"/>
      <name val="Calibri"/>
      <family val="2"/>
    </font>
    <font>
      <b/>
      <sz val="9"/>
      <color indexed="81"/>
      <name val="Calibri"/>
      <family val="2"/>
    </font>
    <font>
      <sz val="9"/>
      <color indexed="81"/>
      <name val="Calibri"/>
      <family val="2"/>
    </font>
    <font>
      <sz val="10"/>
      <color theme="1"/>
      <name val="Calibri"/>
      <family val="2"/>
    </font>
    <font>
      <sz val="9"/>
      <color indexed="81"/>
      <name val="Tahoma"/>
      <family val="2"/>
    </font>
    <font>
      <b/>
      <sz val="9"/>
      <color indexed="81"/>
      <name val="Tahoma"/>
      <family val="2"/>
    </font>
    <font>
      <sz val="11"/>
      <color rgb="FF000000"/>
      <name val="Calibri"/>
      <family val="2"/>
    </font>
    <font>
      <b/>
      <sz val="11"/>
      <color theme="1"/>
      <name val="Calibri"/>
      <family val="2"/>
      <scheme val="minor"/>
    </font>
    <font>
      <sz val="11"/>
      <color theme="1"/>
      <name val="Arial"/>
      <family val="2"/>
    </font>
    <font>
      <b/>
      <sz val="11"/>
      <color theme="1"/>
      <name val="Arial"/>
      <family val="2"/>
    </font>
    <font>
      <b/>
      <sz val="10"/>
      <color theme="1"/>
      <name val="Calibri"/>
      <family val="2"/>
      <scheme val="minor"/>
    </font>
    <font>
      <b/>
      <sz val="10"/>
      <color theme="1"/>
      <name val="Calibri"/>
      <family val="2"/>
    </font>
    <font>
      <sz val="11"/>
      <color indexed="8"/>
      <name val="Calibri"/>
      <family val="2"/>
      <scheme val="minor"/>
    </font>
    <font>
      <strike/>
      <sz val="11"/>
      <color theme="1"/>
      <name val="Calibri"/>
      <family val="2"/>
      <scheme val="minor"/>
    </font>
    <font>
      <sz val="8"/>
      <color theme="1"/>
      <name val="Calibri"/>
      <family val="2"/>
      <scheme val="minor"/>
    </font>
    <font>
      <sz val="12"/>
      <color theme="1"/>
      <name val="Calibri"/>
      <family val="2"/>
      <scheme val="minor"/>
    </font>
    <font>
      <sz val="8"/>
      <color theme="1"/>
      <name val="Arial"/>
      <family val="2"/>
    </font>
    <font>
      <sz val="10"/>
      <color theme="1"/>
      <name val="Calibri"/>
      <family val="2"/>
      <scheme val="minor"/>
    </font>
    <font>
      <b/>
      <sz val="8"/>
      <color indexed="81"/>
      <name val="Tahoma"/>
      <family val="2"/>
    </font>
    <font>
      <sz val="8"/>
      <color indexed="81"/>
      <name val="Tahoma"/>
      <family val="2"/>
    </font>
    <font>
      <b/>
      <sz val="11"/>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
      <sz val="11"/>
      <color rgb="FFFF0000"/>
      <name val="Calibri"/>
      <family val="2"/>
      <scheme val="minor"/>
    </font>
    <font>
      <u/>
      <sz val="10"/>
      <name val="Arial"/>
      <family val="2"/>
    </font>
    <font>
      <b/>
      <sz val="10"/>
      <name val="Calibri"/>
      <family val="2"/>
      <scheme val="minor"/>
    </font>
    <font>
      <b/>
      <sz val="10"/>
      <color indexed="8"/>
      <name val="Calibri"/>
      <family val="2"/>
      <scheme val="minor"/>
    </font>
    <font>
      <b/>
      <sz val="10"/>
      <color rgb="FF000000"/>
      <name val="Calibri"/>
      <family val="2"/>
      <scheme val="minor"/>
    </font>
    <font>
      <b/>
      <sz val="10"/>
      <color rgb="FFFF0000"/>
      <name val="Calibri"/>
      <family val="2"/>
      <scheme val="minor"/>
    </font>
    <font>
      <b/>
      <sz val="10"/>
      <name val="Calibri"/>
      <family val="2"/>
    </font>
    <font>
      <sz val="11"/>
      <color indexed="8"/>
      <name val="Calibri"/>
      <family val="2"/>
    </font>
    <font>
      <b/>
      <sz val="12"/>
      <color theme="1"/>
      <name val="Calibri"/>
      <family val="2"/>
      <scheme val="minor"/>
    </font>
    <font>
      <b/>
      <sz val="10"/>
      <name val="Arial"/>
      <family val="2"/>
    </font>
    <font>
      <sz val="10"/>
      <color indexed="81"/>
      <name val="Tahoma"/>
      <family val="2"/>
    </font>
    <font>
      <sz val="11"/>
      <color indexed="81"/>
      <name val="Tahoma"/>
      <family val="2"/>
    </font>
    <font>
      <sz val="18"/>
      <color indexed="81"/>
      <name val="Tahoma"/>
      <family val="2"/>
    </font>
    <font>
      <sz val="11"/>
      <color rgb="FF000000"/>
      <name val="Calibri"/>
      <family val="2"/>
      <scheme val="minor"/>
    </font>
    <font>
      <u/>
      <sz val="10"/>
      <name val="Calibri"/>
      <family val="2"/>
      <scheme val="minor"/>
    </font>
    <font>
      <sz val="10"/>
      <color rgb="FFC00000"/>
      <name val="Calibri"/>
      <family val="2"/>
      <scheme val="minor"/>
    </font>
    <font>
      <b/>
      <sz val="10"/>
      <color rgb="FFC00000"/>
      <name val="Calibri"/>
      <family val="2"/>
      <scheme val="minor"/>
    </font>
    <font>
      <sz val="10.5"/>
      <color theme="1"/>
      <name val="Calibri"/>
      <family val="2"/>
      <scheme val="minor"/>
    </font>
    <font>
      <b/>
      <sz val="14"/>
      <color theme="1"/>
      <name val="Calibri"/>
      <family val="2"/>
      <scheme val="minor"/>
    </font>
    <font>
      <b/>
      <sz val="10.5"/>
      <color theme="1"/>
      <name val="Calibri"/>
      <family val="2"/>
      <scheme val="minor"/>
    </font>
    <font>
      <sz val="10.5"/>
      <color theme="3"/>
      <name val="Calibri"/>
      <family val="2"/>
      <scheme val="minor"/>
    </font>
    <font>
      <b/>
      <sz val="16"/>
      <color theme="1"/>
      <name val="Calibri"/>
      <family val="2"/>
      <scheme val="minor"/>
    </font>
    <font>
      <sz val="10.5"/>
      <name val="Calibri"/>
      <family val="2"/>
      <scheme val="minor"/>
    </font>
    <font>
      <b/>
      <sz val="14"/>
      <name val="Calibri"/>
      <family val="2"/>
      <scheme val="minor"/>
    </font>
    <font>
      <sz val="10"/>
      <color rgb="FFFF0000"/>
      <name val="Calibri"/>
      <family val="2"/>
    </font>
    <font>
      <sz val="10"/>
      <color theme="1"/>
      <name val="Arial"/>
      <family val="2"/>
    </font>
    <font>
      <b/>
      <sz val="10"/>
      <color theme="1"/>
      <name val="Arial"/>
      <family val="2"/>
    </font>
    <font>
      <sz val="10"/>
      <color indexed="10"/>
      <name val="Arial"/>
      <family val="2"/>
    </font>
    <font>
      <sz val="11"/>
      <color theme="0"/>
      <name val="Calibri"/>
      <family val="2"/>
      <scheme val="minor"/>
    </font>
    <font>
      <sz val="12"/>
      <name val="Calibri"/>
      <family val="2"/>
    </font>
    <font>
      <b/>
      <sz val="12"/>
      <name val="Arial"/>
      <family val="2"/>
    </font>
    <font>
      <i/>
      <sz val="12"/>
      <color theme="1"/>
      <name val="Calibri"/>
      <family val="2"/>
      <scheme val="minor"/>
    </font>
    <font>
      <sz val="12"/>
      <color theme="1"/>
      <name val="Symbol"/>
      <family val="1"/>
      <charset val="2"/>
    </font>
    <font>
      <sz val="12"/>
      <color theme="1"/>
      <name val="Arial"/>
      <family val="2"/>
    </font>
    <font>
      <b/>
      <i/>
      <sz val="11"/>
      <color theme="1"/>
      <name val="Arial"/>
      <family val="2"/>
    </font>
    <font>
      <sz val="11.5"/>
      <color rgb="FF000000"/>
      <name val="Calibri"/>
      <family val="2"/>
      <scheme val="minor"/>
    </font>
    <font>
      <sz val="11.5"/>
      <color indexed="8"/>
      <name val="Calibri"/>
      <family val="2"/>
    </font>
    <font>
      <sz val="11"/>
      <color rgb="FF000000"/>
      <name val="Calibri"/>
    </font>
    <font>
      <b/>
      <sz val="8"/>
      <color indexed="81"/>
      <name val="Tahoma"/>
    </font>
    <font>
      <sz val="8"/>
      <color indexed="81"/>
      <name val="Tahoma"/>
    </font>
  </fonts>
  <fills count="12">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theme="0"/>
        <bgColor indexed="64"/>
      </patternFill>
    </fill>
    <fill>
      <patternFill patternType="solid">
        <fgColor rgb="FFFFFF00"/>
        <bgColor rgb="FFFF9900"/>
      </patternFill>
    </fill>
    <fill>
      <patternFill patternType="solid">
        <fgColor rgb="FFFFFF00"/>
        <bgColor indexed="64"/>
      </patternFill>
    </fill>
    <fill>
      <patternFill patternType="solid">
        <fgColor theme="4" tint="0.59999389629810485"/>
        <bgColor indexed="64"/>
      </patternFill>
    </fill>
    <fill>
      <patternFill patternType="solid">
        <fgColor indexed="13"/>
        <bgColor indexed="64"/>
      </patternFill>
    </fill>
    <fill>
      <patternFill patternType="solid">
        <fgColor theme="0"/>
        <bgColor rgb="FFFF9900"/>
      </patternFill>
    </fill>
    <fill>
      <patternFill patternType="solid">
        <fgColor rgb="FFFFC000"/>
        <bgColor indexed="64"/>
      </patternFill>
    </fill>
    <fill>
      <patternFill patternType="solid">
        <fgColor theme="8"/>
      </patternFill>
    </fill>
  </fills>
  <borders count="6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rgb="FF000000"/>
      </right>
      <top/>
      <bottom/>
      <diagonal/>
    </border>
    <border>
      <left style="thin">
        <color auto="1"/>
      </left>
      <right/>
      <top style="thin">
        <color auto="1"/>
      </top>
      <bottom/>
      <diagonal/>
    </border>
    <border>
      <left style="thin">
        <color auto="1"/>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style="medium">
        <color indexed="64"/>
      </right>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indexed="64"/>
      </right>
      <top/>
      <bottom style="double">
        <color indexed="64"/>
      </bottom>
      <diagonal/>
    </border>
    <border>
      <left style="thin">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auto="1"/>
      </right>
      <top/>
      <bottom/>
      <diagonal/>
    </border>
    <border>
      <left style="thin">
        <color auto="1"/>
      </left>
      <right style="thin">
        <color auto="1"/>
      </right>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bottom style="medium">
        <color indexed="64"/>
      </bottom>
      <diagonal/>
    </border>
  </borders>
  <cellStyleXfs count="12">
    <xf numFmtId="0" fontId="0" fillId="0" borderId="0"/>
    <xf numFmtId="43" fontId="17" fillId="0" borderId="0" applyFont="0" applyFill="0" applyBorder="0" applyAlignment="0" applyProtection="0"/>
    <xf numFmtId="9" fontId="21" fillId="0" borderId="0" applyFont="0" applyFill="0" applyBorder="0" applyAlignment="0" applyProtection="0"/>
    <xf numFmtId="42" fontId="27" fillId="0" borderId="0" applyFont="0" applyFill="0" applyBorder="0" applyAlignment="0" applyProtection="0"/>
    <xf numFmtId="166" fontId="3" fillId="0" borderId="0" applyFont="0" applyFill="0" applyBorder="0" applyAlignment="0" applyProtection="0"/>
    <xf numFmtId="166" fontId="33" fillId="0" borderId="0" applyFont="0" applyFill="0" applyBorder="0" applyAlignment="0" applyProtection="0"/>
    <xf numFmtId="44" fontId="27" fillId="0" borderId="0" applyFont="0" applyFill="0" applyBorder="0" applyAlignment="0" applyProtection="0"/>
    <xf numFmtId="0" fontId="2" fillId="0" borderId="0"/>
    <xf numFmtId="0" fontId="7" fillId="0" borderId="0"/>
    <xf numFmtId="0" fontId="74" fillId="11" borderId="0" applyNumberFormat="0" applyBorder="0" applyAlignment="0" applyProtection="0"/>
    <xf numFmtId="42" fontId="1" fillId="0" borderId="0" applyFont="0" applyFill="0" applyBorder="0" applyAlignment="0" applyProtection="0"/>
    <xf numFmtId="41" fontId="83" fillId="0" borderId="0" applyFont="0" applyFill="0" applyBorder="0" applyAlignment="0" applyProtection="0"/>
  </cellStyleXfs>
  <cellXfs count="999">
    <xf numFmtId="0" fontId="0" fillId="0" borderId="0" xfId="0" applyFont="1" applyAlignment="1"/>
    <xf numFmtId="0" fontId="4" fillId="2" borderId="0" xfId="0" applyFont="1" applyFill="1" applyBorder="1" applyAlignment="1">
      <alignment vertical="center" wrapText="1"/>
    </xf>
    <xf numFmtId="0" fontId="0"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0" fillId="0" borderId="0" xfId="0" applyFont="1" applyAlignment="1"/>
    <xf numFmtId="0" fontId="4" fillId="2" borderId="0" xfId="0" applyFont="1" applyFill="1" applyBorder="1" applyAlignment="1">
      <alignment vertical="top" wrapText="1"/>
    </xf>
    <xf numFmtId="3" fontId="0" fillId="0" borderId="8" xfId="1" applyNumberFormat="1" applyFont="1" applyFill="1" applyBorder="1" applyAlignment="1">
      <alignment vertical="top"/>
    </xf>
    <xf numFmtId="0" fontId="0" fillId="0" borderId="0" xfId="0" applyFont="1" applyAlignment="1">
      <alignment vertical="top" wrapText="1"/>
    </xf>
    <xf numFmtId="3" fontId="0" fillId="0" borderId="0" xfId="0" applyNumberFormat="1" applyFont="1" applyAlignment="1">
      <alignment vertical="top" wrapText="1"/>
    </xf>
    <xf numFmtId="0" fontId="16" fillId="0" borderId="0" xfId="0" applyFont="1" applyAlignment="1">
      <alignment vertical="top" wrapText="1"/>
    </xf>
    <xf numFmtId="0" fontId="18" fillId="4" borderId="8" xfId="1" applyNumberFormat="1" applyFont="1" applyFill="1" applyBorder="1" applyAlignment="1">
      <alignment horizontal="left" vertical="top" wrapText="1"/>
    </xf>
    <xf numFmtId="0" fontId="18" fillId="4" borderId="8" xfId="1" applyNumberFormat="1" applyFont="1" applyFill="1" applyBorder="1" applyAlignment="1">
      <alignment horizontal="left" vertical="top" wrapText="1"/>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8" fillId="5" borderId="5" xfId="0" applyFont="1" applyFill="1" applyBorder="1" applyAlignment="1" applyProtection="1">
      <alignment horizontal="center" vertical="center" wrapText="1"/>
      <protection locked="0"/>
    </xf>
    <xf numFmtId="0" fontId="8" fillId="5" borderId="5"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0" fontId="18" fillId="0" borderId="8" xfId="1"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0" fontId="0" fillId="0" borderId="6" xfId="0" applyFont="1" applyFill="1" applyBorder="1" applyAlignment="1">
      <alignment horizontal="left" vertical="top" wrapText="1"/>
    </xf>
    <xf numFmtId="0" fontId="0" fillId="0" borderId="2" xfId="0" applyFont="1" applyFill="1" applyBorder="1" applyAlignment="1">
      <alignment horizontal="center" vertical="top" wrapText="1"/>
    </xf>
    <xf numFmtId="3" fontId="0" fillId="0" borderId="8" xfId="0" applyNumberFormat="1" applyFont="1" applyFill="1" applyBorder="1" applyAlignment="1">
      <alignment horizontal="right" vertical="top"/>
    </xf>
    <xf numFmtId="0" fontId="0" fillId="0" borderId="2" xfId="0" applyFont="1" applyFill="1" applyBorder="1" applyAlignment="1">
      <alignment horizontal="left" vertical="top" wrapText="1"/>
    </xf>
    <xf numFmtId="0" fontId="19" fillId="0" borderId="8" xfId="0"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center" vertical="top" wrapText="1"/>
    </xf>
    <xf numFmtId="0" fontId="20" fillId="0" borderId="8" xfId="0" applyFont="1" applyFill="1" applyBorder="1" applyAlignment="1">
      <alignment horizontal="left" vertical="top" wrapText="1"/>
    </xf>
    <xf numFmtId="0" fontId="19" fillId="0" borderId="8" xfId="0" applyFont="1" applyFill="1" applyBorder="1" applyAlignment="1">
      <alignment horizontal="left" vertical="top" wrapText="1"/>
    </xf>
    <xf numFmtId="3" fontId="0" fillId="0" borderId="2" xfId="0" applyNumberFormat="1" applyFont="1" applyFill="1" applyBorder="1" applyAlignment="1">
      <alignment horizontal="center" vertical="top" wrapText="1"/>
    </xf>
    <xf numFmtId="3" fontId="19"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3" fontId="0" fillId="0" borderId="3" xfId="0" applyNumberFormat="1" applyFont="1" applyFill="1" applyBorder="1" applyAlignment="1">
      <alignment horizontal="left" vertical="top" wrapText="1"/>
    </xf>
    <xf numFmtId="9" fontId="4" fillId="0" borderId="6" xfId="0" applyNumberFormat="1" applyFont="1" applyFill="1" applyBorder="1" applyAlignment="1">
      <alignment horizontal="center" vertical="top" wrapText="1"/>
    </xf>
    <xf numFmtId="9" fontId="0" fillId="0" borderId="2"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2" xfId="0" applyFont="1" applyFill="1" applyBorder="1" applyAlignment="1">
      <alignment horizontal="center" vertical="top" wrapText="1"/>
    </xf>
    <xf numFmtId="0" fontId="0" fillId="0" borderId="8" xfId="0" applyFont="1" applyFill="1" applyBorder="1" applyAlignment="1">
      <alignment horizontal="left" vertical="top" wrapText="1"/>
    </xf>
    <xf numFmtId="0" fontId="0" fillId="0" borderId="6" xfId="0" applyFont="1" applyFill="1" applyBorder="1" applyAlignment="1">
      <alignment vertical="top" wrapText="1"/>
    </xf>
    <xf numFmtId="0" fontId="0" fillId="0" borderId="2" xfId="0" applyFont="1" applyFill="1" applyBorder="1" applyAlignment="1">
      <alignment vertical="top" wrapText="1"/>
    </xf>
    <xf numFmtId="0" fontId="4" fillId="0" borderId="8" xfId="0" applyFont="1" applyFill="1" applyBorder="1" applyAlignment="1">
      <alignment horizontal="left" vertical="top" wrapText="1"/>
    </xf>
    <xf numFmtId="0" fontId="4" fillId="0" borderId="0" xfId="0" applyFont="1" applyFill="1" applyBorder="1" applyAlignment="1">
      <alignment vertical="top" wrapText="1"/>
    </xf>
    <xf numFmtId="3" fontId="4" fillId="0" borderId="2" xfId="0" applyNumberFormat="1" applyFont="1" applyFill="1" applyBorder="1" applyAlignment="1">
      <alignment horizontal="center" vertical="top" wrapText="1"/>
    </xf>
    <xf numFmtId="0" fontId="0"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3" fontId="0" fillId="0" borderId="6" xfId="0" applyNumberFormat="1" applyFont="1" applyFill="1" applyBorder="1" applyAlignment="1">
      <alignment horizontal="left" vertical="top" wrapText="1"/>
    </xf>
    <xf numFmtId="0" fontId="12" fillId="0" borderId="6" xfId="0" applyFont="1" applyFill="1" applyBorder="1" applyAlignment="1">
      <alignment vertical="top" wrapText="1"/>
    </xf>
    <xf numFmtId="3" fontId="0" fillId="0" borderId="6" xfId="0" applyNumberFormat="1" applyFont="1" applyFill="1" applyBorder="1" applyAlignment="1">
      <alignment horizontal="left" vertical="top"/>
    </xf>
    <xf numFmtId="0" fontId="0" fillId="0" borderId="0" xfId="0" applyFont="1" applyFill="1" applyAlignment="1">
      <alignment horizontal="left" vertical="top" wrapText="1"/>
    </xf>
    <xf numFmtId="0" fontId="12" fillId="0" borderId="0" xfId="0" applyFont="1" applyFill="1" applyAlignment="1">
      <alignment horizontal="left" vertical="top" wrapText="1"/>
    </xf>
    <xf numFmtId="0" fontId="11" fillId="0" borderId="6" xfId="0" applyFont="1" applyFill="1" applyBorder="1" applyAlignment="1">
      <alignment horizontal="left" vertical="top" wrapText="1"/>
    </xf>
    <xf numFmtId="0" fontId="13" fillId="0" borderId="6" xfId="0" applyFont="1" applyFill="1" applyBorder="1" applyAlignment="1">
      <alignment horizontal="center" vertical="top" wrapText="1"/>
    </xf>
    <xf numFmtId="165" fontId="24" fillId="0" borderId="8" xfId="0" applyNumberFormat="1" applyFont="1" applyFill="1" applyBorder="1" applyAlignment="1">
      <alignment horizontal="right" vertical="top" wrapText="1"/>
    </xf>
    <xf numFmtId="0" fontId="14" fillId="0" borderId="6" xfId="0" applyFont="1" applyFill="1" applyBorder="1" applyAlignment="1">
      <alignment vertical="top" wrapText="1"/>
    </xf>
    <xf numFmtId="0" fontId="4" fillId="0" borderId="0" xfId="0" applyFont="1" applyFill="1" applyAlignment="1">
      <alignment horizontal="left" vertical="top" wrapText="1"/>
    </xf>
    <xf numFmtId="9" fontId="0" fillId="0" borderId="6" xfId="0" applyNumberFormat="1" applyFont="1" applyFill="1" applyBorder="1" applyAlignment="1">
      <alignment horizontal="center" vertical="top" wrapText="1"/>
    </xf>
    <xf numFmtId="0" fontId="4" fillId="0" borderId="6" xfId="0" applyFont="1" applyFill="1" applyBorder="1" applyAlignment="1">
      <alignment horizontal="center" vertical="top"/>
    </xf>
    <xf numFmtId="3" fontId="0" fillId="0" borderId="6" xfId="0" applyNumberFormat="1" applyFont="1" applyFill="1" applyBorder="1" applyAlignment="1">
      <alignment horizontal="right" vertical="top"/>
    </xf>
    <xf numFmtId="3" fontId="0" fillId="0" borderId="0" xfId="0" applyNumberFormat="1" applyFont="1" applyFill="1" applyAlignment="1">
      <alignment horizontal="left" vertical="top" wrapText="1"/>
    </xf>
    <xf numFmtId="0" fontId="20" fillId="0" borderId="6" xfId="0" applyFont="1" applyFill="1" applyBorder="1" applyAlignment="1">
      <alignment horizontal="left" vertical="top" wrapText="1"/>
    </xf>
    <xf numFmtId="0" fontId="4" fillId="0" borderId="1" xfId="0" applyFont="1" applyFill="1" applyBorder="1" applyAlignment="1">
      <alignment vertical="top" wrapText="1"/>
    </xf>
    <xf numFmtId="0" fontId="12" fillId="0" borderId="6" xfId="0" applyFont="1" applyFill="1" applyBorder="1" applyAlignment="1">
      <alignment horizontal="center" vertical="top" wrapText="1"/>
    </xf>
    <xf numFmtId="10" fontId="0" fillId="0" borderId="2" xfId="0" applyNumberFormat="1" applyFont="1" applyFill="1" applyBorder="1" applyAlignment="1">
      <alignment horizontal="center" vertical="top" wrapText="1"/>
    </xf>
    <xf numFmtId="3" fontId="0" fillId="0" borderId="8" xfId="1" applyNumberFormat="1" applyFont="1" applyFill="1" applyBorder="1" applyAlignment="1">
      <alignment horizontal="right" vertical="top"/>
    </xf>
    <xf numFmtId="0" fontId="0" fillId="0" borderId="1" xfId="0" applyFont="1" applyFill="1" applyBorder="1" applyAlignment="1">
      <alignment horizontal="left" vertical="top" wrapText="1"/>
    </xf>
    <xf numFmtId="0" fontId="0" fillId="0" borderId="0" xfId="0" applyFont="1" applyFill="1" applyAlignment="1">
      <alignment vertical="top" wrapText="1"/>
    </xf>
    <xf numFmtId="10" fontId="4" fillId="0" borderId="2" xfId="0" applyNumberFormat="1" applyFont="1" applyFill="1" applyBorder="1" applyAlignment="1">
      <alignment horizontal="center" vertical="top" wrapText="1"/>
    </xf>
    <xf numFmtId="3" fontId="0" fillId="0" borderId="19" xfId="1" applyNumberFormat="1" applyFont="1" applyFill="1" applyBorder="1" applyAlignment="1">
      <alignment horizontal="right" vertical="top"/>
    </xf>
    <xf numFmtId="9" fontId="4" fillId="0" borderId="2" xfId="2" applyFont="1" applyFill="1" applyBorder="1" applyAlignment="1">
      <alignment horizontal="center" vertical="top" wrapText="1"/>
    </xf>
    <xf numFmtId="164" fontId="4" fillId="0" borderId="6" xfId="0" applyNumberFormat="1" applyFont="1" applyFill="1" applyBorder="1" applyAlignment="1">
      <alignment horizontal="center" vertical="top" wrapText="1"/>
    </xf>
    <xf numFmtId="3" fontId="15" fillId="0" borderId="0" xfId="0" applyNumberFormat="1" applyFont="1" applyFill="1" applyAlignment="1">
      <alignment horizontal="left" vertical="top"/>
    </xf>
    <xf numFmtId="0" fontId="0" fillId="0" borderId="10" xfId="0" applyFont="1" applyFill="1" applyBorder="1" applyAlignment="1">
      <alignment horizontal="left" vertical="top" wrapText="1"/>
    </xf>
    <xf numFmtId="3" fontId="15" fillId="0" borderId="8" xfId="0" applyNumberFormat="1" applyFont="1" applyFill="1" applyBorder="1" applyAlignment="1">
      <alignment horizontal="left" vertical="top"/>
    </xf>
    <xf numFmtId="0" fontId="0" fillId="0" borderId="8" xfId="0" applyFont="1" applyFill="1" applyBorder="1" applyAlignment="1">
      <alignment vertical="top" wrapText="1"/>
    </xf>
    <xf numFmtId="0" fontId="3" fillId="0" borderId="0" xfId="1" applyNumberFormat="1" applyFont="1" applyFill="1" applyAlignment="1">
      <alignment horizontal="justify" vertical="center"/>
    </xf>
    <xf numFmtId="3" fontId="3" fillId="0" borderId="0" xfId="1" applyNumberFormat="1" applyFont="1" applyFill="1" applyAlignment="1">
      <alignment horizontal="justify" vertical="center"/>
    </xf>
    <xf numFmtId="0" fontId="29" fillId="0" borderId="0" xfId="0" applyFont="1" applyFill="1" applyAlignment="1">
      <alignment horizontal="justify" vertical="center"/>
    </xf>
    <xf numFmtId="0" fontId="3" fillId="0" borderId="0" xfId="1" applyNumberFormat="1" applyFont="1" applyFill="1" applyAlignment="1">
      <alignment horizontal="center" vertical="center"/>
    </xf>
    <xf numFmtId="0" fontId="3" fillId="0" borderId="8" xfId="1" applyNumberFormat="1" applyFont="1" applyFill="1" applyBorder="1" applyAlignment="1">
      <alignment horizontal="justify" vertical="center"/>
    </xf>
    <xf numFmtId="3" fontId="3" fillId="0" borderId="8" xfId="1" applyNumberFormat="1" applyFont="1" applyFill="1" applyBorder="1" applyAlignment="1">
      <alignment horizontal="justify" vertical="center"/>
    </xf>
    <xf numFmtId="0" fontId="3" fillId="0" borderId="8" xfId="4" applyNumberFormat="1" applyFont="1" applyFill="1" applyBorder="1" applyAlignment="1">
      <alignment horizontal="justify" vertical="center"/>
    </xf>
    <xf numFmtId="0" fontId="3" fillId="0" borderId="19" xfId="0" applyFont="1" applyFill="1" applyBorder="1" applyAlignment="1">
      <alignment horizontal="justify" vertical="center"/>
    </xf>
    <xf numFmtId="9" fontId="3" fillId="0" borderId="8" xfId="4" applyNumberFormat="1" applyFont="1" applyFill="1" applyBorder="1" applyAlignment="1">
      <alignment horizontal="justify" vertical="center"/>
    </xf>
    <xf numFmtId="9" fontId="3" fillId="0" borderId="8" xfId="1" applyNumberFormat="1" applyFont="1" applyFill="1" applyBorder="1" applyAlignment="1">
      <alignment horizontal="justify" vertical="center"/>
    </xf>
    <xf numFmtId="9" fontId="3" fillId="0" borderId="8" xfId="0" applyNumberFormat="1" applyFont="1" applyFill="1" applyBorder="1" applyAlignment="1">
      <alignment horizontal="justify" vertical="center"/>
    </xf>
    <xf numFmtId="0" fontId="3" fillId="0" borderId="8" xfId="0" applyFont="1" applyFill="1" applyBorder="1" applyAlignment="1">
      <alignment horizontal="justify" vertical="center"/>
    </xf>
    <xf numFmtId="0" fontId="3" fillId="7" borderId="8" xfId="1" applyNumberFormat="1" applyFont="1" applyFill="1" applyBorder="1" applyAlignment="1">
      <alignment horizontal="justify" vertical="center"/>
    </xf>
    <xf numFmtId="3" fontId="3" fillId="7" borderId="8" xfId="1" applyNumberFormat="1" applyFont="1" applyFill="1" applyBorder="1" applyAlignment="1">
      <alignment horizontal="justify" vertical="center"/>
    </xf>
    <xf numFmtId="3" fontId="3" fillId="6" borderId="8" xfId="1" applyNumberFormat="1" applyFont="1" applyFill="1" applyBorder="1" applyAlignment="1">
      <alignment horizontal="justify" vertical="center"/>
    </xf>
    <xf numFmtId="0" fontId="3" fillId="7" borderId="0" xfId="1" applyNumberFormat="1" applyFont="1" applyFill="1" applyAlignment="1">
      <alignment horizontal="justify" vertical="center"/>
    </xf>
    <xf numFmtId="0" fontId="3" fillId="7" borderId="8" xfId="4" applyNumberFormat="1" applyFont="1" applyFill="1" applyBorder="1" applyAlignment="1">
      <alignment horizontal="justify" vertical="center"/>
    </xf>
    <xf numFmtId="1" fontId="3" fillId="7" borderId="8" xfId="5" applyNumberFormat="1" applyFont="1" applyFill="1" applyBorder="1" applyAlignment="1">
      <alignment horizontal="justify" vertical="center"/>
    </xf>
    <xf numFmtId="167" fontId="3" fillId="0" borderId="8" xfId="1" applyNumberFormat="1" applyFont="1" applyFill="1" applyBorder="1" applyAlignment="1">
      <alignment horizontal="justify" vertical="center"/>
    </xf>
    <xf numFmtId="168" fontId="3" fillId="0" borderId="8" xfId="1" applyNumberFormat="1" applyFont="1" applyFill="1" applyBorder="1" applyAlignment="1">
      <alignment horizontal="justify" vertical="center"/>
    </xf>
    <xf numFmtId="0" fontId="3" fillId="4" borderId="8" xfId="1" applyNumberFormat="1" applyFont="1" applyFill="1" applyBorder="1" applyAlignment="1">
      <alignment horizontal="justify" vertical="center"/>
    </xf>
    <xf numFmtId="0" fontId="3" fillId="0" borderId="0" xfId="0" applyFont="1" applyFill="1" applyAlignment="1">
      <alignment horizontal="justify" vertical="center"/>
    </xf>
    <xf numFmtId="167" fontId="3" fillId="0" borderId="8" xfId="0" applyNumberFormat="1" applyFont="1" applyFill="1" applyBorder="1" applyAlignment="1">
      <alignment horizontal="justify" vertical="center"/>
    </xf>
    <xf numFmtId="0" fontId="35" fillId="0" borderId="8" xfId="1" applyNumberFormat="1" applyFont="1" applyFill="1" applyBorder="1" applyAlignment="1">
      <alignment horizontal="justify" vertical="center"/>
    </xf>
    <xf numFmtId="0" fontId="3" fillId="0" borderId="0" xfId="0" applyFont="1" applyAlignment="1">
      <alignment vertical="center"/>
    </xf>
    <xf numFmtId="9" fontId="3" fillId="0" borderId="8" xfId="2" applyFont="1" applyFill="1" applyBorder="1" applyAlignment="1">
      <alignment horizontal="justify" vertical="center"/>
    </xf>
    <xf numFmtId="3" fontId="3" fillId="0" borderId="8" xfId="2" applyNumberFormat="1" applyFont="1" applyFill="1" applyBorder="1" applyAlignment="1">
      <alignment horizontal="justify" vertical="center"/>
    </xf>
    <xf numFmtId="1" fontId="3" fillId="0" borderId="8" xfId="2" applyNumberFormat="1" applyFont="1" applyFill="1" applyBorder="1" applyAlignment="1">
      <alignment horizontal="justify" vertical="center"/>
    </xf>
    <xf numFmtId="169" fontId="3" fillId="0" borderId="8" xfId="1" applyNumberFormat="1" applyFont="1" applyFill="1" applyBorder="1" applyAlignment="1">
      <alignment horizontal="justify" vertical="center"/>
    </xf>
    <xf numFmtId="1" fontId="3" fillId="0" borderId="8" xfId="0" applyNumberFormat="1" applyFont="1" applyFill="1" applyBorder="1" applyAlignment="1">
      <alignment horizontal="justify" vertical="center"/>
    </xf>
    <xf numFmtId="0" fontId="36" fillId="0" borderId="8" xfId="1" applyNumberFormat="1" applyFont="1" applyFill="1" applyBorder="1" applyAlignment="1">
      <alignment horizontal="justify" vertical="center"/>
    </xf>
    <xf numFmtId="0" fontId="20" fillId="0" borderId="8" xfId="1" applyNumberFormat="1" applyFont="1" applyFill="1" applyBorder="1" applyAlignment="1">
      <alignment horizontal="justify" vertical="center"/>
    </xf>
    <xf numFmtId="9" fontId="3" fillId="7" borderId="8" xfId="2" applyFont="1" applyFill="1" applyBorder="1" applyAlignment="1">
      <alignment horizontal="justify" vertical="center"/>
    </xf>
    <xf numFmtId="0" fontId="3" fillId="7" borderId="0" xfId="0" applyFont="1" applyFill="1" applyAlignment="1">
      <alignment horizontal="justify" vertical="center"/>
    </xf>
    <xf numFmtId="0" fontId="37" fillId="7" borderId="8" xfId="0" applyFont="1" applyFill="1" applyBorder="1" applyAlignment="1">
      <alignment horizontal="justify" vertical="center"/>
    </xf>
    <xf numFmtId="0" fontId="3" fillId="7" borderId="8" xfId="0" applyFont="1" applyFill="1" applyBorder="1" applyAlignment="1">
      <alignment horizontal="justify" vertical="center"/>
    </xf>
    <xf numFmtId="0" fontId="37" fillId="0" borderId="8" xfId="0" applyFont="1" applyFill="1" applyBorder="1" applyAlignment="1">
      <alignment horizontal="justify" vertical="center"/>
    </xf>
    <xf numFmtId="9" fontId="3" fillId="7" borderId="8" xfId="1" applyNumberFormat="1" applyFont="1" applyFill="1" applyBorder="1" applyAlignment="1">
      <alignment horizontal="justify" vertical="center"/>
    </xf>
    <xf numFmtId="9" fontId="3" fillId="7" borderId="8" xfId="0" applyNumberFormat="1" applyFont="1" applyFill="1" applyBorder="1" applyAlignment="1">
      <alignment horizontal="justify" vertical="center"/>
    </xf>
    <xf numFmtId="169" fontId="3" fillId="7" borderId="8" xfId="1" applyNumberFormat="1" applyFont="1" applyFill="1" applyBorder="1" applyAlignment="1">
      <alignment horizontal="justify" vertical="center"/>
    </xf>
    <xf numFmtId="2" fontId="3" fillId="7" borderId="8" xfId="1" applyNumberFormat="1" applyFont="1" applyFill="1" applyBorder="1" applyAlignment="1">
      <alignment horizontal="justify" vertical="center"/>
    </xf>
    <xf numFmtId="2" fontId="3" fillId="0" borderId="8" xfId="1" applyNumberFormat="1" applyFont="1" applyFill="1" applyBorder="1" applyAlignment="1">
      <alignment horizontal="justify" vertical="center"/>
    </xf>
    <xf numFmtId="0" fontId="38" fillId="0" borderId="8" xfId="1" applyNumberFormat="1" applyFont="1" applyFill="1" applyBorder="1" applyAlignment="1">
      <alignment horizontal="justify" vertical="center"/>
    </xf>
    <xf numFmtId="3" fontId="3" fillId="7" borderId="8" xfId="1" applyNumberFormat="1" applyFont="1" applyFill="1" applyBorder="1" applyAlignment="1">
      <alignment horizontal="left" vertical="center"/>
    </xf>
    <xf numFmtId="0" fontId="31" fillId="6" borderId="8" xfId="0" applyFont="1" applyFill="1" applyBorder="1" applyAlignment="1">
      <alignment horizontal="center" vertical="center" wrapText="1"/>
    </xf>
    <xf numFmtId="0" fontId="32" fillId="6" borderId="8" xfId="1" applyNumberFormat="1" applyFont="1" applyFill="1" applyBorder="1" applyAlignment="1">
      <alignment horizontal="center" vertical="center" wrapText="1"/>
    </xf>
    <xf numFmtId="0" fontId="18" fillId="4" borderId="0" xfId="1" applyNumberFormat="1" applyFont="1" applyFill="1"/>
    <xf numFmtId="0" fontId="18" fillId="4" borderId="0" xfId="1" applyNumberFormat="1" applyFont="1" applyFill="1" applyAlignment="1">
      <alignment vertical="center"/>
    </xf>
    <xf numFmtId="0" fontId="18" fillId="4" borderId="0" xfId="1" applyNumberFormat="1" applyFont="1" applyFill="1" applyAlignment="1">
      <alignment horizontal="center" vertical="center"/>
    </xf>
    <xf numFmtId="0" fontId="0" fillId="0" borderId="0" xfId="1" applyNumberFormat="1" applyFont="1"/>
    <xf numFmtId="0" fontId="0" fillId="0" borderId="0" xfId="1" applyNumberFormat="1" applyFont="1" applyAlignment="1">
      <alignment vertical="center"/>
    </xf>
    <xf numFmtId="3" fontId="0" fillId="0" borderId="0" xfId="0" applyNumberFormat="1" applyFill="1"/>
    <xf numFmtId="0" fontId="6"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left"/>
    </xf>
    <xf numFmtId="0" fontId="42" fillId="6" borderId="8" xfId="0" applyFont="1" applyFill="1" applyBorder="1" applyAlignment="1">
      <alignment horizontal="center" vertical="center" wrapText="1"/>
    </xf>
    <xf numFmtId="0" fontId="44" fillId="5" borderId="8" xfId="1" applyNumberFormat="1" applyFont="1" applyFill="1" applyBorder="1" applyAlignment="1">
      <alignment horizontal="center" vertical="center" wrapText="1"/>
    </xf>
    <xf numFmtId="0" fontId="43" fillId="8" borderId="8" xfId="0" applyFont="1" applyFill="1" applyBorder="1" applyAlignment="1">
      <alignment horizontal="center" vertical="center" wrapText="1"/>
    </xf>
    <xf numFmtId="0" fontId="18" fillId="4" borderId="8" xfId="1" applyNumberFormat="1" applyFont="1" applyFill="1" applyBorder="1" applyAlignment="1">
      <alignment vertical="top" wrapText="1"/>
    </xf>
    <xf numFmtId="0" fontId="18" fillId="9" borderId="8" xfId="1" applyNumberFormat="1" applyFont="1" applyFill="1" applyBorder="1" applyAlignment="1">
      <alignment horizontal="center" vertical="top" wrapText="1"/>
    </xf>
    <xf numFmtId="0" fontId="18" fillId="9" borderId="8" xfId="1" applyNumberFormat="1" applyFont="1" applyFill="1" applyBorder="1" applyAlignment="1">
      <alignment horizontal="center" vertical="center" wrapText="1"/>
    </xf>
    <xf numFmtId="0" fontId="0" fillId="4" borderId="8" xfId="1" applyNumberFormat="1" applyFont="1" applyFill="1" applyBorder="1" applyAlignment="1">
      <alignment horizontal="center" vertical="center"/>
    </xf>
    <xf numFmtId="0" fontId="0" fillId="4" borderId="8" xfId="1" applyNumberFormat="1" applyFont="1" applyFill="1" applyBorder="1" applyAlignment="1">
      <alignment horizontal="center" vertical="center" wrapText="1"/>
    </xf>
    <xf numFmtId="42" fontId="0" fillId="4" borderId="8" xfId="3" applyFont="1" applyFill="1" applyBorder="1" applyAlignment="1">
      <alignment horizontal="right" vertical="center"/>
    </xf>
    <xf numFmtId="170" fontId="0" fillId="4" borderId="8" xfId="1" applyNumberFormat="1" applyFont="1" applyFill="1" applyBorder="1" applyAlignment="1">
      <alignment vertical="center" wrapText="1"/>
    </xf>
    <xf numFmtId="0" fontId="0" fillId="4" borderId="0" xfId="1" applyNumberFormat="1" applyFont="1" applyFill="1" applyAlignment="1">
      <alignment horizontal="center" vertical="center" wrapText="1"/>
    </xf>
    <xf numFmtId="3" fontId="0" fillId="4" borderId="8" xfId="1" applyNumberFormat="1" applyFont="1" applyFill="1" applyBorder="1" applyAlignment="1">
      <alignment horizontal="center" vertical="center" wrapText="1"/>
    </xf>
    <xf numFmtId="42" fontId="0" fillId="4" borderId="8" xfId="3" applyFont="1" applyFill="1" applyBorder="1" applyAlignment="1">
      <alignment horizontal="left" vertical="center"/>
    </xf>
    <xf numFmtId="0" fontId="0" fillId="4" borderId="8" xfId="1" applyNumberFormat="1" applyFont="1" applyFill="1" applyBorder="1" applyAlignment="1">
      <alignment horizontal="left" vertical="center" wrapText="1"/>
    </xf>
    <xf numFmtId="0" fontId="18" fillId="4" borderId="8" xfId="1" applyNumberFormat="1" applyFont="1" applyFill="1" applyBorder="1" applyAlignment="1">
      <alignment horizontal="center" vertical="top" wrapText="1"/>
    </xf>
    <xf numFmtId="0" fontId="18" fillId="4" borderId="8" xfId="1" applyNumberFormat="1" applyFont="1" applyFill="1" applyBorder="1" applyAlignment="1">
      <alignment horizontal="center" vertical="center" wrapText="1"/>
    </xf>
    <xf numFmtId="0" fontId="0" fillId="4" borderId="8" xfId="1" applyNumberFormat="1" applyFont="1" applyFill="1" applyBorder="1"/>
    <xf numFmtId="9" fontId="18" fillId="4" borderId="8" xfId="1" applyNumberFormat="1" applyFont="1" applyFill="1" applyBorder="1" applyAlignment="1">
      <alignment horizontal="center" vertical="center" wrapText="1"/>
    </xf>
    <xf numFmtId="9" fontId="0" fillId="4" borderId="8" xfId="1" applyNumberFormat="1" applyFont="1" applyFill="1" applyBorder="1" applyAlignment="1">
      <alignment horizontal="center" vertical="center"/>
    </xf>
    <xf numFmtId="0" fontId="0" fillId="4" borderId="15" xfId="1" applyNumberFormat="1" applyFont="1" applyFill="1" applyBorder="1" applyAlignment="1">
      <alignment horizontal="center" vertical="center" wrapText="1"/>
    </xf>
    <xf numFmtId="0" fontId="0" fillId="0" borderId="8" xfId="1" applyNumberFormat="1" applyFont="1" applyFill="1" applyBorder="1" applyAlignment="1">
      <alignment horizontal="center" wrapText="1"/>
    </xf>
    <xf numFmtId="42" fontId="0" fillId="4" borderId="8" xfId="3" applyFont="1" applyFill="1" applyBorder="1" applyAlignment="1">
      <alignment horizontal="center" vertical="center"/>
    </xf>
    <xf numFmtId="0" fontId="0" fillId="4" borderId="8" xfId="1" applyNumberFormat="1" applyFont="1" applyFill="1" applyBorder="1" applyAlignment="1">
      <alignment wrapText="1"/>
    </xf>
    <xf numFmtId="0" fontId="18" fillId="4" borderId="8" xfId="1" applyNumberFormat="1" applyFont="1" applyFill="1" applyBorder="1" applyAlignment="1">
      <alignment horizontal="center" vertical="center"/>
    </xf>
    <xf numFmtId="9" fontId="18" fillId="4" borderId="8" xfId="1" applyNumberFormat="1" applyFont="1" applyFill="1" applyBorder="1" applyAlignment="1">
      <alignment horizontal="center" vertical="center"/>
    </xf>
    <xf numFmtId="3" fontId="0" fillId="4" borderId="8" xfId="1" applyNumberFormat="1" applyFont="1" applyFill="1" applyBorder="1" applyAlignment="1">
      <alignment horizontal="center" vertical="center"/>
    </xf>
    <xf numFmtId="0" fontId="0" fillId="4" borderId="8" xfId="1" applyNumberFormat="1" applyFont="1" applyFill="1" applyBorder="1" applyAlignment="1">
      <alignment vertical="center" wrapText="1"/>
    </xf>
    <xf numFmtId="42" fontId="18" fillId="0" borderId="8" xfId="3" applyFont="1" applyFill="1" applyBorder="1" applyAlignment="1">
      <alignment horizontal="right" vertical="center"/>
    </xf>
    <xf numFmtId="171" fontId="0" fillId="4" borderId="8" xfId="1" applyNumberFormat="1" applyFont="1" applyFill="1" applyBorder="1" applyAlignment="1">
      <alignment horizontal="left" vertical="center" wrapText="1"/>
    </xf>
    <xf numFmtId="42" fontId="18" fillId="4" borderId="8" xfId="3" applyFont="1" applyFill="1" applyBorder="1" applyAlignment="1">
      <alignment horizontal="center" vertical="center" wrapText="1"/>
    </xf>
    <xf numFmtId="9" fontId="18" fillId="9" borderId="8" xfId="1" applyNumberFormat="1" applyFont="1" applyFill="1" applyBorder="1" applyAlignment="1">
      <alignment horizontal="center" vertical="center" wrapText="1"/>
    </xf>
    <xf numFmtId="0" fontId="0" fillId="4" borderId="8" xfId="2" applyNumberFormat="1" applyFont="1" applyFill="1" applyBorder="1" applyAlignment="1">
      <alignment horizontal="center" vertical="center"/>
    </xf>
    <xf numFmtId="0" fontId="0" fillId="4" borderId="8" xfId="1" applyNumberFormat="1" applyFont="1" applyFill="1" applyBorder="1" applyAlignment="1">
      <alignment horizontal="center" vertical="top" wrapText="1"/>
    </xf>
    <xf numFmtId="3" fontId="18" fillId="9" borderId="8" xfId="1" applyNumberFormat="1" applyFont="1" applyFill="1" applyBorder="1" applyAlignment="1">
      <alignment horizontal="center" vertical="center" wrapText="1"/>
    </xf>
    <xf numFmtId="171" fontId="0" fillId="4" borderId="8" xfId="1" applyNumberFormat="1" applyFont="1" applyFill="1" applyBorder="1" applyAlignment="1">
      <alignment horizontal="center" vertical="center" wrapText="1"/>
    </xf>
    <xf numFmtId="42" fontId="0" fillId="0" borderId="8" xfId="3" applyFont="1" applyFill="1" applyBorder="1" applyAlignment="1">
      <alignment horizontal="center" vertical="center"/>
    </xf>
    <xf numFmtId="1" fontId="0" fillId="4" borderId="8" xfId="1" applyNumberFormat="1" applyFont="1" applyFill="1" applyBorder="1" applyAlignment="1">
      <alignment horizontal="center" vertical="center"/>
    </xf>
    <xf numFmtId="0" fontId="41" fillId="4" borderId="8" xfId="1" applyNumberFormat="1" applyFont="1" applyFill="1" applyBorder="1" applyAlignment="1">
      <alignment horizontal="center" vertical="center" wrapText="1"/>
    </xf>
    <xf numFmtId="43" fontId="0" fillId="4" borderId="8" xfId="1" applyFont="1" applyFill="1" applyBorder="1" applyAlignment="1">
      <alignment vertical="center" wrapText="1"/>
    </xf>
    <xf numFmtId="42" fontId="0" fillId="4" borderId="8" xfId="3" applyFont="1" applyFill="1" applyBorder="1" applyAlignment="1">
      <alignment vertical="center" wrapText="1"/>
    </xf>
    <xf numFmtId="0" fontId="18" fillId="0" borderId="8" xfId="1" applyNumberFormat="1" applyFont="1" applyFill="1" applyBorder="1" applyAlignment="1">
      <alignment horizontal="center" vertical="center" wrapText="1"/>
    </xf>
    <xf numFmtId="0" fontId="18" fillId="0" borderId="8" xfId="1" applyNumberFormat="1" applyFont="1" applyFill="1" applyBorder="1" applyAlignment="1">
      <alignment horizontal="center" vertical="center"/>
    </xf>
    <xf numFmtId="0" fontId="18" fillId="4" borderId="0" xfId="1" applyNumberFormat="1" applyFont="1" applyFill="1" applyAlignment="1">
      <alignment vertical="top" wrapText="1"/>
    </xf>
    <xf numFmtId="0" fontId="0" fillId="4" borderId="8" xfId="1" applyNumberFormat="1" applyFont="1" applyFill="1" applyBorder="1" applyAlignment="1">
      <alignment horizontal="left" vertical="center"/>
    </xf>
    <xf numFmtId="0" fontId="0" fillId="0" borderId="8" xfId="1" applyNumberFormat="1" applyFont="1" applyFill="1" applyBorder="1" applyAlignment="1">
      <alignment vertical="center"/>
    </xf>
    <xf numFmtId="0" fontId="36" fillId="0" borderId="8" xfId="0" applyFont="1" applyFill="1" applyBorder="1" applyAlignment="1">
      <alignment vertical="center" wrapText="1"/>
    </xf>
    <xf numFmtId="42" fontId="0" fillId="0" borderId="8" xfId="3" applyFont="1" applyFill="1" applyBorder="1" applyAlignment="1">
      <alignment vertical="center"/>
    </xf>
    <xf numFmtId="0" fontId="0" fillId="0" borderId="8" xfId="1" applyNumberFormat="1" applyFont="1" applyFill="1" applyBorder="1" applyAlignment="1">
      <alignment vertical="center" wrapText="1"/>
    </xf>
    <xf numFmtId="0" fontId="0" fillId="0" borderId="8" xfId="1" applyNumberFormat="1" applyFont="1" applyFill="1" applyBorder="1"/>
    <xf numFmtId="0" fontId="0" fillId="0" borderId="8" xfId="1" applyNumberFormat="1" applyFont="1" applyFill="1" applyBorder="1" applyAlignment="1">
      <alignment horizontal="center" vertical="center"/>
    </xf>
    <xf numFmtId="0" fontId="0" fillId="0" borderId="8" xfId="1" applyNumberFormat="1" applyFont="1" applyFill="1" applyBorder="1" applyAlignment="1">
      <alignment horizontal="left" vertical="center" wrapText="1"/>
    </xf>
    <xf numFmtId="0" fontId="36" fillId="0" borderId="15" xfId="0" applyFont="1" applyFill="1" applyBorder="1" applyAlignment="1">
      <alignment vertical="center" wrapText="1"/>
    </xf>
    <xf numFmtId="0" fontId="36" fillId="0" borderId="14" xfId="0" applyFont="1" applyFill="1" applyBorder="1" applyAlignment="1">
      <alignment vertical="center" wrapText="1"/>
    </xf>
    <xf numFmtId="2" fontId="0" fillId="4" borderId="8" xfId="1" applyNumberFormat="1" applyFont="1" applyFill="1" applyBorder="1" applyAlignment="1">
      <alignment horizontal="center" vertical="center"/>
    </xf>
    <xf numFmtId="0" fontId="0" fillId="0" borderId="8" xfId="0" applyFont="1" applyBorder="1" applyAlignment="1">
      <alignment horizontal="justify" vertical="center"/>
    </xf>
    <xf numFmtId="0" fontId="0" fillId="4" borderId="8" xfId="1" applyNumberFormat="1" applyFont="1" applyFill="1" applyBorder="1" applyAlignment="1">
      <alignment horizontal="justify" vertical="center"/>
    </xf>
    <xf numFmtId="0" fontId="0" fillId="4" borderId="8" xfId="1" applyNumberFormat="1" applyFont="1" applyFill="1" applyBorder="1" applyAlignment="1">
      <alignment horizontal="justify" vertical="center" wrapText="1"/>
    </xf>
    <xf numFmtId="0" fontId="0" fillId="0" borderId="0" xfId="0" applyFont="1" applyAlignment="1">
      <alignment horizontal="justify" vertical="center"/>
    </xf>
    <xf numFmtId="0" fontId="0" fillId="0" borderId="15" xfId="0" applyFont="1" applyBorder="1" applyAlignment="1">
      <alignment horizontal="justify" vertical="center"/>
    </xf>
    <xf numFmtId="0" fontId="42" fillId="6" borderId="14" xfId="0" applyFont="1" applyFill="1" applyBorder="1" applyAlignment="1">
      <alignment horizontal="center" vertical="center" wrapText="1"/>
    </xf>
    <xf numFmtId="0" fontId="18" fillId="0" borderId="8" xfId="1" applyNumberFormat="1" applyFont="1" applyFill="1" applyBorder="1" applyAlignment="1">
      <alignment horizontal="left" vertical="top" wrapText="1"/>
    </xf>
    <xf numFmtId="0" fontId="43" fillId="8" borderId="8"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left"/>
    </xf>
    <xf numFmtId="0" fontId="28" fillId="0" borderId="0" xfId="1" applyNumberFormat="1" applyFont="1" applyAlignment="1">
      <alignment vertical="center"/>
    </xf>
    <xf numFmtId="0" fontId="0" fillId="10" borderId="0" xfId="1" applyNumberFormat="1" applyFont="1" applyFill="1" applyAlignment="1">
      <alignment vertical="center"/>
    </xf>
    <xf numFmtId="3" fontId="28" fillId="0" borderId="0" xfId="0" applyNumberFormat="1" applyFont="1" applyFill="1" applyAlignment="1">
      <alignment vertical="center"/>
    </xf>
    <xf numFmtId="0" fontId="41" fillId="4" borderId="0" xfId="1" applyNumberFormat="1" applyFont="1" applyFill="1" applyAlignment="1">
      <alignment vertical="center"/>
    </xf>
    <xf numFmtId="0" fontId="7" fillId="0" borderId="0" xfId="0" applyFont="1" applyAlignment="1">
      <alignment horizontal="left" vertical="center"/>
    </xf>
    <xf numFmtId="0" fontId="48" fillId="10" borderId="8"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50" fillId="5" borderId="8" xfId="1" applyNumberFormat="1" applyFont="1" applyFill="1" applyBorder="1" applyAlignment="1">
      <alignment horizontal="center" vertical="center" wrapText="1"/>
    </xf>
    <xf numFmtId="0" fontId="31" fillId="10" borderId="8" xfId="0" applyFont="1" applyFill="1" applyBorder="1" applyAlignment="1">
      <alignment horizontal="center" vertical="center" wrapText="1"/>
    </xf>
    <xf numFmtId="0" fontId="49" fillId="8" borderId="8" xfId="0" applyFont="1" applyFill="1" applyBorder="1" applyAlignment="1">
      <alignment horizontal="center" vertical="center" wrapText="1"/>
    </xf>
    <xf numFmtId="0" fontId="0" fillId="4" borderId="8" xfId="1" applyNumberFormat="1" applyFont="1" applyFill="1" applyBorder="1" applyAlignment="1">
      <alignment vertical="center"/>
    </xf>
    <xf numFmtId="0" fontId="7" fillId="0" borderId="8" xfId="0" applyFont="1" applyFill="1" applyBorder="1" applyAlignment="1">
      <alignment horizontal="justify" vertical="center" wrapText="1"/>
    </xf>
    <xf numFmtId="3" fontId="4" fillId="0" borderId="8" xfId="0" applyNumberFormat="1" applyFont="1" applyFill="1" applyBorder="1" applyAlignment="1">
      <alignment horizontal="center" vertical="center"/>
    </xf>
    <xf numFmtId="3" fontId="18" fillId="0" borderId="8"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 xfId="0" applyFont="1" applyFill="1" applyBorder="1" applyAlignment="1">
      <alignment horizontal="left" vertical="center" wrapText="1"/>
    </xf>
    <xf numFmtId="0" fontId="18" fillId="4" borderId="8" xfId="1" applyNumberFormat="1" applyFont="1" applyFill="1" applyBorder="1" applyAlignment="1">
      <alignment horizontal="left" vertical="center" wrapText="1"/>
    </xf>
    <xf numFmtId="0" fontId="7" fillId="0" borderId="8" xfId="0" applyFont="1" applyFill="1" applyBorder="1" applyAlignment="1">
      <alignment horizontal="left" vertical="top" wrapText="1"/>
    </xf>
    <xf numFmtId="0" fontId="18" fillId="0" borderId="8" xfId="1" applyNumberFormat="1" applyFont="1" applyFill="1" applyBorder="1" applyAlignment="1">
      <alignment horizontal="justify" vertical="center" wrapText="1"/>
    </xf>
    <xf numFmtId="0" fontId="18" fillId="0" borderId="14" xfId="1" applyNumberFormat="1" applyFont="1" applyFill="1" applyBorder="1" applyAlignment="1">
      <alignment horizontal="center" vertical="center" wrapText="1"/>
    </xf>
    <xf numFmtId="0" fontId="18" fillId="0" borderId="15" xfId="1" applyNumberFormat="1" applyFont="1" applyFill="1" applyBorder="1" applyAlignment="1">
      <alignment horizontal="center" vertical="center" wrapText="1"/>
    </xf>
    <xf numFmtId="3" fontId="28" fillId="0" borderId="8" xfId="1" applyNumberFormat="1" applyFont="1" applyFill="1" applyBorder="1" applyAlignment="1">
      <alignment horizontal="right" vertical="center"/>
    </xf>
    <xf numFmtId="3" fontId="0" fillId="0" borderId="8" xfId="1" applyNumberFormat="1" applyFont="1" applyFill="1" applyBorder="1" applyAlignment="1">
      <alignment vertical="center"/>
    </xf>
    <xf numFmtId="172" fontId="0" fillId="0" borderId="8" xfId="1" applyNumberFormat="1" applyFont="1" applyFill="1" applyBorder="1" applyAlignment="1">
      <alignment horizontal="center" vertical="center"/>
    </xf>
    <xf numFmtId="3" fontId="0" fillId="0" borderId="8" xfId="1" applyNumberFormat="1" applyFont="1" applyFill="1" applyBorder="1" applyAlignment="1">
      <alignment vertical="center" wrapText="1"/>
    </xf>
    <xf numFmtId="3" fontId="2" fillId="0" borderId="8" xfId="1" applyNumberFormat="1" applyFont="1" applyFill="1" applyBorder="1" applyAlignment="1">
      <alignment vertical="center"/>
    </xf>
    <xf numFmtId="9" fontId="18" fillId="0" borderId="8" xfId="1" applyNumberFormat="1" applyFont="1" applyFill="1" applyBorder="1" applyAlignment="1">
      <alignment horizontal="center" vertical="center" wrapText="1"/>
    </xf>
    <xf numFmtId="0" fontId="7" fillId="0" borderId="8" xfId="0" applyFont="1" applyFill="1" applyBorder="1" applyAlignment="1">
      <alignment vertical="center" wrapText="1"/>
    </xf>
    <xf numFmtId="0" fontId="0" fillId="0" borderId="8" xfId="0" applyFill="1" applyBorder="1" applyAlignment="1">
      <alignment horizontal="center" vertical="center" wrapText="1"/>
    </xf>
    <xf numFmtId="3" fontId="0" fillId="0" borderId="8" xfId="0" applyNumberFormat="1" applyFill="1" applyBorder="1" applyAlignment="1">
      <alignment horizontal="right" vertical="center" wrapText="1"/>
    </xf>
    <xf numFmtId="3" fontId="0" fillId="0" borderId="8" xfId="0" applyNumberFormat="1" applyFill="1" applyBorder="1" applyAlignment="1">
      <alignment horizontal="right" vertical="top"/>
    </xf>
    <xf numFmtId="3" fontId="4" fillId="0" borderId="8" xfId="0" applyNumberFormat="1" applyFont="1" applyFill="1" applyBorder="1" applyAlignment="1">
      <alignment vertical="center" wrapText="1"/>
    </xf>
    <xf numFmtId="0" fontId="18" fillId="0" borderId="23" xfId="1" applyNumberFormat="1" applyFont="1" applyFill="1" applyBorder="1" applyAlignment="1">
      <alignment horizontal="center" vertical="center" wrapText="1"/>
    </xf>
    <xf numFmtId="3" fontId="0" fillId="0" borderId="8" xfId="1" applyNumberFormat="1" applyFont="1" applyFill="1" applyBorder="1" applyAlignment="1">
      <alignment horizontal="right" vertical="center"/>
    </xf>
    <xf numFmtId="1" fontId="9" fillId="0" borderId="8" xfId="7" applyNumberFormat="1" applyFont="1" applyFill="1" applyBorder="1" applyAlignment="1">
      <alignment horizontal="justify" vertical="center" wrapText="1"/>
    </xf>
    <xf numFmtId="0" fontId="18" fillId="0" borderId="8" xfId="0" applyFont="1" applyFill="1" applyBorder="1" applyAlignment="1">
      <alignment horizontal="left" vertical="center" wrapText="1"/>
    </xf>
    <xf numFmtId="175" fontId="53" fillId="0" borderId="8" xfId="1" applyNumberFormat="1" applyFont="1" applyFill="1" applyBorder="1" applyAlignment="1">
      <alignment horizontal="center" vertical="center" wrapText="1"/>
    </xf>
    <xf numFmtId="3" fontId="0" fillId="0" borderId="0" xfId="1" applyNumberFormat="1" applyFont="1" applyAlignment="1">
      <alignment vertical="center"/>
    </xf>
    <xf numFmtId="0" fontId="55" fillId="0" borderId="0" xfId="0" applyFont="1" applyAlignment="1">
      <alignment horizontal="left" vertical="center"/>
    </xf>
    <xf numFmtId="0" fontId="7" fillId="0" borderId="0" xfId="0" applyFont="1" applyAlignment="1">
      <alignment vertical="center"/>
    </xf>
    <xf numFmtId="3" fontId="2" fillId="0" borderId="8" xfId="1" applyNumberFormat="1" applyFont="1" applyFill="1" applyBorder="1" applyAlignment="1">
      <alignment horizontal="right" vertical="center"/>
    </xf>
    <xf numFmtId="3" fontId="41" fillId="0" borderId="8" xfId="0" applyNumberFormat="1" applyFont="1" applyFill="1" applyBorder="1" applyAlignment="1">
      <alignment horizontal="center" vertical="center" wrapText="1"/>
    </xf>
    <xf numFmtId="0" fontId="18" fillId="0" borderId="23" xfId="1" applyNumberFormat="1" applyFont="1" applyFill="1" applyBorder="1" applyAlignment="1">
      <alignment vertical="center" wrapText="1"/>
    </xf>
    <xf numFmtId="3" fontId="0" fillId="0" borderId="8" xfId="1" applyNumberFormat="1" applyFont="1" applyFill="1" applyBorder="1" applyAlignment="1">
      <alignment horizontal="center" vertical="center"/>
    </xf>
    <xf numFmtId="0" fontId="18" fillId="0" borderId="8" xfId="1" applyNumberFormat="1" applyFont="1" applyFill="1" applyBorder="1" applyAlignment="1">
      <alignment vertical="center" wrapText="1"/>
    </xf>
    <xf numFmtId="0" fontId="18" fillId="0" borderId="8" xfId="1" applyNumberFormat="1" applyFont="1" applyFill="1" applyBorder="1" applyAlignment="1">
      <alignment horizontal="left" vertical="center" wrapText="1"/>
    </xf>
    <xf numFmtId="3" fontId="28" fillId="0" borderId="8" xfId="1" applyNumberFormat="1" applyFont="1" applyFill="1" applyBorder="1" applyAlignment="1">
      <alignment horizontal="center" vertical="center"/>
    </xf>
    <xf numFmtId="0" fontId="42" fillId="0" borderId="8" xfId="0" applyFont="1" applyFill="1" applyBorder="1" applyAlignment="1">
      <alignment horizontal="justify" vertical="center" wrapText="1"/>
    </xf>
    <xf numFmtId="0" fontId="18" fillId="0" borderId="15" xfId="1" applyNumberFormat="1" applyFont="1" applyFill="1" applyBorder="1" applyAlignment="1">
      <alignment vertical="center" wrapText="1"/>
    </xf>
    <xf numFmtId="3" fontId="18" fillId="0" borderId="8" xfId="1" applyNumberFormat="1" applyFont="1" applyFill="1" applyBorder="1" applyAlignment="1">
      <alignment horizontal="center" vertical="center" wrapText="1"/>
    </xf>
    <xf numFmtId="0" fontId="18" fillId="0" borderId="8" xfId="1" applyNumberFormat="1" applyFont="1" applyFill="1" applyBorder="1" applyAlignment="1">
      <alignment vertical="top" wrapText="1"/>
    </xf>
    <xf numFmtId="0" fontId="18" fillId="0" borderId="8" xfId="1" applyNumberFormat="1" applyFont="1" applyFill="1" applyBorder="1" applyAlignment="1">
      <alignment horizontal="center" vertical="top" wrapText="1"/>
    </xf>
    <xf numFmtId="0" fontId="18" fillId="0" borderId="8" xfId="1" applyNumberFormat="1" applyFont="1" applyFill="1" applyBorder="1" applyAlignment="1">
      <alignment horizontal="justify" vertical="top" wrapText="1"/>
    </xf>
    <xf numFmtId="9" fontId="18" fillId="0" borderId="8" xfId="2" applyFont="1" applyFill="1" applyBorder="1" applyAlignment="1">
      <alignment horizontal="center" vertical="center" wrapText="1"/>
    </xf>
    <xf numFmtId="9" fontId="41" fillId="0" borderId="8" xfId="2" applyFont="1" applyFill="1" applyBorder="1" applyAlignment="1">
      <alignment horizontal="center" vertical="center" wrapText="1"/>
    </xf>
    <xf numFmtId="3" fontId="28" fillId="0" borderId="8" xfId="1" applyNumberFormat="1" applyFont="1" applyFill="1" applyBorder="1" applyAlignment="1">
      <alignment vertical="center"/>
    </xf>
    <xf numFmtId="0" fontId="28" fillId="0" borderId="8" xfId="1" applyNumberFormat="1" applyFont="1" applyFill="1" applyBorder="1" applyAlignment="1">
      <alignment horizontal="center" vertical="center"/>
    </xf>
    <xf numFmtId="0" fontId="18" fillId="0" borderId="8" xfId="1" applyNumberFormat="1" applyFont="1" applyFill="1" applyBorder="1" applyAlignment="1">
      <alignment horizontal="justify" vertical="center"/>
    </xf>
    <xf numFmtId="172" fontId="28" fillId="0" borderId="8" xfId="1" applyNumberFormat="1" applyFont="1" applyFill="1" applyBorder="1" applyAlignment="1">
      <alignment horizontal="center" vertical="center"/>
    </xf>
    <xf numFmtId="0" fontId="0" fillId="0" borderId="8" xfId="1" applyNumberFormat="1" applyFont="1" applyFill="1" applyBorder="1" applyAlignment="1">
      <alignment horizontal="justify" vertical="center"/>
    </xf>
    <xf numFmtId="173" fontId="0" fillId="0" borderId="8" xfId="1" applyNumberFormat="1" applyFont="1" applyFill="1" applyBorder="1" applyAlignment="1">
      <alignment horizontal="center" vertical="center"/>
    </xf>
    <xf numFmtId="9" fontId="18" fillId="0" borderId="14" xfId="1" applyNumberFormat="1" applyFont="1" applyFill="1" applyBorder="1" applyAlignment="1">
      <alignment horizontal="center" vertical="center" wrapText="1"/>
    </xf>
    <xf numFmtId="9" fontId="41" fillId="0" borderId="8" xfId="1" applyNumberFormat="1" applyFont="1" applyFill="1" applyBorder="1" applyAlignment="1">
      <alignment horizontal="center" vertical="center" wrapText="1"/>
    </xf>
    <xf numFmtId="4" fontId="28" fillId="0" borderId="8" xfId="1" applyNumberFormat="1" applyFont="1" applyFill="1" applyBorder="1" applyAlignment="1">
      <alignment horizontal="center" vertical="center"/>
    </xf>
    <xf numFmtId="4" fontId="0" fillId="0" borderId="8" xfId="1" applyNumberFormat="1" applyFont="1" applyFill="1" applyBorder="1" applyAlignment="1">
      <alignment horizontal="center" vertical="center"/>
    </xf>
    <xf numFmtId="174" fontId="0" fillId="0" borderId="8" xfId="1" applyNumberFormat="1" applyFont="1" applyFill="1" applyBorder="1" applyAlignment="1">
      <alignment horizontal="center" vertical="center"/>
    </xf>
    <xf numFmtId="3" fontId="46" fillId="0" borderId="8" xfId="1" applyNumberFormat="1" applyFont="1" applyFill="1" applyBorder="1" applyAlignment="1">
      <alignment horizontal="center" vertical="center"/>
    </xf>
    <xf numFmtId="0" fontId="28" fillId="0" borderId="8" xfId="1" applyNumberFormat="1" applyFont="1" applyFill="1" applyBorder="1" applyAlignment="1">
      <alignment vertical="center"/>
    </xf>
    <xf numFmtId="0" fontId="18" fillId="0" borderId="14" xfId="1" applyNumberFormat="1" applyFont="1" applyFill="1" applyBorder="1" applyAlignment="1">
      <alignment vertical="center" wrapText="1"/>
    </xf>
    <xf numFmtId="174" fontId="0" fillId="0" borderId="8" xfId="1" applyNumberFormat="1" applyFont="1" applyFill="1" applyBorder="1" applyAlignment="1">
      <alignment vertical="center"/>
    </xf>
    <xf numFmtId="9" fontId="28" fillId="0" borderId="8" xfId="2" applyFont="1" applyFill="1" applyBorder="1" applyAlignment="1">
      <alignment horizontal="center" vertical="center"/>
    </xf>
    <xf numFmtId="9" fontId="0" fillId="0" borderId="8" xfId="2" applyFont="1" applyFill="1" applyBorder="1" applyAlignment="1">
      <alignment horizontal="center" vertical="center"/>
    </xf>
    <xf numFmtId="0" fontId="9" fillId="0" borderId="8" xfId="0" applyFont="1" applyFill="1" applyBorder="1" applyAlignment="1">
      <alignment horizontal="justify" vertical="top" wrapText="1"/>
    </xf>
    <xf numFmtId="3" fontId="2" fillId="0" borderId="8" xfId="1" applyNumberFormat="1" applyFont="1" applyFill="1" applyBorder="1" applyAlignment="1">
      <alignment horizontal="center" vertical="center"/>
    </xf>
    <xf numFmtId="174" fontId="2" fillId="0" borderId="8" xfId="1" applyNumberFormat="1" applyFont="1" applyFill="1" applyBorder="1" applyAlignment="1">
      <alignment vertical="center"/>
    </xf>
    <xf numFmtId="3" fontId="18" fillId="0" borderId="8" xfId="1" applyNumberFormat="1" applyFont="1" applyFill="1" applyBorder="1" applyAlignment="1">
      <alignment horizontal="center" vertical="top" wrapText="1"/>
    </xf>
    <xf numFmtId="3" fontId="28" fillId="0" borderId="8" xfId="1" applyNumberFormat="1" applyFont="1" applyFill="1" applyBorder="1" applyAlignment="1">
      <alignment horizontal="center" vertical="top"/>
    </xf>
    <xf numFmtId="3" fontId="18" fillId="0" borderId="8" xfId="1" applyNumberFormat="1" applyFont="1" applyFill="1" applyBorder="1" applyAlignment="1">
      <alignment vertical="center" wrapText="1"/>
    </xf>
    <xf numFmtId="3" fontId="0" fillId="0" borderId="8" xfId="0" applyNumberFormat="1" applyFill="1" applyBorder="1"/>
    <xf numFmtId="9" fontId="18" fillId="0" borderId="8" xfId="1" applyNumberFormat="1" applyFont="1" applyFill="1" applyBorder="1" applyAlignment="1">
      <alignment horizontal="center" vertical="top" wrapText="1"/>
    </xf>
    <xf numFmtId="3" fontId="0" fillId="0" borderId="8" xfId="0" applyNumberFormat="1" applyFill="1" applyBorder="1" applyAlignment="1">
      <alignment vertical="center" wrapText="1"/>
    </xf>
    <xf numFmtId="0" fontId="0" fillId="0" borderId="8" xfId="0" applyFill="1" applyBorder="1" applyAlignment="1">
      <alignment horizontal="justify" vertical="center"/>
    </xf>
    <xf numFmtId="0" fontId="0" fillId="0" borderId="8" xfId="0" applyFill="1" applyBorder="1" applyAlignment="1">
      <alignment horizontal="justify" vertical="center" wrapText="1"/>
    </xf>
    <xf numFmtId="3" fontId="18" fillId="0" borderId="8" xfId="1" applyNumberFormat="1" applyFont="1" applyFill="1" applyBorder="1" applyAlignment="1">
      <alignment horizontal="center" vertical="center" wrapText="1"/>
    </xf>
    <xf numFmtId="9" fontId="28" fillId="0" borderId="8" xfId="2" applyFont="1" applyFill="1" applyBorder="1" applyAlignment="1">
      <alignment vertical="center"/>
    </xf>
    <xf numFmtId="0" fontId="28" fillId="0" borderId="8" xfId="1" applyNumberFormat="1" applyFont="1" applyFill="1" applyBorder="1" applyAlignment="1">
      <alignment horizontal="center" vertical="top"/>
    </xf>
    <xf numFmtId="0" fontId="0" fillId="0" borderId="8" xfId="0" applyFill="1" applyBorder="1" applyAlignment="1">
      <alignment horizontal="left" vertical="center" wrapText="1"/>
    </xf>
    <xf numFmtId="3" fontId="54" fillId="0" borderId="8" xfId="1" applyNumberFormat="1" applyFont="1" applyFill="1" applyBorder="1" applyAlignment="1">
      <alignment horizontal="right" vertical="center"/>
    </xf>
    <xf numFmtId="0" fontId="0" fillId="0" borderId="0" xfId="1" applyNumberFormat="1" applyFont="1" applyFill="1"/>
    <xf numFmtId="0" fontId="38" fillId="0" borderId="0" xfId="1" applyNumberFormat="1" applyFont="1"/>
    <xf numFmtId="0" fontId="44" fillId="0" borderId="0" xfId="1" applyNumberFormat="1" applyFont="1"/>
    <xf numFmtId="0" fontId="42" fillId="0" borderId="0" xfId="0" applyFont="1" applyAlignment="1">
      <alignment horizontal="center"/>
    </xf>
    <xf numFmtId="0" fontId="42" fillId="0" borderId="0" xfId="0" applyFont="1" applyAlignment="1">
      <alignment horizontal="left"/>
    </xf>
    <xf numFmtId="0" fontId="45" fillId="0" borderId="0" xfId="0" applyFont="1" applyFill="1" applyAlignment="1">
      <alignment horizontal="center"/>
    </xf>
    <xf numFmtId="0" fontId="42" fillId="0" borderId="0" xfId="0" applyFont="1" applyFill="1" applyAlignment="1">
      <alignment horizontal="center"/>
    </xf>
    <xf numFmtId="0" fontId="44" fillId="0" borderId="0" xfId="1" applyNumberFormat="1" applyFont="1" applyFill="1"/>
    <xf numFmtId="0" fontId="44" fillId="0" borderId="0" xfId="1" applyNumberFormat="1" applyFont="1" applyAlignment="1">
      <alignment horizontal="center" wrapText="1"/>
    </xf>
    <xf numFmtId="0" fontId="44" fillId="0" borderId="0" xfId="1" applyNumberFormat="1" applyFont="1" applyAlignment="1">
      <alignment wrapText="1"/>
    </xf>
    <xf numFmtId="0" fontId="44" fillId="5" borderId="8" xfId="1" applyNumberFormat="1" applyFont="1" applyFill="1" applyBorder="1" applyAlignment="1">
      <alignment horizontal="center" vertical="center" wrapText="1"/>
    </xf>
    <xf numFmtId="0" fontId="9" fillId="4" borderId="8" xfId="8" applyFont="1" applyFill="1" applyBorder="1" applyAlignment="1">
      <alignment horizontal="center" vertical="center" wrapText="1"/>
    </xf>
    <xf numFmtId="0" fontId="48" fillId="4" borderId="8" xfId="1" applyNumberFormat="1" applyFont="1" applyFill="1" applyBorder="1" applyAlignment="1">
      <alignment horizontal="right" vertical="center" wrapText="1"/>
    </xf>
    <xf numFmtId="3" fontId="48" fillId="4" borderId="8" xfId="1" applyNumberFormat="1" applyFont="1" applyFill="1" applyBorder="1" applyAlignment="1">
      <alignment horizontal="right" vertical="center" wrapText="1"/>
    </xf>
    <xf numFmtId="0" fontId="38" fillId="4" borderId="15" xfId="1" applyNumberFormat="1" applyFont="1" applyFill="1" applyBorder="1"/>
    <xf numFmtId="0" fontId="38" fillId="4" borderId="15" xfId="1" applyNumberFormat="1" applyFont="1" applyFill="1" applyBorder="1" applyAlignment="1">
      <alignment horizontal="left" vertical="center" wrapText="1"/>
    </xf>
    <xf numFmtId="0" fontId="38" fillId="4" borderId="15" xfId="1" applyNumberFormat="1" applyFont="1" applyFill="1" applyBorder="1" applyAlignment="1">
      <alignment horizontal="center" vertical="center" wrapText="1"/>
    </xf>
    <xf numFmtId="0" fontId="38" fillId="4" borderId="8" xfId="1" applyNumberFormat="1" applyFont="1" applyFill="1" applyBorder="1"/>
    <xf numFmtId="0" fontId="11" fillId="4" borderId="8" xfId="1" applyNumberFormat="1" applyFont="1" applyFill="1" applyBorder="1"/>
    <xf numFmtId="3" fontId="7" fillId="4" borderId="8" xfId="8" applyNumberFormat="1" applyFont="1" applyFill="1" applyBorder="1" applyAlignment="1">
      <alignment horizontal="center" vertical="center"/>
    </xf>
    <xf numFmtId="3" fontId="42" fillId="4" borderId="8" xfId="1" applyNumberFormat="1" applyFont="1" applyFill="1" applyBorder="1" applyAlignment="1">
      <alignment vertical="center"/>
    </xf>
    <xf numFmtId="0" fontId="11" fillId="4" borderId="8" xfId="8" applyFont="1" applyFill="1" applyBorder="1" applyAlignment="1">
      <alignment horizontal="left" vertical="center" wrapText="1"/>
    </xf>
    <xf numFmtId="0" fontId="38" fillId="4" borderId="8" xfId="1" applyNumberFormat="1" applyFont="1" applyFill="1" applyBorder="1" applyAlignment="1">
      <alignment horizontal="center" vertical="center"/>
    </xf>
    <xf numFmtId="0" fontId="38" fillId="4" borderId="8" xfId="1" applyNumberFormat="1" applyFont="1" applyFill="1" applyBorder="1" applyAlignment="1">
      <alignment horizontal="left" vertical="center" wrapText="1"/>
    </xf>
    <xf numFmtId="0" fontId="38" fillId="4" borderId="15" xfId="1" applyNumberFormat="1" applyFont="1" applyFill="1" applyBorder="1" applyAlignment="1">
      <alignment vertical="center" wrapText="1"/>
    </xf>
    <xf numFmtId="0" fontId="38" fillId="4" borderId="21" xfId="1" applyNumberFormat="1" applyFont="1" applyFill="1" applyBorder="1" applyAlignment="1">
      <alignment horizontal="left" vertical="center" wrapText="1"/>
    </xf>
    <xf numFmtId="3" fontId="38" fillId="4" borderId="8" xfId="1" applyNumberFormat="1" applyFont="1" applyFill="1" applyBorder="1"/>
    <xf numFmtId="0" fontId="38" fillId="4" borderId="8" xfId="1" applyNumberFormat="1" applyFont="1" applyFill="1" applyBorder="1" applyAlignment="1">
      <alignment horizontal="center" vertical="center" wrapText="1"/>
    </xf>
    <xf numFmtId="3" fontId="38" fillId="4" borderId="8" xfId="1" applyNumberFormat="1" applyFont="1" applyFill="1" applyBorder="1" applyAlignment="1">
      <alignment vertical="center"/>
    </xf>
    <xf numFmtId="3" fontId="31" fillId="4" borderId="8" xfId="1" applyNumberFormat="1" applyFont="1" applyFill="1" applyBorder="1" applyAlignment="1">
      <alignment horizontal="right" vertical="center" wrapText="1"/>
    </xf>
    <xf numFmtId="0" fontId="38" fillId="4" borderId="19" xfId="1" applyNumberFormat="1" applyFont="1" applyFill="1" applyBorder="1" applyAlignment="1">
      <alignment horizontal="left" vertical="center" wrapText="1"/>
    </xf>
    <xf numFmtId="176" fontId="61" fillId="4" borderId="8" xfId="1" applyNumberFormat="1" applyFont="1" applyFill="1" applyBorder="1" applyAlignment="1">
      <alignment vertical="center"/>
    </xf>
    <xf numFmtId="177" fontId="61" fillId="4" borderId="8" xfId="1" applyNumberFormat="1" applyFont="1" applyFill="1" applyBorder="1" applyAlignment="1">
      <alignment vertical="center"/>
    </xf>
    <xf numFmtId="0" fontId="38" fillId="4" borderId="8" xfId="1" applyNumberFormat="1" applyFont="1" applyFill="1" applyBorder="1" applyAlignment="1">
      <alignment vertical="center" wrapText="1"/>
    </xf>
    <xf numFmtId="178" fontId="38" fillId="4" borderId="8" xfId="1" applyNumberFormat="1" applyFont="1" applyFill="1" applyBorder="1" applyAlignment="1">
      <alignment vertical="center"/>
    </xf>
    <xf numFmtId="177" fontId="38" fillId="4" borderId="8" xfId="1" applyNumberFormat="1" applyFont="1" applyFill="1" applyBorder="1" applyAlignment="1">
      <alignment vertical="center"/>
    </xf>
    <xf numFmtId="0" fontId="31" fillId="4" borderId="8" xfId="1" applyNumberFormat="1" applyFont="1" applyFill="1" applyBorder="1" applyAlignment="1">
      <alignment horizontal="center" vertical="center"/>
    </xf>
    <xf numFmtId="177" fontId="38" fillId="4" borderId="8" xfId="1" applyNumberFormat="1" applyFont="1" applyFill="1" applyBorder="1" applyAlignment="1">
      <alignment horizontal="left" vertical="center" wrapText="1"/>
    </xf>
    <xf numFmtId="0" fontId="38" fillId="4" borderId="8" xfId="1" applyNumberFormat="1" applyFont="1" applyFill="1" applyBorder="1" applyAlignment="1">
      <alignment horizontal="center"/>
    </xf>
    <xf numFmtId="3" fontId="31" fillId="4" borderId="8" xfId="1" applyNumberFormat="1" applyFont="1" applyFill="1" applyBorder="1"/>
    <xf numFmtId="0" fontId="31" fillId="4" borderId="8" xfId="1" applyNumberFormat="1" applyFont="1" applyFill="1" applyBorder="1"/>
    <xf numFmtId="44" fontId="38" fillId="4" borderId="8" xfId="6" applyFont="1" applyFill="1" applyBorder="1" applyAlignment="1">
      <alignment horizontal="center" vertical="center" wrapText="1"/>
    </xf>
    <xf numFmtId="181" fontId="38" fillId="4" borderId="8" xfId="1" applyNumberFormat="1" applyFont="1" applyFill="1" applyBorder="1" applyAlignment="1">
      <alignment horizontal="center" vertical="center"/>
    </xf>
    <xf numFmtId="0" fontId="38" fillId="4" borderId="8" xfId="1" applyNumberFormat="1" applyFont="1" applyFill="1" applyBorder="1" applyAlignment="1">
      <alignment horizontal="center" vertical="center" textRotation="90"/>
    </xf>
    <xf numFmtId="0" fontId="38" fillId="4" borderId="8" xfId="1" applyNumberFormat="1" applyFont="1" applyFill="1" applyBorder="1" applyAlignment="1">
      <alignment vertical="top" wrapText="1"/>
    </xf>
    <xf numFmtId="0" fontId="38" fillId="4" borderId="8" xfId="1" applyNumberFormat="1" applyFont="1" applyFill="1" applyBorder="1" applyAlignment="1">
      <alignment wrapText="1"/>
    </xf>
    <xf numFmtId="0" fontId="38" fillId="4" borderId="8" xfId="8" applyFont="1" applyFill="1" applyBorder="1" applyAlignment="1">
      <alignment horizontal="center" vertical="center" wrapText="1"/>
    </xf>
    <xf numFmtId="3" fontId="7" fillId="4" borderId="8" xfId="8" applyNumberFormat="1" applyFont="1" applyFill="1" applyBorder="1" applyAlignment="1">
      <alignment horizontal="center" vertical="center" wrapText="1"/>
    </xf>
    <xf numFmtId="0" fontId="38" fillId="4" borderId="8" xfId="1" applyNumberFormat="1" applyFont="1" applyFill="1" applyBorder="1" applyAlignment="1">
      <alignment vertical="center"/>
    </xf>
    <xf numFmtId="0" fontId="38" fillId="4" borderId="14" xfId="1" applyNumberFormat="1" applyFont="1" applyFill="1" applyBorder="1" applyAlignment="1">
      <alignment horizontal="left" vertical="center" wrapText="1"/>
    </xf>
    <xf numFmtId="0" fontId="42" fillId="4" borderId="8" xfId="1" applyNumberFormat="1" applyFont="1" applyFill="1" applyBorder="1" applyAlignment="1">
      <alignment horizontal="left" vertical="top" wrapText="1"/>
    </xf>
    <xf numFmtId="9" fontId="48" fillId="4" borderId="8" xfId="1" applyNumberFormat="1" applyFont="1" applyFill="1" applyBorder="1" applyAlignment="1">
      <alignment vertical="center" wrapText="1"/>
    </xf>
    <xf numFmtId="0" fontId="38" fillId="4" borderId="8" xfId="1" applyNumberFormat="1" applyFont="1" applyFill="1" applyBorder="1" applyAlignment="1">
      <alignment horizontal="right" vertical="top"/>
    </xf>
    <xf numFmtId="0" fontId="31" fillId="4" borderId="8" xfId="1" applyNumberFormat="1" applyFont="1" applyFill="1" applyBorder="1" applyAlignment="1">
      <alignment wrapText="1"/>
    </xf>
    <xf numFmtId="3" fontId="48" fillId="4" borderId="8" xfId="1" applyNumberFormat="1" applyFont="1" applyFill="1" applyBorder="1" applyAlignment="1">
      <alignment vertical="center" wrapText="1"/>
    </xf>
    <xf numFmtId="0" fontId="9" fillId="4" borderId="8" xfId="8" applyFont="1" applyFill="1" applyBorder="1" applyAlignment="1">
      <alignment horizontal="left" vertical="center" wrapText="1"/>
    </xf>
    <xf numFmtId="0" fontId="38" fillId="4" borderId="8" xfId="1" applyNumberFormat="1" applyFont="1" applyFill="1" applyBorder="1" applyAlignment="1">
      <alignment horizontal="left" vertical="top" wrapText="1"/>
    </xf>
    <xf numFmtId="3" fontId="38" fillId="4" borderId="8" xfId="1" applyNumberFormat="1" applyFont="1" applyFill="1" applyBorder="1" applyAlignment="1">
      <alignment horizontal="left" vertical="center" wrapText="1"/>
    </xf>
    <xf numFmtId="0" fontId="38" fillId="4" borderId="8" xfId="1" applyNumberFormat="1" applyFont="1" applyFill="1" applyBorder="1" applyAlignment="1">
      <alignment horizontal="left" vertical="center"/>
    </xf>
    <xf numFmtId="0" fontId="42" fillId="4" borderId="8" xfId="1" applyNumberFormat="1" applyFont="1" applyFill="1" applyBorder="1" applyAlignment="1">
      <alignment horizontal="justify" vertical="top" wrapText="1"/>
    </xf>
    <xf numFmtId="0" fontId="48" fillId="4" borderId="8" xfId="1" applyNumberFormat="1" applyFont="1" applyFill="1" applyBorder="1" applyAlignment="1">
      <alignment horizontal="center" vertical="top" wrapText="1"/>
    </xf>
    <xf numFmtId="0" fontId="42" fillId="4" borderId="8" xfId="1" applyNumberFormat="1" applyFont="1" applyFill="1" applyBorder="1" applyAlignment="1">
      <alignment vertical="top" wrapText="1"/>
    </xf>
    <xf numFmtId="0" fontId="38" fillId="4" borderId="8" xfId="1" applyNumberFormat="1" applyFont="1" applyFill="1" applyBorder="1" applyAlignment="1">
      <alignment horizontal="right" vertical="center" wrapText="1"/>
    </xf>
    <xf numFmtId="165" fontId="48" fillId="4" borderId="8" xfId="1" applyNumberFormat="1" applyFont="1" applyFill="1" applyBorder="1" applyAlignment="1">
      <alignment horizontal="right" vertical="center" wrapText="1"/>
    </xf>
    <xf numFmtId="165" fontId="62" fillId="4" borderId="8" xfId="1" applyNumberFormat="1" applyFont="1" applyFill="1" applyBorder="1" applyAlignment="1">
      <alignment horizontal="right" vertical="center" wrapText="1"/>
    </xf>
    <xf numFmtId="0" fontId="31" fillId="4" borderId="8" xfId="1" applyNumberFormat="1" applyFont="1" applyFill="1" applyBorder="1" applyAlignment="1">
      <alignment horizontal="right" vertical="center" wrapText="1"/>
    </xf>
    <xf numFmtId="0" fontId="48" fillId="4" borderId="8" xfId="1" applyNumberFormat="1" applyFont="1" applyFill="1" applyBorder="1" applyAlignment="1">
      <alignment vertical="top" wrapText="1"/>
    </xf>
    <xf numFmtId="179" fontId="48" fillId="4" borderId="8" xfId="1" applyNumberFormat="1" applyFont="1" applyFill="1" applyBorder="1" applyAlignment="1">
      <alignment horizontal="right" vertical="center" wrapText="1"/>
    </xf>
    <xf numFmtId="180" fontId="62" fillId="4" borderId="8" xfId="1" applyNumberFormat="1" applyFont="1" applyFill="1" applyBorder="1" applyAlignment="1">
      <alignment horizontal="right" vertical="center" wrapText="1"/>
    </xf>
    <xf numFmtId="9" fontId="48" fillId="4" borderId="8" xfId="1" applyNumberFormat="1" applyFont="1" applyFill="1" applyBorder="1" applyAlignment="1">
      <alignment horizontal="right" vertical="center" wrapText="1"/>
    </xf>
    <xf numFmtId="9" fontId="38" fillId="4" borderId="8" xfId="1" applyNumberFormat="1" applyFont="1" applyFill="1" applyBorder="1"/>
    <xf numFmtId="0" fontId="42" fillId="4" borderId="8" xfId="1" applyNumberFormat="1" applyFont="1" applyFill="1" applyBorder="1" applyAlignment="1">
      <alignment horizontal="center" vertical="top" wrapText="1"/>
    </xf>
    <xf numFmtId="9" fontId="31" fillId="4" borderId="8" xfId="1" applyNumberFormat="1" applyFont="1" applyFill="1" applyBorder="1" applyAlignment="1">
      <alignment horizontal="right" vertical="center" wrapText="1"/>
    </xf>
    <xf numFmtId="0" fontId="62" fillId="4" borderId="8" xfId="1" applyNumberFormat="1" applyFont="1" applyFill="1" applyBorder="1" applyAlignment="1">
      <alignment horizontal="right" vertical="center" wrapText="1"/>
    </xf>
    <xf numFmtId="182" fontId="38" fillId="4" borderId="8" xfId="1" applyNumberFormat="1" applyFont="1" applyFill="1" applyBorder="1" applyAlignment="1">
      <alignment vertical="center"/>
    </xf>
    <xf numFmtId="0" fontId="48" fillId="4" borderId="8" xfId="1" applyNumberFormat="1" applyFont="1" applyFill="1" applyBorder="1" applyAlignment="1">
      <alignment vertical="center" wrapText="1"/>
    </xf>
    <xf numFmtId="9" fontId="48" fillId="4" borderId="8" xfId="2" applyFont="1" applyFill="1" applyBorder="1" applyAlignment="1">
      <alignment vertical="center" wrapText="1"/>
    </xf>
    <xf numFmtId="165" fontId="62" fillId="4" borderId="8" xfId="1" applyNumberFormat="1" applyFont="1" applyFill="1" applyBorder="1" applyAlignment="1">
      <alignment vertical="center" wrapText="1"/>
    </xf>
    <xf numFmtId="165" fontId="62" fillId="4" borderId="8" xfId="1" applyNumberFormat="1" applyFont="1" applyFill="1" applyBorder="1" applyAlignment="1">
      <alignment horizontal="center" vertical="center" wrapText="1"/>
    </xf>
    <xf numFmtId="3" fontId="31" fillId="4" borderId="8" xfId="1" applyNumberFormat="1" applyFont="1" applyFill="1" applyBorder="1" applyAlignment="1">
      <alignment vertical="center" wrapText="1"/>
    </xf>
    <xf numFmtId="0" fontId="61" fillId="0" borderId="0" xfId="1" applyNumberFormat="1" applyFont="1" applyBorder="1" applyAlignment="1">
      <alignment horizontal="center" vertical="center"/>
    </xf>
    <xf numFmtId="0" fontId="0" fillId="0" borderId="0" xfId="1" applyNumberFormat="1" applyFont="1" applyAlignment="1">
      <alignment horizontal="center"/>
    </xf>
    <xf numFmtId="3" fontId="0" fillId="0" borderId="0" xfId="0" applyNumberFormat="1" applyFill="1" applyAlignment="1">
      <alignment vertical="center"/>
    </xf>
    <xf numFmtId="0" fontId="18" fillId="0" borderId="0" xfId="1" applyNumberFormat="1" applyFont="1" applyFill="1"/>
    <xf numFmtId="0" fontId="18" fillId="0" borderId="0" xfId="1" applyNumberFormat="1" applyFont="1" applyFill="1" applyAlignment="1">
      <alignment vertical="center"/>
    </xf>
    <xf numFmtId="0" fontId="0" fillId="0" borderId="0" xfId="1" applyNumberFormat="1" applyFont="1" applyFill="1" applyAlignment="1">
      <alignment horizontal="center"/>
    </xf>
    <xf numFmtId="169" fontId="0" fillId="0" borderId="0" xfId="1" applyNumberFormat="1" applyFont="1" applyFill="1"/>
    <xf numFmtId="0" fontId="0" fillId="0" borderId="0" xfId="0" applyFill="1"/>
    <xf numFmtId="4" fontId="0" fillId="0" borderId="0" xfId="1" applyNumberFormat="1" applyFont="1" applyFill="1"/>
    <xf numFmtId="0" fontId="44" fillId="5" borderId="14" xfId="1" applyNumberFormat="1" applyFont="1" applyFill="1" applyBorder="1" applyAlignment="1">
      <alignment horizontal="center" vertical="center" wrapText="1"/>
    </xf>
    <xf numFmtId="0" fontId="43" fillId="6" borderId="14" xfId="0" applyFont="1" applyFill="1" applyBorder="1" applyAlignment="1">
      <alignment horizontal="center" vertical="center" wrapText="1"/>
    </xf>
    <xf numFmtId="0" fontId="18" fillId="0" borderId="8" xfId="1" applyNumberFormat="1" applyFont="1" applyFill="1" applyBorder="1" applyAlignment="1">
      <alignment horizontal="center" vertical="center" wrapText="1"/>
    </xf>
    <xf numFmtId="4" fontId="63" fillId="0" borderId="8" xfId="1" applyNumberFormat="1" applyFont="1" applyFill="1" applyBorder="1" applyAlignment="1">
      <alignment horizontal="center" vertical="center"/>
    </xf>
    <xf numFmtId="0" fontId="63" fillId="0" borderId="8" xfId="1" applyNumberFormat="1" applyFont="1" applyFill="1" applyBorder="1" applyAlignment="1">
      <alignment vertical="center" wrapText="1"/>
    </xf>
    <xf numFmtId="0" fontId="63" fillId="0" borderId="8" xfId="1" applyNumberFormat="1" applyFont="1" applyFill="1" applyBorder="1" applyAlignment="1">
      <alignment horizontal="center" vertical="center" wrapText="1"/>
    </xf>
    <xf numFmtId="174" fontId="63" fillId="0" borderId="8" xfId="1" applyNumberFormat="1" applyFont="1" applyFill="1" applyBorder="1" applyAlignment="1">
      <alignment vertical="center"/>
    </xf>
    <xf numFmtId="3" fontId="63" fillId="0" borderId="8" xfId="1" applyNumberFormat="1" applyFont="1" applyFill="1" applyBorder="1" applyAlignment="1">
      <alignment vertical="center"/>
    </xf>
    <xf numFmtId="0" fontId="63" fillId="0" borderId="8" xfId="1" applyNumberFormat="1" applyFont="1" applyFill="1" applyBorder="1" applyAlignment="1">
      <alignment vertical="center"/>
    </xf>
    <xf numFmtId="0" fontId="63" fillId="0" borderId="8" xfId="1" applyNumberFormat="1" applyFont="1" applyFill="1" applyBorder="1" applyAlignment="1">
      <alignment horizontal="center" vertical="center"/>
    </xf>
    <xf numFmtId="3" fontId="63" fillId="0" borderId="8" xfId="1" applyNumberFormat="1" applyFont="1" applyFill="1" applyBorder="1" applyAlignment="1">
      <alignment horizontal="center" vertical="center"/>
    </xf>
    <xf numFmtId="0" fontId="64" fillId="0" borderId="8" xfId="1" applyNumberFormat="1" applyFont="1" applyFill="1" applyBorder="1" applyAlignment="1">
      <alignment horizontal="center" vertical="center"/>
    </xf>
    <xf numFmtId="0" fontId="64" fillId="0" borderId="14" xfId="1" applyNumberFormat="1" applyFont="1" applyFill="1" applyBorder="1" applyAlignment="1">
      <alignment horizontal="center" vertical="center"/>
    </xf>
    <xf numFmtId="0" fontId="63" fillId="0" borderId="30" xfId="1" applyNumberFormat="1" applyFont="1" applyFill="1" applyBorder="1" applyAlignment="1">
      <alignment vertical="center" wrapText="1"/>
    </xf>
    <xf numFmtId="9" fontId="63" fillId="0" borderId="8" xfId="2" applyFont="1" applyFill="1" applyBorder="1" applyAlignment="1">
      <alignment horizontal="center" vertical="center"/>
    </xf>
    <xf numFmtId="174" fontId="65" fillId="0" borderId="8" xfId="1" applyNumberFormat="1" applyFont="1" applyFill="1" applyBorder="1" applyAlignment="1">
      <alignment vertical="center"/>
    </xf>
    <xf numFmtId="9" fontId="63" fillId="0" borderId="8" xfId="1" applyNumberFormat="1" applyFont="1" applyFill="1" applyBorder="1" applyAlignment="1">
      <alignment vertical="center"/>
    </xf>
    <xf numFmtId="171" fontId="63" fillId="0" borderId="8" xfId="1" applyNumberFormat="1" applyFont="1" applyFill="1" applyBorder="1" applyAlignment="1">
      <alignment horizontal="center" vertical="center"/>
    </xf>
    <xf numFmtId="174" fontId="66" fillId="0" borderId="8" xfId="1" applyNumberFormat="1" applyFont="1" applyFill="1" applyBorder="1" applyAlignment="1">
      <alignment vertical="center"/>
    </xf>
    <xf numFmtId="171" fontId="63" fillId="0" borderId="8" xfId="1" applyNumberFormat="1" applyFont="1" applyFill="1" applyBorder="1" applyAlignment="1">
      <alignment vertical="center"/>
    </xf>
    <xf numFmtId="4" fontId="63" fillId="0" borderId="8" xfId="1" applyNumberFormat="1" applyFont="1" applyFill="1" applyBorder="1" applyAlignment="1">
      <alignment vertical="center"/>
    </xf>
    <xf numFmtId="0" fontId="18" fillId="0" borderId="31" xfId="1" applyNumberFormat="1" applyFont="1" applyFill="1" applyBorder="1" applyAlignment="1">
      <alignment vertical="center" wrapText="1"/>
    </xf>
    <xf numFmtId="0" fontId="18" fillId="0" borderId="31" xfId="1" applyNumberFormat="1" applyFont="1" applyFill="1" applyBorder="1" applyAlignment="1">
      <alignment horizontal="center" vertical="center" wrapText="1"/>
    </xf>
    <xf numFmtId="2" fontId="18" fillId="0" borderId="31" xfId="1" applyNumberFormat="1" applyFont="1" applyFill="1" applyBorder="1" applyAlignment="1">
      <alignment horizontal="center" vertical="center" wrapText="1"/>
    </xf>
    <xf numFmtId="4" fontId="63" fillId="0" borderId="31" xfId="1" applyNumberFormat="1" applyFont="1" applyFill="1" applyBorder="1" applyAlignment="1">
      <alignment horizontal="center" vertical="center"/>
    </xf>
    <xf numFmtId="0" fontId="63" fillId="0" borderId="31" xfId="1" applyNumberFormat="1" applyFont="1" applyFill="1" applyBorder="1" applyAlignment="1">
      <alignment vertical="center" wrapText="1"/>
    </xf>
    <xf numFmtId="0" fontId="63" fillId="0" borderId="31" xfId="1" applyNumberFormat="1" applyFont="1" applyFill="1" applyBorder="1" applyAlignment="1">
      <alignment horizontal="center" vertical="center" wrapText="1"/>
    </xf>
    <xf numFmtId="174" fontId="63" fillId="0" borderId="31" xfId="1" applyNumberFormat="1" applyFont="1" applyFill="1" applyBorder="1" applyAlignment="1">
      <alignment vertical="center"/>
    </xf>
    <xf numFmtId="3" fontId="63" fillId="0" borderId="31" xfId="1" applyNumberFormat="1" applyFont="1" applyFill="1" applyBorder="1" applyAlignment="1">
      <alignment vertical="center"/>
    </xf>
    <xf numFmtId="0" fontId="63" fillId="0" borderId="31" xfId="1" applyNumberFormat="1" applyFont="1" applyFill="1" applyBorder="1" applyAlignment="1">
      <alignment vertical="center"/>
    </xf>
    <xf numFmtId="0" fontId="63" fillId="0" borderId="31" xfId="1" applyNumberFormat="1" applyFont="1" applyFill="1" applyBorder="1" applyAlignment="1">
      <alignment horizontal="center" vertical="center"/>
    </xf>
    <xf numFmtId="3" fontId="63" fillId="0" borderId="31" xfId="1" applyNumberFormat="1" applyFont="1" applyFill="1" applyBorder="1" applyAlignment="1">
      <alignment horizontal="center" vertical="center"/>
    </xf>
    <xf numFmtId="0" fontId="64" fillId="0" borderId="31" xfId="1" applyNumberFormat="1" applyFont="1" applyFill="1" applyBorder="1" applyAlignment="1">
      <alignment horizontal="center" vertical="center"/>
    </xf>
    <xf numFmtId="0" fontId="63" fillId="0" borderId="32" xfId="1" applyNumberFormat="1" applyFont="1" applyFill="1" applyBorder="1" applyAlignment="1">
      <alignment vertical="center" wrapText="1"/>
    </xf>
    <xf numFmtId="4" fontId="63" fillId="0" borderId="15" xfId="1" applyNumberFormat="1" applyFont="1" applyFill="1" applyBorder="1" applyAlignment="1">
      <alignment horizontal="center" vertical="center"/>
    </xf>
    <xf numFmtId="0" fontId="63" fillId="0" borderId="15" xfId="1" applyNumberFormat="1" applyFont="1" applyFill="1" applyBorder="1" applyAlignment="1">
      <alignment vertical="center" wrapText="1"/>
    </xf>
    <xf numFmtId="0" fontId="63" fillId="0" borderId="15" xfId="1" applyNumberFormat="1" applyFont="1" applyFill="1" applyBorder="1" applyAlignment="1">
      <alignment horizontal="center" vertical="center" wrapText="1"/>
    </xf>
    <xf numFmtId="174" fontId="63" fillId="0" borderId="15" xfId="1" applyNumberFormat="1" applyFont="1" applyFill="1" applyBorder="1" applyAlignment="1">
      <alignment vertical="center"/>
    </xf>
    <xf numFmtId="3" fontId="63" fillId="0" borderId="15" xfId="1" applyNumberFormat="1" applyFont="1" applyFill="1" applyBorder="1" applyAlignment="1">
      <alignment vertical="center"/>
    </xf>
    <xf numFmtId="0" fontId="63" fillId="0" borderId="15" xfId="1" applyNumberFormat="1" applyFont="1" applyFill="1" applyBorder="1" applyAlignment="1">
      <alignment vertical="center"/>
    </xf>
    <xf numFmtId="171" fontId="63" fillId="0" borderId="15" xfId="1" applyNumberFormat="1" applyFont="1" applyFill="1" applyBorder="1" applyAlignment="1">
      <alignment horizontal="center" vertical="center"/>
    </xf>
    <xf numFmtId="169" fontId="63" fillId="0" borderId="15" xfId="1" applyNumberFormat="1" applyFont="1" applyFill="1" applyBorder="1" applyAlignment="1">
      <alignment vertical="center"/>
    </xf>
    <xf numFmtId="3" fontId="63" fillId="0" borderId="15" xfId="1" applyNumberFormat="1" applyFont="1" applyFill="1" applyBorder="1" applyAlignment="1">
      <alignment horizontal="center" vertical="center"/>
    </xf>
    <xf numFmtId="0" fontId="36" fillId="0" borderId="15" xfId="1" applyNumberFormat="1" applyFont="1" applyFill="1" applyBorder="1" applyAlignment="1">
      <alignment vertical="center"/>
    </xf>
    <xf numFmtId="0" fontId="64" fillId="0" borderId="15" xfId="1" applyNumberFormat="1" applyFont="1" applyFill="1" applyBorder="1" applyAlignment="1">
      <alignment horizontal="center" vertical="center"/>
    </xf>
    <xf numFmtId="0" fontId="63" fillId="0" borderId="33" xfId="1" applyNumberFormat="1" applyFont="1" applyFill="1" applyBorder="1" applyAlignment="1">
      <alignment vertical="center" wrapText="1"/>
    </xf>
    <xf numFmtId="169" fontId="63" fillId="0" borderId="8" xfId="1" applyNumberFormat="1" applyFont="1" applyFill="1" applyBorder="1" applyAlignment="1">
      <alignment vertical="center"/>
    </xf>
    <xf numFmtId="171" fontId="63" fillId="0" borderId="31" xfId="1" applyNumberFormat="1" applyFont="1" applyFill="1" applyBorder="1" applyAlignment="1">
      <alignment horizontal="center" vertical="center"/>
    </xf>
    <xf numFmtId="169" fontId="63" fillId="0" borderId="31" xfId="1" applyNumberFormat="1" applyFont="1" applyFill="1" applyBorder="1" applyAlignment="1">
      <alignment vertical="center"/>
    </xf>
    <xf numFmtId="2" fontId="18" fillId="0" borderId="15" xfId="1" applyNumberFormat="1" applyFont="1" applyFill="1" applyBorder="1" applyAlignment="1">
      <alignment horizontal="center" vertical="center" wrapText="1"/>
    </xf>
    <xf numFmtId="2" fontId="63" fillId="0" borderId="15" xfId="1" applyNumberFormat="1" applyFont="1" applyFill="1" applyBorder="1" applyAlignment="1">
      <alignment horizontal="center" vertical="center" wrapText="1"/>
    </xf>
    <xf numFmtId="0" fontId="18" fillId="0" borderId="34" xfId="1" applyNumberFormat="1" applyFont="1" applyFill="1" applyBorder="1" applyAlignment="1">
      <alignment vertical="center" wrapText="1"/>
    </xf>
    <xf numFmtId="3" fontId="63" fillId="0" borderId="14" xfId="1" applyNumberFormat="1" applyFont="1" applyFill="1" applyBorder="1" applyAlignment="1">
      <alignment horizontal="center" vertical="center"/>
    </xf>
    <xf numFmtId="0" fontId="63" fillId="0" borderId="14" xfId="1" applyNumberFormat="1" applyFont="1" applyFill="1" applyBorder="1" applyAlignment="1">
      <alignment vertical="center" wrapText="1"/>
    </xf>
    <xf numFmtId="0" fontId="63" fillId="0" borderId="14" xfId="1" applyNumberFormat="1" applyFont="1" applyFill="1" applyBorder="1" applyAlignment="1">
      <alignment horizontal="center" vertical="center" wrapText="1"/>
    </xf>
    <xf numFmtId="174" fontId="63" fillId="0" borderId="14" xfId="1" applyNumberFormat="1" applyFont="1" applyFill="1" applyBorder="1" applyAlignment="1">
      <alignment vertical="center"/>
    </xf>
    <xf numFmtId="3" fontId="63" fillId="0" borderId="14" xfId="1" applyNumberFormat="1" applyFont="1" applyFill="1" applyBorder="1" applyAlignment="1">
      <alignment vertical="center"/>
    </xf>
    <xf numFmtId="0" fontId="63" fillId="0" borderId="14" xfId="1" applyNumberFormat="1" applyFont="1" applyFill="1" applyBorder="1" applyAlignment="1">
      <alignment vertical="center"/>
    </xf>
    <xf numFmtId="171" fontId="63" fillId="0" borderId="14" xfId="1" applyNumberFormat="1" applyFont="1" applyFill="1" applyBorder="1" applyAlignment="1">
      <alignment horizontal="center" vertical="center"/>
    </xf>
    <xf numFmtId="0" fontId="63" fillId="0" borderId="35" xfId="1" applyNumberFormat="1" applyFont="1" applyFill="1" applyBorder="1" applyAlignment="1">
      <alignment vertical="center" wrapText="1"/>
    </xf>
    <xf numFmtId="171" fontId="63" fillId="0" borderId="31" xfId="1" applyNumberFormat="1" applyFont="1" applyFill="1" applyBorder="1" applyAlignment="1">
      <alignment horizontal="center" vertical="center" wrapText="1"/>
    </xf>
    <xf numFmtId="0" fontId="67" fillId="0" borderId="31" xfId="1" applyNumberFormat="1" applyFont="1" applyFill="1" applyBorder="1" applyAlignment="1">
      <alignment horizontal="center" vertical="center"/>
    </xf>
    <xf numFmtId="171" fontId="63" fillId="0" borderId="15" xfId="1" applyNumberFormat="1" applyFont="1" applyFill="1" applyBorder="1" applyAlignment="1">
      <alignment horizontal="center" vertical="center" wrapText="1"/>
    </xf>
    <xf numFmtId="43" fontId="63" fillId="0" borderId="15" xfId="1" applyFont="1" applyFill="1" applyBorder="1" applyAlignment="1">
      <alignment vertical="center" wrapText="1"/>
    </xf>
    <xf numFmtId="0" fontId="67" fillId="0" borderId="15" xfId="1" applyNumberFormat="1" applyFont="1" applyFill="1" applyBorder="1" applyAlignment="1">
      <alignment horizontal="center" vertical="center"/>
    </xf>
    <xf numFmtId="0" fontId="18" fillId="0" borderId="34" xfId="1" applyNumberFormat="1" applyFont="1" applyFill="1" applyBorder="1" applyAlignment="1">
      <alignment horizontal="center" vertical="center" wrapText="1"/>
    </xf>
    <xf numFmtId="4" fontId="63" fillId="0" borderId="23" xfId="1" applyNumberFormat="1" applyFont="1" applyFill="1" applyBorder="1" applyAlignment="1">
      <alignment horizontal="center" vertical="center"/>
    </xf>
    <xf numFmtId="0" fontId="63" fillId="0" borderId="23" xfId="1" applyNumberFormat="1" applyFont="1" applyFill="1" applyBorder="1" applyAlignment="1">
      <alignment vertical="center" wrapText="1"/>
    </xf>
    <xf numFmtId="0" fontId="63" fillId="0" borderId="23" xfId="1" applyNumberFormat="1" applyFont="1" applyFill="1" applyBorder="1" applyAlignment="1">
      <alignment horizontal="center" vertical="center" wrapText="1"/>
    </xf>
    <xf numFmtId="3" fontId="63" fillId="0" borderId="23" xfId="1" applyNumberFormat="1" applyFont="1" applyFill="1" applyBorder="1" applyAlignment="1">
      <alignment horizontal="center" vertical="center"/>
    </xf>
    <xf numFmtId="0" fontId="63" fillId="0" borderId="23" xfId="1" applyNumberFormat="1" applyFont="1" applyFill="1" applyBorder="1" applyAlignment="1">
      <alignment vertical="center"/>
    </xf>
    <xf numFmtId="169" fontId="63" fillId="0" borderId="23" xfId="1" applyNumberFormat="1" applyFont="1" applyFill="1" applyBorder="1" applyAlignment="1">
      <alignment vertical="center"/>
    </xf>
    <xf numFmtId="0" fontId="63" fillId="0" borderId="23" xfId="1" applyNumberFormat="1" applyFont="1" applyFill="1" applyBorder="1" applyAlignment="1">
      <alignment horizontal="left" vertical="center" wrapText="1"/>
    </xf>
    <xf numFmtId="0" fontId="63" fillId="0" borderId="23" xfId="1" applyNumberFormat="1" applyFont="1" applyFill="1" applyBorder="1" applyAlignment="1">
      <alignment horizontal="center" vertical="center"/>
    </xf>
    <xf numFmtId="3" fontId="63" fillId="0" borderId="23" xfId="1" applyNumberFormat="1" applyFont="1" applyFill="1" applyBorder="1" applyAlignment="1">
      <alignment vertical="center"/>
    </xf>
    <xf numFmtId="0" fontId="67" fillId="0" borderId="23" xfId="1" applyNumberFormat="1" applyFont="1" applyFill="1" applyBorder="1" applyAlignment="1">
      <alignment horizontal="center" vertical="center"/>
    </xf>
    <xf numFmtId="0" fontId="63" fillId="0" borderId="36" xfId="1" applyNumberFormat="1" applyFont="1" applyFill="1" applyBorder="1" applyAlignment="1">
      <alignment vertical="center" wrapText="1"/>
    </xf>
    <xf numFmtId="0" fontId="18" fillId="0" borderId="37" xfId="1" applyNumberFormat="1" applyFont="1" applyFill="1" applyBorder="1" applyAlignment="1">
      <alignment vertical="center" wrapText="1"/>
    </xf>
    <xf numFmtId="0" fontId="18" fillId="0" borderId="38" xfId="1" applyNumberFormat="1" applyFont="1" applyFill="1" applyBorder="1" applyAlignment="1">
      <alignment vertical="center" wrapText="1"/>
    </xf>
    <xf numFmtId="0" fontId="18" fillId="0" borderId="38" xfId="1" applyNumberFormat="1" applyFont="1" applyFill="1" applyBorder="1" applyAlignment="1">
      <alignment horizontal="center" vertical="center" wrapText="1"/>
    </xf>
    <xf numFmtId="169" fontId="63" fillId="0" borderId="38" xfId="1" applyNumberFormat="1" applyFont="1" applyFill="1" applyBorder="1" applyAlignment="1">
      <alignment horizontal="center" vertical="center" wrapText="1"/>
    </xf>
    <xf numFmtId="0" fontId="63" fillId="0" borderId="38" xfId="1" applyNumberFormat="1" applyFont="1" applyFill="1" applyBorder="1" applyAlignment="1">
      <alignment vertical="center"/>
    </xf>
    <xf numFmtId="169" fontId="63" fillId="0" borderId="38" xfId="1" applyNumberFormat="1" applyFont="1" applyFill="1" applyBorder="1" applyAlignment="1">
      <alignment vertical="center"/>
    </xf>
    <xf numFmtId="0" fontId="68" fillId="0" borderId="38" xfId="1" applyNumberFormat="1" applyFont="1" applyFill="1" applyBorder="1" applyAlignment="1">
      <alignment horizontal="center" vertical="center" wrapText="1"/>
    </xf>
    <xf numFmtId="169" fontId="68" fillId="0" borderId="38" xfId="1" applyNumberFormat="1" applyFont="1" applyFill="1" applyBorder="1" applyAlignment="1">
      <alignment horizontal="center" vertical="center" wrapText="1"/>
    </xf>
    <xf numFmtId="0" fontId="63" fillId="0" borderId="38" xfId="1" applyNumberFormat="1" applyFont="1" applyFill="1" applyBorder="1" applyAlignment="1">
      <alignment horizontal="center" vertical="center" wrapText="1"/>
    </xf>
    <xf numFmtId="0" fontId="64" fillId="0" borderId="38" xfId="1" applyNumberFormat="1" applyFont="1" applyFill="1" applyBorder="1" applyAlignment="1">
      <alignment horizontal="center" vertical="center" wrapText="1"/>
    </xf>
    <xf numFmtId="0" fontId="63" fillId="0" borderId="39" xfId="1" applyNumberFormat="1" applyFont="1" applyFill="1" applyBorder="1" applyAlignment="1">
      <alignment horizontal="center" vertical="center" wrapText="1"/>
    </xf>
    <xf numFmtId="0" fontId="18" fillId="0" borderId="40" xfId="1" applyNumberFormat="1" applyFont="1" applyFill="1" applyBorder="1" applyAlignment="1">
      <alignment vertical="center" wrapText="1"/>
    </xf>
    <xf numFmtId="169" fontId="63" fillId="0" borderId="8" xfId="1" applyNumberFormat="1" applyFont="1" applyFill="1" applyBorder="1" applyAlignment="1">
      <alignment horizontal="center" vertical="center" wrapText="1"/>
    </xf>
    <xf numFmtId="169" fontId="65" fillId="0" borderId="8" xfId="1" applyNumberFormat="1" applyFont="1" applyFill="1" applyBorder="1" applyAlignment="1">
      <alignment vertical="center"/>
    </xf>
    <xf numFmtId="171" fontId="63" fillId="0" borderId="8" xfId="1" applyNumberFormat="1" applyFont="1" applyFill="1" applyBorder="1" applyAlignment="1">
      <alignment horizontal="center" vertical="center" wrapText="1"/>
    </xf>
    <xf numFmtId="0" fontId="64" fillId="0" borderId="8" xfId="1" applyNumberFormat="1" applyFont="1" applyFill="1" applyBorder="1" applyAlignment="1">
      <alignment horizontal="center" vertical="center" wrapText="1"/>
    </xf>
    <xf numFmtId="0" fontId="63" fillId="0" borderId="30" xfId="1" applyNumberFormat="1" applyFont="1" applyFill="1" applyBorder="1" applyAlignment="1">
      <alignment horizontal="center" vertical="center" wrapText="1"/>
    </xf>
    <xf numFmtId="169" fontId="63" fillId="0" borderId="8" xfId="1" applyNumberFormat="1" applyFont="1" applyFill="1" applyBorder="1" applyAlignment="1">
      <alignment vertical="center" wrapText="1"/>
    </xf>
    <xf numFmtId="3" fontId="63" fillId="0" borderId="8" xfId="1" applyNumberFormat="1" applyFont="1" applyFill="1" applyBorder="1" applyAlignment="1">
      <alignment horizontal="center" vertical="center" wrapText="1"/>
    </xf>
    <xf numFmtId="0" fontId="68" fillId="0" borderId="8" xfId="1" applyNumberFormat="1" applyFont="1" applyFill="1" applyBorder="1" applyAlignment="1">
      <alignment horizontal="center" vertical="center" wrapText="1"/>
    </xf>
    <xf numFmtId="171" fontId="68" fillId="0" borderId="8" xfId="1" applyNumberFormat="1" applyFont="1" applyFill="1" applyBorder="1" applyAlignment="1">
      <alignment horizontal="center" vertical="center" wrapText="1"/>
    </xf>
    <xf numFmtId="169" fontId="68" fillId="0" borderId="8" xfId="1" applyNumberFormat="1" applyFont="1" applyFill="1" applyBorder="1" applyAlignment="1">
      <alignment horizontal="center" vertical="center" wrapText="1"/>
    </xf>
    <xf numFmtId="0" fontId="18" fillId="0" borderId="41" xfId="1" applyNumberFormat="1" applyFont="1" applyFill="1" applyBorder="1" applyAlignment="1">
      <alignment vertical="center" wrapText="1"/>
    </xf>
    <xf numFmtId="169" fontId="63" fillId="0" borderId="14" xfId="1" applyNumberFormat="1" applyFont="1" applyFill="1" applyBorder="1" applyAlignment="1">
      <alignment horizontal="center" vertical="center" wrapText="1"/>
    </xf>
    <xf numFmtId="171" fontId="63" fillId="0" borderId="14" xfId="1" applyNumberFormat="1" applyFont="1" applyFill="1" applyBorder="1" applyAlignment="1">
      <alignment horizontal="center" vertical="center" wrapText="1"/>
    </xf>
    <xf numFmtId="0" fontId="63" fillId="0" borderId="14" xfId="1" applyNumberFormat="1" applyFont="1" applyFill="1" applyBorder="1" applyAlignment="1">
      <alignment horizontal="left" vertical="center" wrapText="1"/>
    </xf>
    <xf numFmtId="0" fontId="64" fillId="0" borderId="14" xfId="1" applyNumberFormat="1" applyFont="1" applyFill="1" applyBorder="1" applyAlignment="1">
      <alignment horizontal="center" vertical="center" wrapText="1"/>
    </xf>
    <xf numFmtId="0" fontId="63" fillId="0" borderId="35" xfId="1" applyNumberFormat="1" applyFont="1" applyFill="1" applyBorder="1" applyAlignment="1">
      <alignment horizontal="center" vertical="center" wrapText="1"/>
    </xf>
    <xf numFmtId="3" fontId="63" fillId="0" borderId="38" xfId="1" applyNumberFormat="1" applyFont="1" applyFill="1" applyBorder="1" applyAlignment="1">
      <alignment horizontal="center" vertical="center"/>
    </xf>
    <xf numFmtId="0" fontId="63" fillId="0" borderId="38" xfId="1" applyNumberFormat="1" applyFont="1" applyFill="1" applyBorder="1" applyAlignment="1">
      <alignment vertical="center" wrapText="1"/>
    </xf>
    <xf numFmtId="174" fontId="63" fillId="0" borderId="8" xfId="1" applyNumberFormat="1" applyFont="1" applyFill="1" applyBorder="1" applyAlignment="1">
      <alignment horizontal="center" vertical="center"/>
    </xf>
    <xf numFmtId="0" fontId="63" fillId="0" borderId="8" xfId="1" applyNumberFormat="1" applyFont="1" applyFill="1" applyBorder="1" applyAlignment="1">
      <alignment horizontal="left" vertical="center" wrapText="1"/>
    </xf>
    <xf numFmtId="174" fontId="63" fillId="0" borderId="31" xfId="1" applyNumberFormat="1" applyFont="1" applyFill="1" applyBorder="1" applyAlignment="1">
      <alignment horizontal="center" vertical="center"/>
    </xf>
    <xf numFmtId="3" fontId="63" fillId="0" borderId="31" xfId="1" applyNumberFormat="1" applyFont="1" applyFill="1" applyBorder="1" applyAlignment="1">
      <alignment vertical="center" wrapText="1"/>
    </xf>
    <xf numFmtId="0" fontId="64" fillId="0" borderId="42" xfId="1" applyNumberFormat="1" applyFont="1" applyFill="1" applyBorder="1" applyAlignment="1">
      <alignment horizontal="center" vertical="center"/>
    </xf>
    <xf numFmtId="0" fontId="63" fillId="0" borderId="42" xfId="1" applyNumberFormat="1" applyFont="1" applyFill="1" applyBorder="1" applyAlignment="1">
      <alignment vertical="center" wrapText="1"/>
    </xf>
    <xf numFmtId="0" fontId="18" fillId="0" borderId="43" xfId="1" applyNumberFormat="1" applyFont="1" applyFill="1" applyBorder="1" applyAlignment="1">
      <alignment vertical="center" wrapText="1"/>
    </xf>
    <xf numFmtId="0" fontId="18" fillId="0" borderId="43" xfId="1" applyNumberFormat="1" applyFont="1" applyFill="1" applyBorder="1" applyAlignment="1">
      <alignment horizontal="center" vertical="center" wrapText="1"/>
    </xf>
    <xf numFmtId="174" fontId="63" fillId="0" borderId="43" xfId="1" applyNumberFormat="1" applyFont="1" applyFill="1" applyBorder="1" applyAlignment="1">
      <alignment horizontal="center" vertical="center"/>
    </xf>
    <xf numFmtId="0" fontId="63" fillId="0" borderId="43" xfId="1" applyNumberFormat="1" applyFont="1" applyFill="1" applyBorder="1" applyAlignment="1">
      <alignment vertical="center" wrapText="1"/>
    </xf>
    <xf numFmtId="0" fontId="63" fillId="0" borderId="43" xfId="1" applyNumberFormat="1" applyFont="1" applyFill="1" applyBorder="1" applyAlignment="1">
      <alignment horizontal="center" vertical="center" wrapText="1"/>
    </xf>
    <xf numFmtId="0" fontId="63" fillId="0" borderId="43" xfId="1" applyNumberFormat="1" applyFont="1" applyFill="1" applyBorder="1" applyAlignment="1">
      <alignment horizontal="center" vertical="center"/>
    </xf>
    <xf numFmtId="3" fontId="63" fillId="0" borderId="43" xfId="1" applyNumberFormat="1" applyFont="1" applyFill="1" applyBorder="1" applyAlignment="1">
      <alignment horizontal="center" vertical="center"/>
    </xf>
    <xf numFmtId="3" fontId="63" fillId="0" borderId="43" xfId="1" applyNumberFormat="1" applyFont="1" applyFill="1" applyBorder="1" applyAlignment="1">
      <alignment horizontal="center" vertical="center" wrapText="1"/>
    </xf>
    <xf numFmtId="171" fontId="63" fillId="0" borderId="43" xfId="1" applyNumberFormat="1" applyFont="1" applyFill="1" applyBorder="1" applyAlignment="1">
      <alignment horizontal="center" vertical="center"/>
    </xf>
    <xf numFmtId="3" fontId="63" fillId="0" borderId="43" xfId="1" applyNumberFormat="1" applyFont="1" applyFill="1" applyBorder="1" applyAlignment="1">
      <alignment horizontal="left" vertical="center" wrapText="1"/>
    </xf>
    <xf numFmtId="0" fontId="64" fillId="0" borderId="44" xfId="1" applyNumberFormat="1" applyFont="1" applyFill="1" applyBorder="1" applyAlignment="1">
      <alignment horizontal="center" vertical="center"/>
    </xf>
    <xf numFmtId="0" fontId="63" fillId="0" borderId="44" xfId="1" applyNumberFormat="1" applyFont="1" applyFill="1" applyBorder="1" applyAlignment="1">
      <alignment horizontal="center" vertical="center" wrapText="1"/>
    </xf>
    <xf numFmtId="174" fontId="63" fillId="0" borderId="15" xfId="1" applyNumberFormat="1" applyFont="1" applyFill="1" applyBorder="1" applyAlignment="1">
      <alignment horizontal="center" vertical="center"/>
    </xf>
    <xf numFmtId="0" fontId="63" fillId="0" borderId="15" xfId="1" applyNumberFormat="1" applyFont="1" applyFill="1" applyBorder="1" applyAlignment="1">
      <alignment horizontal="center" vertical="center"/>
    </xf>
    <xf numFmtId="3" fontId="68" fillId="0" borderId="15" xfId="1" applyNumberFormat="1" applyFont="1" applyFill="1" applyBorder="1" applyAlignment="1">
      <alignment horizontal="center" vertical="center" wrapText="1"/>
    </xf>
    <xf numFmtId="171" fontId="68" fillId="0" borderId="15" xfId="1" applyNumberFormat="1" applyFont="1" applyFill="1" applyBorder="1" applyAlignment="1">
      <alignment horizontal="center" vertical="center"/>
    </xf>
    <xf numFmtId="0" fontId="68" fillId="0" borderId="15" xfId="1" applyNumberFormat="1" applyFont="1" applyFill="1" applyBorder="1" applyAlignment="1">
      <alignment horizontal="center" vertical="center" wrapText="1"/>
    </xf>
    <xf numFmtId="3" fontId="68" fillId="0" borderId="15" xfId="1" applyNumberFormat="1" applyFont="1" applyFill="1" applyBorder="1" applyAlignment="1">
      <alignment horizontal="center" vertical="center"/>
    </xf>
    <xf numFmtId="174" fontId="68" fillId="0" borderId="15" xfId="1" applyNumberFormat="1" applyFont="1" applyFill="1" applyBorder="1" applyAlignment="1">
      <alignment horizontal="center" vertical="center"/>
    </xf>
    <xf numFmtId="3" fontId="68" fillId="0" borderId="15" xfId="1" applyNumberFormat="1" applyFont="1" applyFill="1" applyBorder="1" applyAlignment="1">
      <alignment horizontal="left" vertical="center" wrapText="1"/>
    </xf>
    <xf numFmtId="0" fontId="69" fillId="0" borderId="8" xfId="1" applyNumberFormat="1" applyFont="1" applyFill="1" applyBorder="1" applyAlignment="1">
      <alignment horizontal="center" vertical="center"/>
    </xf>
    <xf numFmtId="169" fontId="63" fillId="0" borderId="8" xfId="1" applyNumberFormat="1" applyFont="1" applyFill="1" applyBorder="1" applyAlignment="1">
      <alignment horizontal="center" vertical="center"/>
    </xf>
    <xf numFmtId="3" fontId="63" fillId="0" borderId="15" xfId="1" applyNumberFormat="1" applyFont="1" applyFill="1" applyBorder="1" applyAlignment="1">
      <alignment horizontal="center" vertical="center" wrapText="1"/>
    </xf>
    <xf numFmtId="3" fontId="63" fillId="0" borderId="15" xfId="1" applyNumberFormat="1" applyFont="1" applyFill="1" applyBorder="1" applyAlignment="1">
      <alignment horizontal="left" vertical="center" wrapText="1"/>
    </xf>
    <xf numFmtId="3" fontId="63" fillId="0" borderId="43" xfId="1" applyNumberFormat="1" applyFont="1" applyFill="1" applyBorder="1" applyAlignment="1">
      <alignment vertical="center"/>
    </xf>
    <xf numFmtId="174" fontId="63" fillId="0" borderId="43" xfId="1" applyNumberFormat="1" applyFont="1" applyFill="1" applyBorder="1" applyAlignment="1">
      <alignment vertical="center"/>
    </xf>
    <xf numFmtId="0" fontId="63" fillId="0" borderId="43" xfId="1" applyNumberFormat="1" applyFont="1" applyFill="1" applyBorder="1" applyAlignment="1">
      <alignment vertical="center"/>
    </xf>
    <xf numFmtId="3" fontId="63" fillId="0" borderId="8" xfId="1" applyNumberFormat="1" applyFont="1" applyFill="1" applyBorder="1" applyAlignment="1">
      <alignment vertical="center" wrapText="1"/>
    </xf>
    <xf numFmtId="3" fontId="63" fillId="0" borderId="42" xfId="1" applyNumberFormat="1" applyFont="1" applyFill="1" applyBorder="1" applyAlignment="1">
      <alignment vertical="center" wrapText="1"/>
    </xf>
    <xf numFmtId="0" fontId="63" fillId="0" borderId="42" xfId="1" applyNumberFormat="1" applyFont="1" applyFill="1" applyBorder="1" applyAlignment="1">
      <alignment vertical="center"/>
    </xf>
    <xf numFmtId="3" fontId="63" fillId="0" borderId="42" xfId="1" applyNumberFormat="1" applyFont="1" applyFill="1" applyBorder="1" applyAlignment="1">
      <alignment horizontal="center" vertical="center" wrapText="1"/>
    </xf>
    <xf numFmtId="3" fontId="63" fillId="0" borderId="42" xfId="1" applyNumberFormat="1" applyFont="1" applyFill="1" applyBorder="1" applyAlignment="1">
      <alignment horizontal="center" vertical="center"/>
    </xf>
    <xf numFmtId="0" fontId="63" fillId="0" borderId="42" xfId="1" applyNumberFormat="1" applyFont="1" applyFill="1" applyBorder="1" applyAlignment="1">
      <alignment horizontal="center" vertical="center" wrapText="1"/>
    </xf>
    <xf numFmtId="0" fontId="18" fillId="0" borderId="45" xfId="1" applyNumberFormat="1" applyFont="1" applyFill="1" applyBorder="1" applyAlignment="1">
      <alignment vertical="center" wrapText="1"/>
    </xf>
    <xf numFmtId="4" fontId="63" fillId="0" borderId="34" xfId="1" applyNumberFormat="1" applyFont="1" applyFill="1" applyBorder="1" applyAlignment="1">
      <alignment horizontal="center" vertical="center"/>
    </xf>
    <xf numFmtId="0" fontId="63" fillId="0" borderId="34" xfId="1" applyNumberFormat="1" applyFont="1" applyFill="1" applyBorder="1" applyAlignment="1">
      <alignment vertical="center" wrapText="1"/>
    </xf>
    <xf numFmtId="0" fontId="63" fillId="0" borderId="34" xfId="1" applyNumberFormat="1" applyFont="1" applyFill="1" applyBorder="1" applyAlignment="1">
      <alignment horizontal="center" vertical="center" wrapText="1"/>
    </xf>
    <xf numFmtId="3" fontId="63" fillId="0" borderId="34" xfId="1" applyNumberFormat="1" applyFont="1" applyFill="1" applyBorder="1" applyAlignment="1">
      <alignment vertical="center"/>
    </xf>
    <xf numFmtId="174" fontId="63" fillId="0" borderId="34" xfId="1" applyNumberFormat="1" applyFont="1" applyFill="1" applyBorder="1" applyAlignment="1">
      <alignment vertical="center"/>
    </xf>
    <xf numFmtId="0" fontId="63" fillId="0" borderId="34" xfId="1" applyNumberFormat="1" applyFont="1" applyFill="1" applyBorder="1" applyAlignment="1">
      <alignment vertical="center"/>
    </xf>
    <xf numFmtId="3" fontId="63" fillId="0" borderId="34" xfId="1" applyNumberFormat="1" applyFont="1" applyFill="1" applyBorder="1" applyAlignment="1">
      <alignment vertical="center" wrapText="1"/>
    </xf>
    <xf numFmtId="3" fontId="63" fillId="0" borderId="34" xfId="1" applyNumberFormat="1" applyFont="1" applyFill="1" applyBorder="1" applyAlignment="1">
      <alignment horizontal="center" vertical="center" wrapText="1"/>
    </xf>
    <xf numFmtId="3" fontId="63" fillId="0" borderId="34" xfId="1" applyNumberFormat="1" applyFont="1" applyFill="1" applyBorder="1" applyAlignment="1">
      <alignment horizontal="center" vertical="center"/>
    </xf>
    <xf numFmtId="0" fontId="64" fillId="0" borderId="34" xfId="1" applyNumberFormat="1" applyFont="1" applyFill="1" applyBorder="1" applyAlignment="1">
      <alignment horizontal="center" vertical="center"/>
    </xf>
    <xf numFmtId="0" fontId="18" fillId="0" borderId="46" xfId="1" applyNumberFormat="1" applyFont="1" applyFill="1" applyBorder="1" applyAlignment="1">
      <alignment vertical="center" wrapText="1"/>
    </xf>
    <xf numFmtId="0" fontId="63" fillId="0" borderId="33" xfId="1" applyNumberFormat="1" applyFont="1" applyFill="1" applyBorder="1" applyAlignment="1">
      <alignment horizontal="left" vertical="center" wrapText="1"/>
    </xf>
    <xf numFmtId="0" fontId="63" fillId="0" borderId="30" xfId="1" applyNumberFormat="1" applyFont="1" applyFill="1" applyBorder="1" applyAlignment="1">
      <alignment horizontal="left" vertical="center" wrapText="1"/>
    </xf>
    <xf numFmtId="171" fontId="63" fillId="0" borderId="34" xfId="1" applyNumberFormat="1" applyFont="1" applyFill="1" applyBorder="1" applyAlignment="1">
      <alignment horizontal="center" vertical="center"/>
    </xf>
    <xf numFmtId="0" fontId="63" fillId="0" borderId="47" xfId="1" applyNumberFormat="1" applyFont="1" applyFill="1" applyBorder="1" applyAlignment="1">
      <alignment horizontal="left" vertical="center" wrapText="1"/>
    </xf>
    <xf numFmtId="3" fontId="18" fillId="4" borderId="8" xfId="1" applyNumberFormat="1" applyFont="1" applyFill="1" applyBorder="1" applyAlignment="1">
      <alignment horizontal="left" vertical="center" wrapText="1"/>
    </xf>
    <xf numFmtId="3" fontId="59" fillId="0" borderId="8" xfId="0" applyNumberFormat="1" applyFont="1" applyBorder="1" applyAlignment="1">
      <alignment horizontal="right" vertical="center"/>
    </xf>
    <xf numFmtId="3" fontId="0" fillId="4" borderId="8" xfId="1" applyNumberFormat="1" applyFont="1" applyFill="1" applyBorder="1" applyAlignment="1">
      <alignment wrapText="1"/>
    </xf>
    <xf numFmtId="1" fontId="0" fillId="4" borderId="8" xfId="1" applyNumberFormat="1" applyFont="1" applyFill="1" applyBorder="1" applyAlignment="1">
      <alignment wrapText="1"/>
    </xf>
    <xf numFmtId="0" fontId="0" fillId="0" borderId="8" xfId="1" applyNumberFormat="1" applyFont="1" applyFill="1" applyBorder="1" applyAlignment="1">
      <alignment wrapText="1"/>
    </xf>
    <xf numFmtId="0" fontId="0" fillId="0" borderId="0" xfId="0" applyFont="1" applyAlignment="1">
      <alignment wrapText="1"/>
    </xf>
    <xf numFmtId="0" fontId="42" fillId="0" borderId="14" xfId="1" applyNumberFormat="1" applyFont="1" applyFill="1" applyBorder="1" applyAlignment="1">
      <alignment vertical="top" wrapText="1"/>
    </xf>
    <xf numFmtId="0" fontId="7" fillId="0" borderId="8" xfId="1" applyNumberFormat="1" applyFont="1" applyFill="1" applyBorder="1" applyAlignment="1">
      <alignment horizontal="center" vertical="top" wrapText="1"/>
    </xf>
    <xf numFmtId="0" fontId="9" fillId="0" borderId="8" xfId="1" applyNumberFormat="1" applyFont="1" applyFill="1" applyBorder="1" applyAlignment="1">
      <alignment vertical="top" wrapText="1"/>
    </xf>
    <xf numFmtId="0" fontId="42" fillId="0" borderId="8" xfId="1" applyNumberFormat="1" applyFont="1" applyFill="1" applyBorder="1" applyAlignment="1">
      <alignment vertical="top" wrapText="1"/>
    </xf>
    <xf numFmtId="0" fontId="9" fillId="0" borderId="8" xfId="1" applyNumberFormat="1" applyFont="1" applyFill="1" applyBorder="1" applyAlignment="1">
      <alignment horizontal="center" vertical="top" wrapText="1"/>
    </xf>
    <xf numFmtId="0" fontId="11" fillId="0" borderId="8" xfId="1" applyNumberFormat="1" applyFont="1" applyFill="1" applyBorder="1" applyAlignment="1">
      <alignment horizontal="center" vertical="top" wrapText="1"/>
    </xf>
    <xf numFmtId="0" fontId="9" fillId="0" borderId="8" xfId="1" applyNumberFormat="1" applyFont="1" applyFill="1" applyBorder="1" applyAlignment="1">
      <alignment horizontal="left" vertical="top" wrapText="1"/>
    </xf>
    <xf numFmtId="0" fontId="11" fillId="0" borderId="29" xfId="0" applyFont="1" applyFill="1" applyBorder="1" applyAlignment="1">
      <alignment horizontal="right" vertical="top" wrapText="1"/>
    </xf>
    <xf numFmtId="3" fontId="44" fillId="0" borderId="8" xfId="0" applyNumberFormat="1" applyFont="1" applyFill="1" applyBorder="1" applyAlignment="1">
      <alignment horizontal="right" vertical="top" wrapText="1"/>
    </xf>
    <xf numFmtId="3" fontId="11" fillId="0" borderId="8" xfId="1" applyNumberFormat="1" applyFont="1" applyFill="1" applyBorder="1" applyAlignment="1">
      <alignment vertical="top" wrapText="1"/>
    </xf>
    <xf numFmtId="0" fontId="11" fillId="0" borderId="8" xfId="1" applyNumberFormat="1" applyFont="1" applyFill="1" applyBorder="1" applyAlignment="1">
      <alignment vertical="top" wrapText="1"/>
    </xf>
    <xf numFmtId="2" fontId="11" fillId="0" borderId="8" xfId="1" applyNumberFormat="1" applyFont="1" applyFill="1" applyBorder="1" applyAlignment="1">
      <alignment vertical="top" wrapText="1"/>
    </xf>
    <xf numFmtId="3" fontId="50" fillId="0" borderId="0" xfId="0" applyNumberFormat="1" applyFont="1" applyFill="1" applyAlignment="1">
      <alignment vertical="top" wrapText="1"/>
    </xf>
    <xf numFmtId="0" fontId="70" fillId="0" borderId="8" xfId="1" applyNumberFormat="1" applyFont="1" applyFill="1" applyBorder="1" applyAlignment="1">
      <alignment vertical="top" wrapText="1"/>
    </xf>
    <xf numFmtId="0" fontId="71" fillId="0" borderId="8" xfId="1" applyNumberFormat="1" applyFont="1" applyFill="1" applyBorder="1" applyAlignment="1">
      <alignment vertical="top" wrapText="1"/>
    </xf>
    <xf numFmtId="0" fontId="9" fillId="0" borderId="8" xfId="1" applyNumberFormat="1" applyFont="1" applyFill="1" applyBorder="1" applyAlignment="1">
      <alignment horizontal="right" vertical="top" wrapText="1"/>
    </xf>
    <xf numFmtId="0" fontId="11" fillId="0" borderId="48" xfId="0" applyFont="1" applyFill="1" applyBorder="1" applyAlignment="1">
      <alignment horizontal="right" vertical="top" wrapText="1"/>
    </xf>
    <xf numFmtId="3" fontId="44" fillId="0" borderId="8" xfId="0" applyNumberFormat="1" applyFont="1" applyFill="1" applyBorder="1" applyAlignment="1">
      <alignment horizontal="center" vertical="top" wrapText="1"/>
    </xf>
    <xf numFmtId="3" fontId="31" fillId="0" borderId="0" xfId="0" applyNumberFormat="1" applyFont="1" applyFill="1" applyAlignment="1">
      <alignment vertical="top" wrapText="1"/>
    </xf>
    <xf numFmtId="3" fontId="59" fillId="0" borderId="8" xfId="0" applyNumberFormat="1" applyFont="1" applyFill="1" applyBorder="1" applyAlignment="1">
      <alignment horizontal="right" vertical="center"/>
    </xf>
    <xf numFmtId="3" fontId="0" fillId="0" borderId="8" xfId="1" applyNumberFormat="1" applyFont="1" applyFill="1" applyBorder="1"/>
    <xf numFmtId="4" fontId="0" fillId="0" borderId="8" xfId="1" applyNumberFormat="1" applyFont="1" applyFill="1" applyBorder="1" applyAlignment="1">
      <alignment wrapText="1"/>
    </xf>
    <xf numFmtId="3" fontId="18" fillId="0" borderId="8" xfId="1" applyNumberFormat="1" applyFont="1" applyFill="1" applyBorder="1" applyAlignment="1">
      <alignment horizontal="center" vertical="center"/>
    </xf>
    <xf numFmtId="4" fontId="0" fillId="0" borderId="8" xfId="1" applyNumberFormat="1" applyFont="1" applyFill="1" applyBorder="1" applyAlignment="1">
      <alignment vertical="center" wrapText="1"/>
    </xf>
    <xf numFmtId="9" fontId="18" fillId="0" borderId="8" xfId="1" applyNumberFormat="1" applyFont="1" applyFill="1" applyBorder="1" applyAlignment="1">
      <alignment horizontal="center" vertical="top"/>
    </xf>
    <xf numFmtId="0" fontId="18" fillId="0" borderId="8" xfId="1" quotePrefix="1" applyNumberFormat="1"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0" borderId="0" xfId="0" applyFont="1" applyAlignment="1">
      <alignment horizontal="center"/>
    </xf>
    <xf numFmtId="0" fontId="42" fillId="0" borderId="0" xfId="0" applyFont="1" applyAlignment="1">
      <alignment horizontal="left"/>
    </xf>
    <xf numFmtId="0" fontId="18" fillId="0" borderId="8"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42" fillId="4" borderId="0" xfId="1" applyNumberFormat="1" applyFont="1" applyFill="1"/>
    <xf numFmtId="0" fontId="42" fillId="4" borderId="0" xfId="1" applyNumberFormat="1" applyFont="1" applyFill="1" applyAlignment="1">
      <alignment vertical="center"/>
    </xf>
    <xf numFmtId="0" fontId="42" fillId="0" borderId="0" xfId="1" applyNumberFormat="1" applyFont="1"/>
    <xf numFmtId="169" fontId="42" fillId="0" borderId="0" xfId="1" applyNumberFormat="1" applyFont="1"/>
    <xf numFmtId="169" fontId="38" fillId="0" borderId="0" xfId="1" applyNumberFormat="1" applyFont="1"/>
    <xf numFmtId="43" fontId="38" fillId="0" borderId="0" xfId="1" applyFont="1"/>
    <xf numFmtId="3" fontId="38" fillId="0" borderId="0" xfId="0" applyNumberFormat="1" applyFont="1" applyFill="1"/>
    <xf numFmtId="169" fontId="44" fillId="5" borderId="8" xfId="1" applyNumberFormat="1" applyFont="1" applyFill="1" applyBorder="1" applyAlignment="1">
      <alignment horizontal="center" vertical="center" wrapText="1"/>
    </xf>
    <xf numFmtId="43" fontId="44" fillId="5" borderId="8" xfId="1" applyFont="1" applyFill="1" applyBorder="1" applyAlignment="1">
      <alignment horizontal="center" vertical="center" wrapText="1"/>
    </xf>
    <xf numFmtId="43" fontId="43" fillId="8" borderId="8" xfId="1" applyFont="1" applyFill="1" applyBorder="1" applyAlignment="1">
      <alignment horizontal="center" vertical="center" wrapText="1"/>
    </xf>
    <xf numFmtId="0" fontId="42" fillId="0" borderId="8" xfId="1" applyNumberFormat="1" applyFont="1" applyFill="1" applyBorder="1" applyAlignment="1">
      <alignment vertical="center" wrapText="1"/>
    </xf>
    <xf numFmtId="0" fontId="42" fillId="0" borderId="8" xfId="1" applyNumberFormat="1" applyFont="1" applyFill="1" applyBorder="1" applyAlignment="1">
      <alignment horizontal="center" vertical="center" wrapText="1"/>
    </xf>
    <xf numFmtId="169" fontId="59" fillId="0" borderId="8" xfId="1" applyNumberFormat="1" applyFont="1" applyFill="1" applyBorder="1" applyAlignment="1">
      <alignment horizontal="right" vertical="center"/>
    </xf>
    <xf numFmtId="169" fontId="38" fillId="0" borderId="8" xfId="1" applyNumberFormat="1" applyFont="1" applyFill="1" applyBorder="1" applyAlignment="1">
      <alignment vertical="center"/>
    </xf>
    <xf numFmtId="0" fontId="18" fillId="0" borderId="14" xfId="1" quotePrefix="1" applyNumberFormat="1" applyFont="1" applyFill="1" applyBorder="1" applyAlignment="1">
      <alignment horizontal="center" vertical="center" wrapText="1"/>
    </xf>
    <xf numFmtId="0" fontId="18" fillId="0" borderId="15" xfId="1" quotePrefix="1" applyNumberFormat="1" applyFont="1" applyFill="1" applyBorder="1" applyAlignment="1">
      <alignment horizontal="center" vertical="center" wrapText="1"/>
    </xf>
    <xf numFmtId="9" fontId="18" fillId="0" borderId="8" xfId="1" quotePrefix="1" applyNumberFormat="1" applyFont="1" applyFill="1" applyBorder="1" applyAlignment="1">
      <alignment horizontal="center" vertical="center" wrapText="1"/>
    </xf>
    <xf numFmtId="0" fontId="42" fillId="0" borderId="14" xfId="1" applyNumberFormat="1" applyFont="1" applyFill="1" applyBorder="1" applyAlignment="1">
      <alignment vertical="center" wrapText="1"/>
    </xf>
    <xf numFmtId="0" fontId="42" fillId="0" borderId="8" xfId="1" applyNumberFormat="1" applyFont="1" applyFill="1" applyBorder="1" applyAlignment="1">
      <alignment horizontal="center" vertical="center"/>
    </xf>
    <xf numFmtId="169" fontId="71" fillId="0" borderId="8" xfId="1" applyNumberFormat="1" applyFont="1" applyFill="1" applyBorder="1" applyAlignment="1">
      <alignment horizontal="center" vertical="center"/>
    </xf>
    <xf numFmtId="169" fontId="71" fillId="0" borderId="8" xfId="1" applyNumberFormat="1" applyFont="1" applyFill="1" applyBorder="1"/>
    <xf numFmtId="0" fontId="71" fillId="0" borderId="8" xfId="1" applyNumberFormat="1" applyFont="1" applyFill="1" applyBorder="1"/>
    <xf numFmtId="0" fontId="71" fillId="0" borderId="8" xfId="1" applyNumberFormat="1" applyFont="1" applyFill="1" applyBorder="1" applyAlignment="1">
      <alignment horizontal="center" vertical="center"/>
    </xf>
    <xf numFmtId="0" fontId="71" fillId="0" borderId="8" xfId="1" applyNumberFormat="1" applyFont="1" applyFill="1" applyBorder="1" applyAlignment="1">
      <alignment vertical="center"/>
    </xf>
    <xf numFmtId="0" fontId="7" fillId="0" borderId="8" xfId="1" applyNumberFormat="1" applyFont="1" applyFill="1" applyBorder="1" applyAlignment="1">
      <alignment horizontal="center" vertical="center"/>
    </xf>
    <xf numFmtId="0" fontId="71" fillId="0" borderId="8" xfId="1" applyNumberFormat="1" applyFont="1" applyFill="1" applyBorder="1" applyAlignment="1">
      <alignment wrapText="1"/>
    </xf>
    <xf numFmtId="0" fontId="71" fillId="0" borderId="8" xfId="1" applyNumberFormat="1" applyFont="1" applyFill="1" applyBorder="1" applyAlignment="1">
      <alignment vertical="center" wrapText="1"/>
    </xf>
    <xf numFmtId="0" fontId="42" fillId="0" borderId="15" xfId="1" applyNumberFormat="1" applyFont="1" applyFill="1" applyBorder="1" applyAlignment="1">
      <alignment vertical="center" wrapText="1"/>
    </xf>
    <xf numFmtId="0" fontId="42" fillId="0" borderId="8" xfId="1" applyNumberFormat="1" applyFont="1" applyFill="1" applyBorder="1" applyAlignment="1">
      <alignment horizontal="left" vertical="center" wrapText="1"/>
    </xf>
    <xf numFmtId="0" fontId="7" fillId="0" borderId="8" xfId="1" applyNumberFormat="1" applyFont="1" applyFill="1" applyBorder="1"/>
    <xf numFmtId="169" fontId="71" fillId="0" borderId="8" xfId="1" applyNumberFormat="1" applyFont="1" applyFill="1" applyBorder="1" applyAlignment="1">
      <alignment vertical="center"/>
    </xf>
    <xf numFmtId="0" fontId="42" fillId="0" borderId="8" xfId="1" applyNumberFormat="1" applyFont="1" applyFill="1" applyBorder="1" applyAlignment="1">
      <alignment horizontal="justify" vertical="center" wrapText="1"/>
    </xf>
    <xf numFmtId="9" fontId="42" fillId="0" borderId="8" xfId="1" applyNumberFormat="1" applyFont="1" applyFill="1" applyBorder="1" applyAlignment="1">
      <alignment horizontal="center" vertical="center" wrapText="1"/>
    </xf>
    <xf numFmtId="0" fontId="42" fillId="0" borderId="14" xfId="1" applyNumberFormat="1" applyFont="1" applyFill="1" applyBorder="1" applyAlignment="1">
      <alignment horizontal="center" vertical="center" wrapText="1"/>
    </xf>
    <xf numFmtId="43" fontId="38" fillId="0" borderId="8" xfId="1" applyFont="1" applyFill="1" applyBorder="1" applyAlignment="1">
      <alignment vertical="center"/>
    </xf>
    <xf numFmtId="0" fontId="71" fillId="0" borderId="8" xfId="1" applyNumberFormat="1" applyFont="1" applyFill="1" applyBorder="1" applyAlignment="1">
      <alignment horizontal="center" vertical="center" wrapText="1"/>
    </xf>
    <xf numFmtId="3" fontId="71" fillId="0" borderId="8" xfId="1" applyNumberFormat="1" applyFont="1" applyFill="1" applyBorder="1" applyAlignment="1">
      <alignment horizontal="center" vertical="center"/>
    </xf>
    <xf numFmtId="0" fontId="71" fillId="0" borderId="8" xfId="1" applyNumberFormat="1" applyFont="1" applyFill="1" applyBorder="1" applyAlignment="1">
      <alignment horizontal="left" vertical="center" wrapText="1"/>
    </xf>
    <xf numFmtId="3" fontId="42" fillId="0" borderId="14" xfId="1" applyNumberFormat="1" applyFont="1" applyFill="1" applyBorder="1" applyAlignment="1">
      <alignment horizontal="center" vertical="center" wrapText="1"/>
    </xf>
    <xf numFmtId="169" fontId="44" fillId="0" borderId="8" xfId="1" applyNumberFormat="1" applyFont="1" applyFill="1" applyBorder="1" applyAlignment="1">
      <alignment horizontal="right" vertical="center"/>
    </xf>
    <xf numFmtId="0" fontId="71" fillId="0" borderId="8" xfId="1" applyNumberFormat="1" applyFont="1" applyFill="1" applyBorder="1" applyAlignment="1">
      <alignment horizontal="center" wrapText="1"/>
    </xf>
    <xf numFmtId="43" fontId="38" fillId="0" borderId="8" xfId="1" applyFont="1" applyFill="1" applyBorder="1" applyAlignment="1">
      <alignment horizontal="center" vertical="center"/>
    </xf>
    <xf numFmtId="0" fontId="42" fillId="0" borderId="8" xfId="1" applyNumberFormat="1" applyFont="1" applyFill="1" applyBorder="1" applyAlignment="1">
      <alignment horizontal="center" vertical="top" wrapText="1"/>
    </xf>
    <xf numFmtId="0" fontId="42" fillId="0" borderId="8" xfId="1" quotePrefix="1" applyNumberFormat="1" applyFont="1" applyFill="1" applyBorder="1" applyAlignment="1">
      <alignment horizontal="center" vertical="center" wrapText="1"/>
    </xf>
    <xf numFmtId="0" fontId="42" fillId="0" borderId="14" xfId="1" quotePrefix="1" applyNumberFormat="1" applyFont="1" applyFill="1" applyBorder="1" applyAlignment="1">
      <alignment horizontal="center" vertical="center" wrapText="1"/>
    </xf>
    <xf numFmtId="0" fontId="42" fillId="0" borderId="23" xfId="1" applyNumberFormat="1" applyFont="1" applyFill="1" applyBorder="1" applyAlignment="1">
      <alignment vertical="center" wrapText="1"/>
    </xf>
    <xf numFmtId="0" fontId="42" fillId="0" borderId="0" xfId="1" applyNumberFormat="1" applyFont="1" applyFill="1" applyAlignment="1">
      <alignment horizontal="center" vertical="center" wrapText="1"/>
    </xf>
    <xf numFmtId="3" fontId="42" fillId="0" borderId="8" xfId="1" quotePrefix="1" applyNumberFormat="1" applyFont="1" applyFill="1" applyBorder="1" applyAlignment="1">
      <alignment horizontal="center" vertical="center" wrapText="1"/>
    </xf>
    <xf numFmtId="43" fontId="38" fillId="0" borderId="8" xfId="1" applyFont="1" applyFill="1" applyBorder="1" applyAlignment="1">
      <alignment vertical="center" wrapText="1"/>
    </xf>
    <xf numFmtId="0" fontId="42" fillId="0" borderId="15" xfId="1" quotePrefix="1" applyNumberFormat="1" applyFont="1" applyFill="1" applyBorder="1" applyAlignment="1">
      <alignment horizontal="center" vertical="center" wrapText="1"/>
    </xf>
    <xf numFmtId="9" fontId="42" fillId="0" borderId="8" xfId="1" quotePrefix="1" applyNumberFormat="1" applyFont="1" applyFill="1" applyBorder="1" applyAlignment="1">
      <alignment horizontal="center" vertical="center" wrapText="1"/>
    </xf>
    <xf numFmtId="0" fontId="42" fillId="0" borderId="8" xfId="1" applyNumberFormat="1" applyFont="1" applyFill="1" applyBorder="1" applyAlignment="1">
      <alignment horizontal="left" vertical="top" wrapText="1"/>
    </xf>
    <xf numFmtId="0" fontId="42" fillId="6" borderId="8" xfId="0" applyFont="1" applyFill="1" applyBorder="1" applyAlignment="1">
      <alignment horizontal="center" vertical="center" wrapText="1"/>
    </xf>
    <xf numFmtId="0" fontId="44" fillId="5" borderId="8" xfId="1" applyNumberFormat="1" applyFont="1" applyFill="1" applyBorder="1" applyAlignment="1">
      <alignment horizontal="center" vertical="center" wrapText="1"/>
    </xf>
    <xf numFmtId="0" fontId="7" fillId="0" borderId="0" xfId="0" applyFont="1" applyAlignment="1">
      <alignment horizontal="left"/>
    </xf>
    <xf numFmtId="0" fontId="5" fillId="0" borderId="0" xfId="0" applyFont="1" applyAlignment="1">
      <alignment horizontal="center"/>
    </xf>
    <xf numFmtId="0" fontId="43" fillId="8" borderId="8" xfId="0" applyFont="1" applyFill="1" applyBorder="1" applyAlignment="1">
      <alignment horizontal="center" vertical="center" wrapText="1"/>
    </xf>
    <xf numFmtId="0" fontId="18" fillId="4" borderId="8" xfId="1" applyNumberFormat="1" applyFont="1" applyFill="1" applyBorder="1" applyAlignment="1">
      <alignment horizontal="left" vertical="top" wrapText="1"/>
    </xf>
    <xf numFmtId="169" fontId="38" fillId="0" borderId="8" xfId="1" applyNumberFormat="1" applyFont="1" applyFill="1" applyBorder="1" applyAlignment="1">
      <alignment horizontal="center" vertical="center"/>
    </xf>
    <xf numFmtId="43" fontId="38" fillId="0" borderId="8" xfId="1" applyFont="1" applyFill="1" applyBorder="1" applyAlignment="1">
      <alignment horizontal="justify" vertical="center" wrapText="1"/>
    </xf>
    <xf numFmtId="169" fontId="38" fillId="0" borderId="0" xfId="1" applyNumberFormat="1" applyFont="1" applyFill="1"/>
    <xf numFmtId="0" fontId="18" fillId="0" borderId="8" xfId="1" applyNumberFormat="1" applyFont="1" applyFill="1" applyBorder="1" applyAlignment="1">
      <alignment horizontal="left" vertical="top" wrapText="1"/>
    </xf>
    <xf numFmtId="3" fontId="18" fillId="0" borderId="8" xfId="1" applyNumberFormat="1" applyFont="1" applyFill="1" applyBorder="1" applyAlignment="1">
      <alignment horizontal="center" vertical="center" wrapText="1"/>
    </xf>
    <xf numFmtId="0" fontId="44" fillId="5" borderId="8" xfId="1" applyNumberFormat="1" applyFont="1" applyFill="1" applyBorder="1" applyAlignment="1">
      <alignment horizontal="center" vertical="center" wrapText="1"/>
    </xf>
    <xf numFmtId="0" fontId="42" fillId="6" borderId="8" xfId="0" applyFont="1" applyFill="1" applyBorder="1" applyAlignment="1">
      <alignment horizontal="center" vertical="center" wrapText="1"/>
    </xf>
    <xf numFmtId="0" fontId="18" fillId="0" borderId="8" xfId="1" applyNumberFormat="1" applyFont="1" applyFill="1" applyBorder="1" applyAlignment="1">
      <alignment horizontal="center" vertical="center" wrapText="1"/>
    </xf>
    <xf numFmtId="0" fontId="18" fillId="0" borderId="3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18" fillId="0" borderId="25" xfId="1" applyNumberFormat="1" applyFont="1" applyFill="1" applyBorder="1" applyAlignment="1">
      <alignment horizontal="center" vertical="center" wrapText="1"/>
    </xf>
    <xf numFmtId="0" fontId="7" fillId="0" borderId="0" xfId="0" applyFont="1" applyAlignment="1">
      <alignment horizontal="left"/>
    </xf>
    <xf numFmtId="0" fontId="43" fillId="8" borderId="8"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5" fillId="0" borderId="0" xfId="0" applyFont="1" applyAlignment="1">
      <alignment horizontal="center"/>
    </xf>
    <xf numFmtId="0" fontId="18" fillId="0" borderId="8" xfId="1" applyNumberFormat="1" applyFont="1" applyFill="1" applyBorder="1" applyAlignment="1">
      <alignment horizontal="center" vertical="top" wrapText="1"/>
    </xf>
    <xf numFmtId="0" fontId="18" fillId="4" borderId="8" xfId="1" applyNumberFormat="1" applyFont="1" applyFill="1" applyBorder="1" applyAlignment="1">
      <alignment vertical="center"/>
    </xf>
    <xf numFmtId="0" fontId="18" fillId="4" borderId="8" xfId="1" applyNumberFormat="1" applyFont="1" applyFill="1" applyBorder="1" applyAlignment="1">
      <alignment vertical="center" wrapText="1"/>
    </xf>
    <xf numFmtId="3" fontId="18" fillId="4" borderId="27" xfId="1" applyNumberFormat="1" applyFont="1" applyFill="1" applyBorder="1" applyAlignment="1">
      <alignment horizontal="center" vertical="center" wrapText="1"/>
    </xf>
    <xf numFmtId="0" fontId="59" fillId="0" borderId="8" xfId="0" applyFont="1" applyBorder="1" applyAlignment="1">
      <alignment horizontal="right" vertical="center"/>
    </xf>
    <xf numFmtId="0" fontId="0" fillId="4" borderId="0" xfId="1" applyNumberFormat="1" applyFont="1" applyFill="1"/>
    <xf numFmtId="0" fontId="73" fillId="0" borderId="0" xfId="0" applyFont="1" applyAlignment="1"/>
    <xf numFmtId="0" fontId="0" fillId="0" borderId="0" xfId="0"/>
    <xf numFmtId="0" fontId="18" fillId="0" borderId="0" xfId="1" applyNumberFormat="1" applyFont="1"/>
    <xf numFmtId="0" fontId="46" fillId="0" borderId="0" xfId="1" applyNumberFormat="1" applyFont="1"/>
    <xf numFmtId="0" fontId="42" fillId="8" borderId="38" xfId="0" applyFont="1" applyFill="1" applyBorder="1" applyAlignment="1">
      <alignment horizontal="center" vertical="center" wrapText="1"/>
    </xf>
    <xf numFmtId="0" fontId="18" fillId="0" borderId="40" xfId="1" applyNumberFormat="1" applyFont="1" applyFill="1" applyBorder="1" applyAlignment="1">
      <alignment vertical="top" wrapText="1"/>
    </xf>
    <xf numFmtId="0" fontId="18" fillId="0" borderId="14" xfId="1" applyNumberFormat="1" applyFont="1" applyFill="1" applyBorder="1" applyAlignment="1">
      <alignment vertical="top" wrapText="1"/>
    </xf>
    <xf numFmtId="0" fontId="18" fillId="0" borderId="25" xfId="1" applyNumberFormat="1" applyFont="1" applyFill="1" applyBorder="1" applyAlignment="1">
      <alignment horizontal="center" vertical="top" wrapText="1"/>
    </xf>
    <xf numFmtId="0" fontId="18" fillId="0" borderId="14" xfId="1" applyNumberFormat="1" applyFont="1" applyFill="1" applyBorder="1" applyAlignment="1">
      <alignment horizontal="center" vertical="top" wrapText="1"/>
    </xf>
    <xf numFmtId="0" fontId="0" fillId="0" borderId="8" xfId="1" applyNumberFormat="1" applyFont="1" applyFill="1" applyBorder="1" applyAlignment="1">
      <alignment horizontal="center" vertical="center" wrapText="1"/>
    </xf>
    <xf numFmtId="44" fontId="0" fillId="0" borderId="8" xfId="6" applyFont="1" applyFill="1" applyBorder="1" applyAlignment="1">
      <alignment horizontal="center" vertical="center"/>
    </xf>
    <xf numFmtId="0" fontId="29" fillId="0" borderId="8" xfId="0" applyFont="1" applyFill="1" applyBorder="1" applyAlignment="1">
      <alignment horizontal="center" vertical="center" wrapText="1"/>
    </xf>
    <xf numFmtId="184" fontId="0" fillId="0" borderId="8" xfId="1" applyNumberFormat="1" applyFont="1" applyFill="1" applyBorder="1" applyAlignment="1">
      <alignment horizontal="center" vertical="center" wrapText="1"/>
    </xf>
    <xf numFmtId="16" fontId="0" fillId="0" borderId="8" xfId="1" applyNumberFormat="1" applyFont="1" applyFill="1" applyBorder="1" applyAlignment="1">
      <alignment horizontal="center" vertical="center"/>
    </xf>
    <xf numFmtId="0" fontId="0" fillId="0" borderId="30" xfId="1" applyNumberFormat="1" applyFont="1" applyFill="1" applyBorder="1" applyAlignment="1">
      <alignment horizontal="center" vertical="center"/>
    </xf>
    <xf numFmtId="0" fontId="20" fillId="0" borderId="8" xfId="0" applyFont="1" applyFill="1" applyBorder="1" applyAlignment="1">
      <alignment horizontal="center" vertical="center" wrapText="1"/>
    </xf>
    <xf numFmtId="184" fontId="20" fillId="0" borderId="8"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0" xfId="1" applyNumberFormat="1" applyFont="1" applyFill="1" applyBorder="1" applyAlignment="1">
      <alignment horizontal="center" vertical="center" wrapText="1"/>
    </xf>
    <xf numFmtId="44" fontId="0" fillId="0" borderId="8" xfId="6"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8" xfId="0" applyFont="1" applyFill="1" applyBorder="1" applyAlignment="1">
      <alignment horizontal="center" vertical="center"/>
    </xf>
    <xf numFmtId="3" fontId="59" fillId="0" borderId="8" xfId="0" applyNumberFormat="1" applyFont="1" applyFill="1" applyBorder="1" applyAlignment="1">
      <alignment horizontal="center" vertical="center"/>
    </xf>
    <xf numFmtId="0" fontId="18" fillId="0" borderId="15" xfId="1" applyNumberFormat="1" applyFont="1" applyFill="1" applyBorder="1" applyAlignment="1">
      <alignment horizontal="justify" vertical="top" wrapText="1"/>
    </xf>
    <xf numFmtId="0" fontId="18" fillId="0" borderId="15" xfId="1" applyNumberFormat="1" applyFont="1" applyFill="1" applyBorder="1" applyAlignment="1">
      <alignment horizontal="center" vertical="top" wrapText="1"/>
    </xf>
    <xf numFmtId="0" fontId="18" fillId="0" borderId="15" xfId="1" applyNumberFormat="1" applyFont="1" applyFill="1" applyBorder="1" applyAlignment="1">
      <alignment horizontal="center" vertical="center"/>
    </xf>
    <xf numFmtId="0" fontId="78" fillId="0" borderId="8" xfId="0" applyFont="1" applyFill="1" applyBorder="1" applyAlignment="1">
      <alignment horizontal="center" vertical="center"/>
    </xf>
    <xf numFmtId="0" fontId="18" fillId="0" borderId="27" xfId="1" applyNumberFormat="1" applyFont="1" applyFill="1" applyBorder="1" applyAlignment="1">
      <alignment horizontal="center" vertical="top" wrapText="1"/>
    </xf>
    <xf numFmtId="0" fontId="29" fillId="0" borderId="8" xfId="0" applyFont="1" applyFill="1" applyBorder="1" applyAlignment="1">
      <alignment horizontal="center" vertical="center"/>
    </xf>
    <xf numFmtId="0" fontId="20" fillId="0" borderId="8" xfId="0" applyFont="1" applyFill="1" applyBorder="1" applyAlignment="1">
      <alignment horizontal="center" vertical="center"/>
    </xf>
    <xf numFmtId="0" fontId="18" fillId="0" borderId="0" xfId="1" applyNumberFormat="1" applyFont="1" applyFill="1" applyBorder="1" applyAlignment="1">
      <alignment horizontal="center" vertical="top" wrapText="1"/>
    </xf>
    <xf numFmtId="0" fontId="18" fillId="0" borderId="40" xfId="1"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xf>
    <xf numFmtId="0" fontId="18" fillId="0" borderId="8" xfId="0" applyFont="1" applyFill="1" applyBorder="1" applyAlignment="1">
      <alignment horizontal="center" vertical="center" wrapText="1"/>
    </xf>
    <xf numFmtId="0" fontId="41" fillId="0" borderId="8" xfId="1" applyNumberFormat="1" applyFont="1" applyFill="1" applyBorder="1" applyAlignment="1">
      <alignment horizontal="center" vertical="center" wrapText="1"/>
    </xf>
    <xf numFmtId="0" fontId="18" fillId="0" borderId="30" xfId="1" applyNumberFormat="1" applyFont="1" applyFill="1" applyBorder="1" applyAlignment="1">
      <alignment horizontal="center" vertical="center" wrapText="1"/>
    </xf>
    <xf numFmtId="41" fontId="18" fillId="0" borderId="8" xfId="6" applyNumberFormat="1" applyFont="1" applyFill="1" applyBorder="1" applyAlignment="1">
      <alignment horizontal="center" vertical="center" wrapText="1"/>
    </xf>
    <xf numFmtId="10" fontId="18" fillId="0" borderId="8" xfId="1" applyNumberFormat="1" applyFont="1" applyFill="1" applyBorder="1" applyAlignment="1">
      <alignment horizontal="center" vertical="center"/>
    </xf>
    <xf numFmtId="41" fontId="18" fillId="0" borderId="8" xfId="0" applyNumberFormat="1" applyFont="1" applyFill="1" applyBorder="1" applyAlignment="1">
      <alignment horizontal="center" vertical="center"/>
    </xf>
    <xf numFmtId="0" fontId="59" fillId="0" borderId="8" xfId="0" applyFont="1" applyFill="1" applyBorder="1" applyAlignment="1">
      <alignment horizontal="center" vertical="center"/>
    </xf>
    <xf numFmtId="41" fontId="18" fillId="0" borderId="8" xfId="6" applyNumberFormat="1" applyFont="1" applyFill="1" applyBorder="1" applyAlignment="1">
      <alignment horizontal="center" vertical="center"/>
    </xf>
    <xf numFmtId="167" fontId="0" fillId="0" borderId="8" xfId="1" applyNumberFormat="1" applyFont="1" applyFill="1" applyBorder="1" applyAlignment="1">
      <alignment horizontal="center" vertical="center"/>
    </xf>
    <xf numFmtId="0" fontId="0" fillId="0" borderId="8" xfId="1" applyNumberFormat="1" applyFont="1" applyFill="1" applyBorder="1" applyAlignment="1">
      <alignment horizontal="center" vertical="top" wrapText="1"/>
    </xf>
    <xf numFmtId="0" fontId="0" fillId="0" borderId="8" xfId="0" applyFill="1" applyBorder="1"/>
    <xf numFmtId="0" fontId="0" fillId="0" borderId="8" xfId="1" applyNumberFormat="1" applyFont="1" applyFill="1" applyBorder="1" applyAlignment="1">
      <alignment vertical="top" wrapText="1"/>
    </xf>
    <xf numFmtId="0" fontId="0" fillId="0" borderId="8" xfId="1" applyNumberFormat="1" applyFont="1" applyFill="1" applyBorder="1" applyAlignment="1">
      <alignment vertical="top"/>
    </xf>
    <xf numFmtId="0" fontId="0" fillId="0" borderId="8" xfId="1" applyNumberFormat="1" applyFont="1" applyFill="1" applyBorder="1" applyAlignment="1">
      <alignment horizontal="left" vertical="top"/>
    </xf>
    <xf numFmtId="9" fontId="18" fillId="0" borderId="8" xfId="1" applyNumberFormat="1" applyFont="1" applyFill="1" applyBorder="1" applyAlignment="1">
      <alignment horizontal="center" vertical="center"/>
    </xf>
    <xf numFmtId="0" fontId="0" fillId="0" borderId="8" xfId="1" applyNumberFormat="1" applyFont="1" applyFill="1" applyBorder="1" applyAlignment="1">
      <alignment horizontal="center" vertical="top"/>
    </xf>
    <xf numFmtId="0" fontId="18" fillId="0" borderId="8" xfId="1" applyNumberFormat="1" applyFont="1" applyFill="1" applyBorder="1" applyAlignment="1">
      <alignment horizontal="center" vertical="top"/>
    </xf>
    <xf numFmtId="0" fontId="18" fillId="0" borderId="0" xfId="1" applyNumberFormat="1" applyFont="1" applyFill="1" applyAlignment="1">
      <alignment horizontal="center" vertical="top"/>
    </xf>
    <xf numFmtId="0" fontId="0" fillId="0" borderId="8" xfId="1" applyNumberFormat="1" applyFont="1" applyFill="1" applyBorder="1" applyAlignment="1">
      <alignment horizontal="left" vertical="top" wrapText="1"/>
    </xf>
    <xf numFmtId="0" fontId="18" fillId="0" borderId="19" xfId="1" applyNumberFormat="1" applyFont="1" applyFill="1" applyBorder="1" applyAlignment="1">
      <alignment horizontal="center" vertical="center" wrapText="1"/>
    </xf>
    <xf numFmtId="3" fontId="0" fillId="0" borderId="8" xfId="1" applyNumberFormat="1" applyFont="1" applyFill="1" applyBorder="1" applyAlignment="1">
      <alignment horizontal="center" vertical="center" wrapText="1"/>
    </xf>
    <xf numFmtId="6" fontId="0" fillId="0" borderId="8" xfId="0" applyNumberFormat="1" applyFont="1" applyFill="1" applyBorder="1" applyAlignment="1">
      <alignment horizontal="center" vertical="center"/>
    </xf>
    <xf numFmtId="0" fontId="18" fillId="0" borderId="8" xfId="9" applyNumberFormat="1" applyFont="1" applyFill="1" applyBorder="1" applyAlignment="1">
      <alignment horizontal="center" vertical="center" wrapText="1"/>
    </xf>
    <xf numFmtId="3" fontId="18" fillId="0" borderId="8" xfId="9" applyNumberFormat="1" applyFont="1" applyFill="1" applyBorder="1" applyAlignment="1">
      <alignment horizontal="center" vertical="center"/>
    </xf>
    <xf numFmtId="0" fontId="81" fillId="0" borderId="8" xfId="0" applyFont="1" applyFill="1" applyBorder="1" applyAlignment="1">
      <alignment horizontal="center" vertical="center" wrapText="1"/>
    </xf>
    <xf numFmtId="0" fontId="1" fillId="0" borderId="8" xfId="9" applyNumberFormat="1" applyFont="1" applyFill="1" applyBorder="1" applyAlignment="1">
      <alignment horizontal="center" vertical="center" wrapText="1"/>
    </xf>
    <xf numFmtId="9" fontId="18" fillId="0" borderId="8" xfId="9" applyNumberFormat="1" applyFont="1" applyFill="1" applyBorder="1" applyAlignment="1">
      <alignment horizontal="center" vertical="center"/>
    </xf>
    <xf numFmtId="9" fontId="1" fillId="0" borderId="8" xfId="9" applyNumberFormat="1" applyFont="1" applyFill="1" applyBorder="1" applyAlignment="1">
      <alignment horizontal="center" vertical="center"/>
    </xf>
    <xf numFmtId="0" fontId="0" fillId="0" borderId="8" xfId="0" applyFill="1" applyBorder="1" applyAlignment="1">
      <alignment horizontal="center" vertical="center"/>
    </xf>
    <xf numFmtId="0" fontId="18" fillId="0" borderId="0" xfId="1" applyNumberFormat="1" applyFont="1" applyFill="1" applyBorder="1" applyAlignment="1">
      <alignment horizontal="center" vertical="center" wrapText="1"/>
    </xf>
    <xf numFmtId="0" fontId="18" fillId="0" borderId="45" xfId="1" applyNumberFormat="1" applyFont="1" applyFill="1" applyBorder="1" applyAlignment="1">
      <alignment horizontal="center" vertical="center" wrapText="1"/>
    </xf>
    <xf numFmtId="0" fontId="18" fillId="0" borderId="59" xfId="1" applyNumberFormat="1" applyFont="1" applyFill="1" applyBorder="1" applyAlignment="1">
      <alignment horizontal="center" vertical="center" wrapText="1"/>
    </xf>
    <xf numFmtId="0" fontId="18" fillId="0" borderId="34" xfId="1" applyNumberFormat="1" applyFont="1" applyFill="1" applyBorder="1" applyAlignment="1">
      <alignment horizontal="center" vertical="center"/>
    </xf>
    <xf numFmtId="0" fontId="0" fillId="0" borderId="34" xfId="0" applyFill="1" applyBorder="1" applyAlignment="1">
      <alignment horizontal="center" vertical="center"/>
    </xf>
    <xf numFmtId="3" fontId="0" fillId="0" borderId="34" xfId="1" applyNumberFormat="1" applyFont="1" applyFill="1" applyBorder="1" applyAlignment="1">
      <alignment horizontal="center" vertical="center"/>
    </xf>
    <xf numFmtId="0" fontId="0" fillId="0" borderId="34" xfId="1" applyNumberFormat="1" applyFont="1" applyFill="1" applyBorder="1" applyAlignment="1">
      <alignment horizontal="center" vertical="center"/>
    </xf>
    <xf numFmtId="0" fontId="0" fillId="0" borderId="34" xfId="0" applyFill="1" applyBorder="1" applyAlignment="1">
      <alignment horizontal="center" vertical="center" wrapText="1"/>
    </xf>
    <xf numFmtId="0" fontId="0" fillId="0" borderId="34" xfId="1" applyNumberFormat="1" applyFont="1" applyFill="1" applyBorder="1" applyAlignment="1">
      <alignment horizontal="center" vertical="center" wrapText="1"/>
    </xf>
    <xf numFmtId="0" fontId="0" fillId="0" borderId="47" xfId="1" applyNumberFormat="1" applyFont="1" applyFill="1" applyBorder="1" applyAlignment="1">
      <alignment horizontal="center" vertical="center" wrapText="1"/>
    </xf>
    <xf numFmtId="0" fontId="0" fillId="6" borderId="56" xfId="1" applyNumberFormat="1" applyFont="1" applyFill="1" applyBorder="1"/>
    <xf numFmtId="0" fontId="0" fillId="6" borderId="0" xfId="1" applyNumberFormat="1" applyFont="1" applyFill="1" applyBorder="1"/>
    <xf numFmtId="0" fontId="75" fillId="0" borderId="8" xfId="1" applyNumberFormat="1" applyFont="1" applyFill="1" applyBorder="1" applyAlignment="1">
      <alignment vertical="top" wrapText="1"/>
    </xf>
    <xf numFmtId="0" fontId="4" fillId="0" borderId="8" xfId="1" applyNumberFormat="1" applyFont="1" applyFill="1" applyBorder="1" applyAlignment="1">
      <alignment horizontal="left" vertical="top" wrapText="1"/>
    </xf>
    <xf numFmtId="0" fontId="42" fillId="0" borderId="8" xfId="0" applyFont="1" applyFill="1" applyBorder="1" applyAlignment="1">
      <alignment horizontal="center" vertical="center" wrapText="1"/>
    </xf>
    <xf numFmtId="183" fontId="42" fillId="0" borderId="8" xfId="0" applyNumberFormat="1" applyFont="1" applyFill="1" applyBorder="1" applyAlignment="1">
      <alignment horizontal="center" vertical="center" wrapText="1"/>
    </xf>
    <xf numFmtId="183" fontId="38" fillId="0" borderId="8" xfId="10" applyNumberFormat="1" applyFont="1" applyFill="1" applyBorder="1" applyAlignment="1">
      <alignment vertical="center"/>
    </xf>
    <xf numFmtId="3" fontId="36" fillId="0" borderId="8" xfId="1" applyNumberFormat="1" applyFont="1" applyFill="1" applyBorder="1" applyAlignment="1">
      <alignment wrapText="1"/>
    </xf>
    <xf numFmtId="0" fontId="38" fillId="0" borderId="8"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38" fillId="0" borderId="8" xfId="0" applyFont="1" applyFill="1" applyBorder="1" applyAlignment="1">
      <alignment horizontal="center" vertical="center"/>
    </xf>
    <xf numFmtId="1" fontId="42" fillId="0" borderId="8" xfId="0" applyNumberFormat="1" applyFont="1" applyFill="1" applyBorder="1" applyAlignment="1">
      <alignment horizontal="center" vertical="center" wrapText="1"/>
    </xf>
    <xf numFmtId="0" fontId="45" fillId="0" borderId="8" xfId="0" applyFont="1" applyFill="1" applyBorder="1" applyAlignment="1">
      <alignment horizontal="center" vertical="center"/>
    </xf>
    <xf numFmtId="0" fontId="4" fillId="0" borderId="8" xfId="1" applyNumberFormat="1" applyFont="1" applyFill="1" applyBorder="1" applyAlignment="1">
      <alignment horizontal="center" vertical="top" wrapText="1"/>
    </xf>
    <xf numFmtId="0" fontId="4" fillId="0" borderId="8" xfId="1" applyNumberFormat="1" applyFont="1" applyFill="1" applyBorder="1" applyAlignment="1">
      <alignment vertical="top" wrapText="1"/>
    </xf>
    <xf numFmtId="0" fontId="75" fillId="0" borderId="8" xfId="1" applyNumberFormat="1" applyFont="1" applyFill="1" applyBorder="1" applyAlignment="1">
      <alignment horizontal="center" vertical="top" wrapText="1"/>
    </xf>
    <xf numFmtId="42" fontId="38" fillId="0" borderId="8" xfId="10" applyFont="1" applyFill="1" applyBorder="1" applyAlignment="1">
      <alignment vertical="center"/>
    </xf>
    <xf numFmtId="3" fontId="36" fillId="0" borderId="8" xfId="1" applyNumberFormat="1" applyFont="1" applyFill="1" applyBorder="1" applyAlignment="1">
      <alignment vertical="center" wrapText="1"/>
    </xf>
    <xf numFmtId="0" fontId="45" fillId="0" borderId="8" xfId="0" applyFont="1" applyFill="1" applyBorder="1" applyAlignment="1">
      <alignment horizontal="center" vertical="center" wrapText="1"/>
    </xf>
    <xf numFmtId="0" fontId="75" fillId="0" borderId="8" xfId="1" applyNumberFormat="1" applyFont="1" applyFill="1" applyBorder="1" applyAlignment="1">
      <alignment horizontal="center" vertical="center" wrapText="1"/>
    </xf>
    <xf numFmtId="1" fontId="45" fillId="0" borderId="8" xfId="0" applyNumberFormat="1" applyFont="1" applyFill="1" applyBorder="1" applyAlignment="1">
      <alignment horizontal="center" vertical="center" wrapText="1"/>
    </xf>
    <xf numFmtId="0" fontId="18" fillId="0" borderId="8" xfId="1" applyNumberFormat="1" applyFont="1" applyFill="1" applyBorder="1" applyAlignment="1">
      <alignment horizontal="left" vertical="top" wrapText="1"/>
    </xf>
    <xf numFmtId="0" fontId="43" fillId="6" borderId="8" xfId="0" applyFont="1" applyFill="1" applyBorder="1" applyAlignment="1">
      <alignment horizontal="center" vertical="center" wrapText="1"/>
    </xf>
    <xf numFmtId="0" fontId="44" fillId="5" borderId="8" xfId="1" applyNumberFormat="1" applyFont="1" applyFill="1" applyBorder="1" applyAlignment="1">
      <alignment horizontal="center" vertical="center" wrapText="1"/>
    </xf>
    <xf numFmtId="0" fontId="42" fillId="6" borderId="8" xfId="0" applyFont="1" applyFill="1" applyBorder="1" applyAlignment="1">
      <alignment horizontal="center" vertical="center" wrapText="1"/>
    </xf>
    <xf numFmtId="0" fontId="18" fillId="0" borderId="8"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42" fillId="0" borderId="8" xfId="1" applyNumberFormat="1" applyFont="1" applyFill="1" applyBorder="1" applyAlignment="1">
      <alignment horizontal="justify" vertical="center" wrapText="1"/>
    </xf>
    <xf numFmtId="0" fontId="18" fillId="0" borderId="8" xfId="1" applyNumberFormat="1" applyFont="1" applyFill="1" applyBorder="1" applyAlignment="1">
      <alignment horizontal="center" vertical="top" wrapText="1"/>
    </xf>
    <xf numFmtId="0" fontId="18" fillId="0" borderId="14" xfId="1" applyNumberFormat="1" applyFont="1" applyFill="1" applyBorder="1" applyAlignment="1">
      <alignment horizontal="center" vertical="top" wrapText="1"/>
    </xf>
    <xf numFmtId="9" fontId="0" fillId="0" borderId="8" xfId="1" applyNumberFormat="1" applyFont="1" applyFill="1" applyBorder="1" applyAlignment="1">
      <alignment horizontal="center" vertical="center"/>
    </xf>
    <xf numFmtId="0" fontId="0" fillId="0" borderId="8" xfId="1" applyNumberFormat="1" applyFont="1" applyFill="1" applyBorder="1" applyAlignment="1">
      <alignment horizontal="justify" vertical="center" wrapText="1"/>
    </xf>
    <xf numFmtId="41" fontId="0" fillId="0" borderId="8" xfId="11" applyFont="1" applyFill="1" applyBorder="1" applyAlignment="1">
      <alignment horizontal="center" vertical="center"/>
    </xf>
    <xf numFmtId="0" fontId="9" fillId="0" borderId="8" xfId="1"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3" fontId="0" fillId="0" borderId="8" xfId="0" applyNumberFormat="1" applyFont="1" applyFill="1" applyBorder="1" applyAlignment="1">
      <alignment horizontal="right" vertical="top"/>
    </xf>
    <xf numFmtId="3" fontId="0" fillId="0" borderId="10" xfId="0" applyNumberFormat="1" applyFont="1" applyFill="1" applyBorder="1" applyAlignment="1">
      <alignment horizontal="center" vertical="top" wrapText="1"/>
    </xf>
    <xf numFmtId="3" fontId="0" fillId="0" borderId="18" xfId="0" applyNumberFormat="1" applyFont="1" applyFill="1" applyBorder="1" applyAlignment="1">
      <alignment horizontal="center" vertical="top" wrapText="1"/>
    </xf>
    <xf numFmtId="0" fontId="10" fillId="0" borderId="18" xfId="0" applyFont="1" applyFill="1" applyBorder="1" applyAlignment="1">
      <alignment vertical="top"/>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7" xfId="0" applyFont="1" applyFill="1" applyBorder="1" applyAlignment="1">
      <alignment vertical="top"/>
    </xf>
    <xf numFmtId="0" fontId="10" fillId="0" borderId="5" xfId="0" applyFont="1" applyFill="1" applyBorder="1" applyAlignment="1">
      <alignment vertical="top"/>
    </xf>
    <xf numFmtId="0" fontId="0" fillId="0" borderId="0" xfId="0" applyFont="1" applyAlignment="1">
      <alignment horizontal="center" vertical="top" wrapText="1"/>
    </xf>
    <xf numFmtId="0" fontId="0" fillId="0" borderId="0" xfId="0" applyFont="1" applyAlignment="1">
      <alignment vertical="top"/>
    </xf>
    <xf numFmtId="0" fontId="18" fillId="0" borderId="8" xfId="1" applyNumberFormat="1" applyFont="1" applyFill="1" applyBorder="1" applyAlignment="1">
      <alignment horizontal="left" vertical="top" wrapText="1"/>
    </xf>
    <xf numFmtId="0" fontId="18" fillId="0" borderId="8" xfId="1" applyNumberFormat="1" applyFont="1" applyFill="1" applyBorder="1" applyAlignment="1">
      <alignment vertical="top"/>
    </xf>
    <xf numFmtId="0" fontId="4" fillId="0" borderId="9" xfId="0" applyFont="1" applyFill="1" applyBorder="1" applyAlignment="1">
      <alignment horizontal="center" vertical="top" wrapText="1"/>
    </xf>
    <xf numFmtId="0" fontId="12" fillId="0" borderId="0" xfId="0" applyFont="1" applyAlignment="1">
      <alignment horizontal="center" vertical="top" wrapText="1"/>
    </xf>
    <xf numFmtId="0" fontId="4" fillId="0" borderId="1" xfId="0" applyFont="1" applyFill="1" applyBorder="1" applyAlignment="1">
      <alignment vertical="top" wrapText="1"/>
    </xf>
    <xf numFmtId="0" fontId="4" fillId="0" borderId="7" xfId="0" applyFont="1" applyFill="1" applyBorder="1" applyAlignment="1">
      <alignment vertical="top" wrapText="1"/>
    </xf>
    <xf numFmtId="0" fontId="7" fillId="0" borderId="0" xfId="0" applyFont="1" applyAlignment="1">
      <alignment horizontal="center" vertical="top" wrapText="1"/>
    </xf>
    <xf numFmtId="0" fontId="9" fillId="3" borderId="10" xfId="0" applyFont="1" applyFill="1" applyBorder="1" applyAlignment="1">
      <alignment horizontal="center" vertical="center" wrapText="1"/>
    </xf>
    <xf numFmtId="0" fontId="10" fillId="6" borderId="11" xfId="0" applyFont="1" applyFill="1" applyBorder="1"/>
    <xf numFmtId="0" fontId="16" fillId="0" borderId="0" xfId="0" applyFont="1" applyAlignment="1">
      <alignment horizontal="left" vertical="top" wrapText="1"/>
    </xf>
    <xf numFmtId="3" fontId="4" fillId="0" borderId="1"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9" fillId="3" borderId="2" xfId="0" applyFont="1" applyFill="1" applyBorder="1" applyAlignment="1">
      <alignment horizontal="center" vertical="center" wrapText="1"/>
    </xf>
    <xf numFmtId="0" fontId="10" fillId="6" borderId="3" xfId="0" applyFont="1" applyFill="1" applyBorder="1"/>
    <xf numFmtId="0" fontId="10" fillId="6" borderId="4" xfId="0" applyFont="1" applyFill="1" applyBorder="1"/>
    <xf numFmtId="0" fontId="9" fillId="3" borderId="1" xfId="0" applyFont="1" applyFill="1" applyBorder="1" applyAlignment="1">
      <alignment horizontal="center" vertical="center" wrapText="1"/>
    </xf>
    <xf numFmtId="0" fontId="10" fillId="6" borderId="5" xfId="0" applyFont="1" applyFill="1" applyBorder="1"/>
    <xf numFmtId="0" fontId="10" fillId="6" borderId="7" xfId="0" applyFont="1" applyFill="1" applyBorder="1"/>
    <xf numFmtId="0" fontId="5" fillId="0" borderId="0" xfId="0" applyFont="1" applyAlignment="1">
      <alignment horizontal="center" vertical="center" wrapText="1"/>
    </xf>
    <xf numFmtId="0" fontId="0" fillId="0" borderId="0" xfId="0" applyFont="1" applyAlignment="1"/>
    <xf numFmtId="0" fontId="6" fillId="0" borderId="0" xfId="0" applyFont="1" applyAlignment="1">
      <alignment horizontal="center" vertical="center" wrapText="1"/>
    </xf>
    <xf numFmtId="0" fontId="7" fillId="0" borderId="0" xfId="0" applyFont="1" applyAlignment="1">
      <alignment horizontal="left" vertical="center" wrapText="1"/>
    </xf>
    <xf numFmtId="0" fontId="11"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0" fillId="6" borderId="8" xfId="0" applyFont="1" applyFill="1" applyBorder="1"/>
    <xf numFmtId="0" fontId="9" fillId="3" borderId="12" xfId="0" applyFont="1" applyFill="1" applyBorder="1" applyAlignment="1">
      <alignment horizontal="center" vertical="center" wrapText="1"/>
    </xf>
    <xf numFmtId="0" fontId="10" fillId="6" borderId="13" xfId="0" applyFont="1" applyFill="1" applyBorder="1"/>
    <xf numFmtId="0" fontId="11" fillId="3" borderId="2" xfId="0" applyFont="1" applyFill="1" applyBorder="1" applyAlignment="1">
      <alignment horizontal="center" vertical="center" wrapText="1"/>
    </xf>
    <xf numFmtId="3" fontId="0" fillId="0" borderId="20" xfId="1" applyNumberFormat="1" applyFont="1" applyFill="1" applyBorder="1" applyAlignment="1">
      <alignment horizontal="right" vertical="top"/>
    </xf>
    <xf numFmtId="3" fontId="0" fillId="0" borderId="22" xfId="1" applyNumberFormat="1" applyFont="1" applyFill="1" applyBorder="1" applyAlignment="1">
      <alignment horizontal="right" vertical="top"/>
    </xf>
    <xf numFmtId="3" fontId="0" fillId="0" borderId="21" xfId="1" applyNumberFormat="1" applyFont="1" applyFill="1" applyBorder="1" applyAlignment="1">
      <alignment horizontal="right" vertical="top"/>
    </xf>
    <xf numFmtId="3" fontId="0" fillId="0" borderId="14" xfId="1" applyNumberFormat="1" applyFont="1" applyFill="1" applyBorder="1" applyAlignment="1">
      <alignment horizontal="right" vertical="top"/>
    </xf>
    <xf numFmtId="3" fontId="0" fillId="0" borderId="23" xfId="1" applyNumberFormat="1" applyFont="1" applyFill="1" applyBorder="1" applyAlignment="1">
      <alignment horizontal="right" vertical="top"/>
    </xf>
    <xf numFmtId="3" fontId="0" fillId="0" borderId="15" xfId="1" applyNumberFormat="1" applyFont="1" applyFill="1" applyBorder="1" applyAlignment="1">
      <alignment horizontal="right" vertical="top"/>
    </xf>
    <xf numFmtId="3" fontId="0" fillId="0" borderId="16" xfId="1" applyNumberFormat="1" applyFont="1" applyFill="1" applyBorder="1" applyAlignment="1">
      <alignment horizontal="right" vertical="top"/>
    </xf>
    <xf numFmtId="3" fontId="0" fillId="0" borderId="24" xfId="1" applyNumberFormat="1" applyFont="1" applyFill="1" applyBorder="1" applyAlignment="1">
      <alignment horizontal="right" vertical="top"/>
    </xf>
    <xf numFmtId="3" fontId="0" fillId="0" borderId="17" xfId="1" applyNumberFormat="1" applyFont="1" applyFill="1" applyBorder="1" applyAlignment="1">
      <alignment horizontal="right" vertical="top"/>
    </xf>
    <xf numFmtId="0" fontId="3" fillId="0" borderId="8" xfId="1" applyNumberFormat="1" applyFont="1" applyFill="1" applyBorder="1" applyAlignment="1">
      <alignment horizontal="justify" vertical="center"/>
    </xf>
    <xf numFmtId="0" fontId="3" fillId="0" borderId="14" xfId="1" applyNumberFormat="1" applyFont="1" applyFill="1" applyBorder="1" applyAlignment="1">
      <alignment horizontal="justify" vertical="center"/>
    </xf>
    <xf numFmtId="0" fontId="3" fillId="0" borderId="23" xfId="1" applyNumberFormat="1" applyFont="1" applyFill="1" applyBorder="1" applyAlignment="1">
      <alignment horizontal="justify" vertical="center"/>
    </xf>
    <xf numFmtId="0" fontId="3" fillId="0" borderId="15" xfId="1" applyNumberFormat="1" applyFont="1" applyFill="1" applyBorder="1" applyAlignment="1">
      <alignment horizontal="justify" vertical="center"/>
    </xf>
    <xf numFmtId="0" fontId="3" fillId="7" borderId="8" xfId="1" applyNumberFormat="1" applyFont="1" applyFill="1" applyBorder="1" applyAlignment="1">
      <alignment horizontal="justify" vertical="center"/>
    </xf>
    <xf numFmtId="0" fontId="31" fillId="6" borderId="8"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4" xfId="1" applyNumberFormat="1" applyFont="1" applyFill="1" applyBorder="1" applyAlignment="1">
      <alignment horizontal="center" vertical="center" wrapText="1"/>
    </xf>
    <xf numFmtId="0" fontId="31" fillId="6" borderId="15" xfId="1" applyNumberFormat="1" applyFont="1" applyFill="1" applyBorder="1" applyAlignment="1">
      <alignment horizontal="center" vertical="center" wrapText="1"/>
    </xf>
    <xf numFmtId="0" fontId="38" fillId="6" borderId="8" xfId="0" applyFont="1" applyFill="1" applyBorder="1" applyAlignment="1">
      <alignment horizontal="center" vertical="center" wrapText="1"/>
    </xf>
    <xf numFmtId="0" fontId="29" fillId="0" borderId="0" xfId="0" applyFont="1" applyFill="1" applyAlignment="1">
      <alignment horizontal="justify" vertical="center"/>
    </xf>
    <xf numFmtId="0" fontId="30" fillId="0" borderId="0" xfId="0" applyFont="1" applyFill="1" applyAlignment="1">
      <alignment horizontal="justify" vertical="center"/>
    </xf>
    <xf numFmtId="0" fontId="48" fillId="5" borderId="8" xfId="1"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0" fontId="7" fillId="0" borderId="0" xfId="0" applyFont="1" applyAlignment="1">
      <alignment horizontal="left" vertical="center"/>
    </xf>
    <xf numFmtId="0" fontId="48" fillId="6" borderId="8" xfId="1" applyNumberFormat="1" applyFont="1" applyFill="1" applyBorder="1" applyAlignment="1">
      <alignment horizontal="center" vertical="center" wrapText="1"/>
    </xf>
    <xf numFmtId="0" fontId="48" fillId="8" borderId="8"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18" fillId="0" borderId="0" xfId="0" applyFont="1" applyAlignment="1">
      <alignment horizontal="center" vertical="center"/>
    </xf>
    <xf numFmtId="0" fontId="49" fillId="8" borderId="8" xfId="0" applyFont="1" applyFill="1" applyBorder="1" applyAlignment="1">
      <alignment horizontal="center" vertical="center" wrapText="1"/>
    </xf>
    <xf numFmtId="0" fontId="48" fillId="8" borderId="8" xfId="0" applyFont="1" applyFill="1" applyBorder="1" applyAlignment="1">
      <alignment horizontal="center" vertical="center"/>
    </xf>
    <xf numFmtId="0" fontId="31" fillId="8" borderId="8" xfId="0" applyFont="1" applyFill="1" applyBorder="1" applyAlignment="1">
      <alignment horizontal="center" vertical="center"/>
    </xf>
    <xf numFmtId="3" fontId="18" fillId="0" borderId="8" xfId="1" applyNumberFormat="1" applyFont="1" applyFill="1" applyBorder="1" applyAlignment="1">
      <alignment horizontal="center" vertical="center" wrapText="1"/>
    </xf>
    <xf numFmtId="0" fontId="31" fillId="8" borderId="8" xfId="0" applyFont="1" applyFill="1" applyBorder="1" applyAlignment="1">
      <alignment horizontal="center" vertical="center" wrapText="1"/>
    </xf>
    <xf numFmtId="0" fontId="42" fillId="5" borderId="8" xfId="1" applyNumberFormat="1" applyFont="1" applyFill="1" applyBorder="1" applyAlignment="1">
      <alignment horizontal="center" vertical="center" wrapText="1"/>
    </xf>
    <xf numFmtId="0" fontId="48" fillId="0" borderId="0" xfId="0" applyFont="1" applyAlignment="1">
      <alignment horizontal="center"/>
    </xf>
    <xf numFmtId="0" fontId="48" fillId="0" borderId="0" xfId="0" applyFont="1" applyFill="1" applyAlignment="1">
      <alignment horizontal="center"/>
    </xf>
    <xf numFmtId="0" fontId="42" fillId="0" borderId="0" xfId="0" applyFont="1" applyAlignment="1">
      <alignment horizontal="center"/>
    </xf>
    <xf numFmtId="0" fontId="42" fillId="0" borderId="0" xfId="0" applyFont="1" applyAlignment="1">
      <alignment horizontal="left"/>
    </xf>
    <xf numFmtId="0" fontId="42" fillId="6" borderId="14" xfId="1" applyNumberFormat="1" applyFont="1" applyFill="1" applyBorder="1" applyAlignment="1">
      <alignment horizontal="center" vertical="center" wrapText="1"/>
    </xf>
    <xf numFmtId="0" fontId="42" fillId="6" borderId="23" xfId="1" applyNumberFormat="1" applyFont="1" applyFill="1" applyBorder="1" applyAlignment="1">
      <alignment horizontal="center" vertical="center" wrapText="1"/>
    </xf>
    <xf numFmtId="0" fontId="42" fillId="6" borderId="15" xfId="1" applyNumberFormat="1" applyFont="1" applyFill="1" applyBorder="1" applyAlignment="1">
      <alignment horizontal="center" vertical="center" wrapText="1"/>
    </xf>
    <xf numFmtId="0" fontId="42" fillId="5" borderId="14" xfId="1" applyNumberFormat="1" applyFont="1" applyFill="1" applyBorder="1" applyAlignment="1">
      <alignment horizontal="center" vertical="center" wrapText="1"/>
    </xf>
    <xf numFmtId="0" fontId="42" fillId="5" borderId="23" xfId="1" applyNumberFormat="1" applyFont="1" applyFill="1" applyBorder="1" applyAlignment="1">
      <alignment horizontal="center" vertical="center" wrapText="1"/>
    </xf>
    <xf numFmtId="0" fontId="42" fillId="5" borderId="15" xfId="1" applyNumberFormat="1" applyFont="1" applyFill="1" applyBorder="1" applyAlignment="1">
      <alignment horizontal="center" vertical="center" wrapText="1"/>
    </xf>
    <xf numFmtId="0" fontId="42" fillId="6" borderId="8" xfId="0" applyFont="1" applyFill="1" applyBorder="1" applyAlignment="1">
      <alignment horizontal="center" vertical="center" wrapText="1"/>
    </xf>
    <xf numFmtId="0" fontId="43" fillId="6" borderId="8" xfId="0" applyFont="1" applyFill="1" applyBorder="1" applyAlignment="1">
      <alignment horizontal="center" vertical="center" wrapText="1"/>
    </xf>
    <xf numFmtId="0" fontId="44" fillId="5" borderId="8" xfId="1" applyNumberFormat="1" applyFont="1" applyFill="1" applyBorder="1" applyAlignment="1">
      <alignment horizontal="center" vertical="center" wrapText="1"/>
    </xf>
    <xf numFmtId="0" fontId="42" fillId="4" borderId="8" xfId="1" applyNumberFormat="1" applyFont="1" applyFill="1" applyBorder="1" applyAlignment="1">
      <alignment horizontal="left" vertical="top" wrapText="1"/>
    </xf>
    <xf numFmtId="0" fontId="42" fillId="4" borderId="8" xfId="1" applyNumberFormat="1" applyFont="1" applyFill="1" applyBorder="1" applyAlignment="1">
      <alignment vertical="top" wrapText="1"/>
    </xf>
    <xf numFmtId="0" fontId="48" fillId="4" borderId="8" xfId="1" applyNumberFormat="1" applyFont="1" applyFill="1" applyBorder="1" applyAlignment="1">
      <alignment horizontal="center" vertical="top" wrapText="1"/>
    </xf>
    <xf numFmtId="0" fontId="42" fillId="4" borderId="8" xfId="1" applyNumberFormat="1" applyFont="1" applyFill="1" applyBorder="1" applyAlignment="1">
      <alignment horizontal="justify" vertical="top" wrapText="1"/>
    </xf>
    <xf numFmtId="0" fontId="42" fillId="4" borderId="8" xfId="1" applyNumberFormat="1" applyFont="1" applyFill="1" applyBorder="1" applyAlignment="1">
      <alignment horizontal="center" vertical="top" wrapText="1"/>
    </xf>
    <xf numFmtId="0" fontId="7" fillId="0" borderId="0" xfId="0" applyFont="1" applyAlignment="1">
      <alignment horizontal="left"/>
    </xf>
    <xf numFmtId="0" fontId="5" fillId="0" borderId="0" xfId="0" applyFont="1" applyAlignment="1">
      <alignment horizontal="center" vertical="center"/>
    </xf>
    <xf numFmtId="0" fontId="5" fillId="0" borderId="0" xfId="0" applyFont="1" applyFill="1" applyAlignment="1">
      <alignment horizontal="center" vertical="center"/>
    </xf>
    <xf numFmtId="0" fontId="41" fillId="5" borderId="14" xfId="1" applyNumberFormat="1" applyFont="1" applyFill="1" applyBorder="1" applyAlignment="1">
      <alignment horizontal="center" vertical="center" wrapText="1"/>
    </xf>
    <xf numFmtId="0" fontId="41" fillId="5" borderId="23" xfId="1" applyNumberFormat="1" applyFont="1" applyFill="1" applyBorder="1" applyAlignment="1">
      <alignment horizontal="center" vertical="center" wrapText="1"/>
    </xf>
    <xf numFmtId="0" fontId="41" fillId="6" borderId="14" xfId="1" applyNumberFormat="1" applyFont="1" applyFill="1" applyBorder="1" applyAlignment="1">
      <alignment horizontal="center" vertical="center" wrapText="1"/>
    </xf>
    <xf numFmtId="0" fontId="41" fillId="6" borderId="15" xfId="1" applyNumberFormat="1" applyFont="1" applyFill="1" applyBorder="1" applyAlignment="1">
      <alignment horizontal="center" vertical="center" wrapText="1"/>
    </xf>
    <xf numFmtId="0" fontId="41" fillId="5" borderId="15" xfId="1" applyNumberFormat="1"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4" xfId="0" applyFont="1" applyFill="1" applyBorder="1" applyAlignment="1">
      <alignment horizontal="center" vertical="center" wrapText="1"/>
    </xf>
    <xf numFmtId="0" fontId="42" fillId="6" borderId="8" xfId="0" applyFont="1" applyFill="1" applyBorder="1" applyAlignment="1">
      <alignment horizontal="center" vertical="center"/>
    </xf>
    <xf numFmtId="0" fontId="38" fillId="6" borderId="14" xfId="0" applyFont="1" applyFill="1" applyBorder="1" applyAlignment="1">
      <alignment horizontal="center" vertical="center"/>
    </xf>
    <xf numFmtId="0" fontId="18" fillId="0" borderId="14" xfId="1" applyNumberFormat="1" applyFont="1" applyFill="1" applyBorder="1" applyAlignment="1">
      <alignment horizontal="center" vertical="center" wrapText="1"/>
    </xf>
    <xf numFmtId="0" fontId="18" fillId="0" borderId="23" xfId="1" applyNumberFormat="1" applyFont="1" applyFill="1" applyBorder="1" applyAlignment="1">
      <alignment horizontal="center" vertical="center" wrapText="1"/>
    </xf>
    <xf numFmtId="0" fontId="18" fillId="0" borderId="8" xfId="1" applyNumberFormat="1" applyFont="1" applyFill="1" applyBorder="1" applyAlignment="1">
      <alignment horizontal="center" vertical="center" wrapText="1"/>
    </xf>
    <xf numFmtId="0" fontId="18" fillId="0" borderId="15" xfId="1" applyNumberFormat="1" applyFont="1" applyFill="1" applyBorder="1" applyAlignment="1">
      <alignment horizontal="center" vertical="center" wrapText="1"/>
    </xf>
    <xf numFmtId="0" fontId="18" fillId="0" borderId="25"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18" fillId="0" borderId="27" xfId="1" applyNumberFormat="1" applyFont="1" applyFill="1" applyBorder="1" applyAlignment="1">
      <alignment horizontal="center" vertical="center" wrapText="1"/>
    </xf>
    <xf numFmtId="0" fontId="18" fillId="0" borderId="28" xfId="1" applyNumberFormat="1" applyFont="1" applyFill="1" applyBorder="1" applyAlignment="1">
      <alignment horizontal="center" vertical="center" wrapText="1"/>
    </xf>
    <xf numFmtId="0" fontId="18" fillId="0" borderId="31" xfId="1" applyNumberFormat="1" applyFont="1" applyFill="1" applyBorder="1" applyAlignment="1">
      <alignment horizontal="center" vertical="center" wrapText="1"/>
    </xf>
    <xf numFmtId="0" fontId="42" fillId="6" borderId="23" xfId="0" applyFont="1" applyFill="1" applyBorder="1" applyAlignment="1">
      <alignment horizontal="center" vertical="center" wrapText="1"/>
    </xf>
    <xf numFmtId="0" fontId="38" fillId="6" borderId="14" xfId="0" applyFont="1" applyFill="1" applyBorder="1" applyAlignment="1">
      <alignment horizontal="center" vertical="center" wrapText="1"/>
    </xf>
    <xf numFmtId="0" fontId="18" fillId="0" borderId="38" xfId="1" applyNumberFormat="1" applyFont="1" applyFill="1" applyBorder="1" applyAlignment="1">
      <alignment horizontal="center" vertical="center" wrapText="1"/>
    </xf>
    <xf numFmtId="0" fontId="18" fillId="0" borderId="34" xfId="1" applyNumberFormat="1" applyFont="1" applyFill="1" applyBorder="1" applyAlignment="1">
      <alignment horizontal="center" vertical="center" wrapText="1"/>
    </xf>
    <xf numFmtId="0" fontId="18" fillId="0" borderId="43" xfId="1" applyNumberFormat="1" applyFont="1" applyFill="1" applyBorder="1" applyAlignment="1">
      <alignment horizontal="center" vertical="center" wrapText="1"/>
    </xf>
    <xf numFmtId="0" fontId="48" fillId="5" borderId="14" xfId="1" applyNumberFormat="1" applyFont="1" applyFill="1" applyBorder="1" applyAlignment="1">
      <alignment horizontal="center" vertical="center" wrapText="1"/>
    </xf>
    <xf numFmtId="0" fontId="48" fillId="5" borderId="15" xfId="1" applyNumberFormat="1" applyFont="1" applyFill="1" applyBorder="1" applyAlignment="1">
      <alignment horizontal="center" vertical="center" wrapText="1"/>
    </xf>
    <xf numFmtId="0" fontId="48" fillId="6" borderId="14" xfId="1" applyNumberFormat="1" applyFont="1" applyFill="1" applyBorder="1" applyAlignment="1">
      <alignment horizontal="center" vertical="center" wrapText="1"/>
    </xf>
    <xf numFmtId="0" fontId="48" fillId="6" borderId="15" xfId="1" applyNumberFormat="1" applyFont="1" applyFill="1" applyBorder="1" applyAlignment="1">
      <alignment horizontal="center" vertical="center" wrapText="1"/>
    </xf>
    <xf numFmtId="169" fontId="42" fillId="6" borderId="8" xfId="1" applyNumberFormat="1" applyFont="1" applyFill="1" applyBorder="1" applyAlignment="1">
      <alignment horizontal="center" vertical="center" wrapText="1"/>
    </xf>
    <xf numFmtId="43" fontId="42" fillId="8" borderId="8" xfId="1" applyFont="1" applyFill="1" applyBorder="1" applyAlignment="1">
      <alignment horizontal="center" vertical="center" wrapText="1"/>
    </xf>
    <xf numFmtId="43" fontId="43" fillId="8" borderId="8" xfId="1" applyFont="1" applyFill="1" applyBorder="1" applyAlignment="1">
      <alignment horizontal="center" vertical="center" wrapText="1"/>
    </xf>
    <xf numFmtId="43" fontId="42" fillId="8" borderId="8" xfId="1" applyFont="1" applyFill="1" applyBorder="1" applyAlignment="1">
      <alignment horizontal="center" vertical="center"/>
    </xf>
    <xf numFmtId="43" fontId="38" fillId="8" borderId="8" xfId="1" applyFont="1" applyFill="1" applyBorder="1" applyAlignment="1">
      <alignment horizontal="center" vertical="center"/>
    </xf>
    <xf numFmtId="0" fontId="42" fillId="0" borderId="8" xfId="1" applyNumberFormat="1" applyFont="1" applyFill="1" applyBorder="1" applyAlignment="1">
      <alignment horizontal="center" vertical="center" wrapText="1"/>
    </xf>
    <xf numFmtId="0" fontId="42" fillId="0" borderId="14" xfId="1" applyNumberFormat="1" applyFont="1" applyFill="1" applyBorder="1" applyAlignment="1">
      <alignment horizontal="center" vertical="center" wrapText="1"/>
    </xf>
    <xf numFmtId="0" fontId="42" fillId="0" borderId="23" xfId="1" applyNumberFormat="1" applyFont="1" applyFill="1" applyBorder="1" applyAlignment="1">
      <alignment horizontal="center" vertical="center" wrapText="1"/>
    </xf>
    <xf numFmtId="43" fontId="42" fillId="8" borderId="14" xfId="1" applyFont="1" applyFill="1" applyBorder="1" applyAlignment="1">
      <alignment horizontal="center" vertical="center" wrapText="1"/>
    </xf>
    <xf numFmtId="43" fontId="42" fillId="8" borderId="15" xfId="1" applyFont="1" applyFill="1" applyBorder="1" applyAlignment="1">
      <alignment horizontal="center" vertical="center" wrapText="1"/>
    </xf>
    <xf numFmtId="43" fontId="38" fillId="8" borderId="8" xfId="1"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0" borderId="15" xfId="1" applyNumberFormat="1" applyFont="1" applyFill="1" applyBorder="1" applyAlignment="1">
      <alignment horizontal="center" vertical="center" wrapText="1"/>
    </xf>
    <xf numFmtId="0" fontId="42" fillId="0" borderId="8" xfId="1" applyNumberFormat="1" applyFont="1" applyFill="1" applyBorder="1" applyAlignment="1">
      <alignment horizontal="center" vertical="top" wrapText="1"/>
    </xf>
    <xf numFmtId="0" fontId="42" fillId="0" borderId="14" xfId="1" applyNumberFormat="1" applyFont="1" applyFill="1" applyBorder="1" applyAlignment="1">
      <alignment horizontal="center" vertical="center"/>
    </xf>
    <xf numFmtId="0" fontId="42" fillId="0" borderId="15" xfId="1" applyNumberFormat="1" applyFont="1" applyFill="1" applyBorder="1" applyAlignment="1">
      <alignment horizontal="center" vertical="center"/>
    </xf>
    <xf numFmtId="0" fontId="42" fillId="0" borderId="8" xfId="1" applyNumberFormat="1" applyFont="1" applyFill="1" applyBorder="1" applyAlignment="1">
      <alignment horizontal="justify" vertical="center" wrapText="1"/>
    </xf>
    <xf numFmtId="0" fontId="18" fillId="5" borderId="14" xfId="1" applyNumberFormat="1" applyFont="1" applyFill="1" applyBorder="1" applyAlignment="1">
      <alignment horizontal="center" vertical="center" wrapText="1"/>
    </xf>
    <xf numFmtId="0" fontId="18" fillId="5" borderId="15" xfId="1" applyNumberFormat="1" applyFont="1" applyFill="1" applyBorder="1" applyAlignment="1">
      <alignment horizontal="center" vertical="center" wrapText="1"/>
    </xf>
    <xf numFmtId="0" fontId="5" fillId="0" borderId="0" xfId="0" applyFont="1" applyAlignment="1">
      <alignment horizontal="center"/>
    </xf>
    <xf numFmtId="0" fontId="5" fillId="0" borderId="0" xfId="0" applyFont="1" applyFill="1" applyAlignment="1">
      <alignment horizontal="center"/>
    </xf>
    <xf numFmtId="0" fontId="6" fillId="0" borderId="0" xfId="0" applyFont="1" applyAlignment="1">
      <alignment horizontal="center"/>
    </xf>
    <xf numFmtId="0" fontId="18" fillId="6" borderId="14" xfId="1" applyNumberFormat="1" applyFont="1" applyFill="1" applyBorder="1" applyAlignment="1">
      <alignment horizontal="center" vertical="center" wrapText="1"/>
    </xf>
    <xf numFmtId="0" fontId="18" fillId="6" borderId="15" xfId="1" applyNumberFormat="1" applyFont="1" applyFill="1" applyBorder="1" applyAlignment="1">
      <alignment horizontal="center" vertical="center" wrapText="1"/>
    </xf>
    <xf numFmtId="0" fontId="42" fillId="8" borderId="8" xfId="0" applyFont="1" applyFill="1" applyBorder="1" applyAlignment="1">
      <alignment horizontal="center" vertical="center" wrapText="1"/>
    </xf>
    <xf numFmtId="0" fontId="43" fillId="8" borderId="8" xfId="0" applyFont="1" applyFill="1" applyBorder="1" applyAlignment="1">
      <alignment horizontal="center" vertical="center" wrapText="1"/>
    </xf>
    <xf numFmtId="0" fontId="42" fillId="8" borderId="8" xfId="0" applyFont="1" applyFill="1" applyBorder="1" applyAlignment="1">
      <alignment horizontal="center" vertical="center"/>
    </xf>
    <xf numFmtId="0" fontId="38" fillId="8" borderId="8" xfId="0" applyFont="1" applyFill="1" applyBorder="1" applyAlignment="1">
      <alignment horizontal="center" vertical="center"/>
    </xf>
    <xf numFmtId="0" fontId="18" fillId="4" borderId="8" xfId="1" applyNumberFormat="1" applyFont="1" applyFill="1" applyBorder="1" applyAlignment="1">
      <alignment horizontal="center" vertical="top" wrapText="1"/>
    </xf>
    <xf numFmtId="0" fontId="18" fillId="4" borderId="8" xfId="1" applyNumberFormat="1" applyFont="1" applyFill="1" applyBorder="1" applyAlignment="1">
      <alignment horizontal="left" vertical="top" wrapText="1"/>
    </xf>
    <xf numFmtId="0" fontId="42" fillId="8" borderId="14" xfId="0" applyFont="1" applyFill="1" applyBorder="1" applyAlignment="1">
      <alignment horizontal="center" vertical="center" wrapText="1"/>
    </xf>
    <xf numFmtId="0" fontId="42" fillId="8" borderId="15" xfId="0" applyFont="1" applyFill="1" applyBorder="1" applyAlignment="1">
      <alignment horizontal="center" vertical="center" wrapText="1"/>
    </xf>
    <xf numFmtId="0" fontId="38" fillId="8" borderId="8" xfId="0" applyFont="1" applyFill="1" applyBorder="1" applyAlignment="1">
      <alignment horizontal="center" vertical="center" wrapText="1"/>
    </xf>
    <xf numFmtId="0" fontId="18" fillId="4" borderId="14" xfId="1" applyNumberFormat="1" applyFont="1" applyFill="1" applyBorder="1" applyAlignment="1">
      <alignment horizontal="center" vertical="top" wrapText="1"/>
    </xf>
    <xf numFmtId="0" fontId="18" fillId="4" borderId="23" xfId="1" applyNumberFormat="1" applyFont="1" applyFill="1" applyBorder="1" applyAlignment="1">
      <alignment horizontal="center" vertical="top" wrapText="1"/>
    </xf>
    <xf numFmtId="0" fontId="18" fillId="4" borderId="15" xfId="1" applyNumberFormat="1" applyFont="1" applyFill="1" applyBorder="1" applyAlignment="1">
      <alignment horizontal="center" vertical="top" wrapText="1"/>
    </xf>
    <xf numFmtId="0" fontId="18" fillId="4" borderId="14" xfId="1" applyNumberFormat="1" applyFont="1" applyFill="1" applyBorder="1" applyAlignment="1">
      <alignment horizontal="center" vertical="top"/>
    </xf>
    <xf numFmtId="0" fontId="18" fillId="4" borderId="23" xfId="1" applyNumberFormat="1" applyFont="1" applyFill="1" applyBorder="1" applyAlignment="1">
      <alignment horizontal="center" vertical="top"/>
    </xf>
    <xf numFmtId="0" fontId="18" fillId="4" borderId="15" xfId="1" applyNumberFormat="1" applyFont="1" applyFill="1" applyBorder="1" applyAlignment="1">
      <alignment horizontal="center" vertical="top"/>
    </xf>
    <xf numFmtId="0" fontId="18" fillId="9" borderId="8" xfId="1" applyNumberFormat="1" applyFont="1" applyFill="1" applyBorder="1" applyAlignment="1">
      <alignment horizontal="center" vertical="top" wrapText="1"/>
    </xf>
    <xf numFmtId="0" fontId="7" fillId="0" borderId="0" xfId="0" applyFont="1" applyAlignment="1">
      <alignment horizontal="center" vertical="center"/>
    </xf>
    <xf numFmtId="0" fontId="16" fillId="0" borderId="0" xfId="0" applyFont="1" applyAlignment="1">
      <alignment horizontal="left"/>
    </xf>
    <xf numFmtId="0" fontId="4" fillId="0" borderId="8" xfId="1" applyNumberFormat="1" applyFont="1" applyFill="1" applyBorder="1" applyAlignment="1">
      <alignment horizontal="center" vertical="top" wrapText="1"/>
    </xf>
    <xf numFmtId="0" fontId="41" fillId="0" borderId="8" xfId="1" applyNumberFormat="1" applyFont="1" applyFill="1" applyBorder="1" applyAlignment="1">
      <alignment horizontal="center" vertical="center" wrapText="1"/>
    </xf>
    <xf numFmtId="0" fontId="45" fillId="8" borderId="8" xfId="0" applyFont="1" applyFill="1" applyBorder="1" applyAlignment="1">
      <alignment horizontal="center" vertical="center" wrapText="1"/>
    </xf>
    <xf numFmtId="0" fontId="48" fillId="6" borderId="14" xfId="0" applyFont="1" applyFill="1" applyBorder="1" applyAlignment="1">
      <alignment horizontal="center" vertical="center" wrapText="1"/>
    </xf>
    <xf numFmtId="0" fontId="48" fillId="6" borderId="15" xfId="0" applyFont="1" applyFill="1" applyBorder="1" applyAlignment="1">
      <alignment horizontal="center" vertical="center" wrapText="1"/>
    </xf>
    <xf numFmtId="0" fontId="18" fillId="0" borderId="8" xfId="1" applyNumberFormat="1" applyFont="1" applyFill="1" applyBorder="1" applyAlignment="1">
      <alignment horizontal="center" vertical="top" wrapText="1"/>
    </xf>
    <xf numFmtId="0" fontId="5" fillId="0" borderId="0" xfId="0" applyFont="1" applyAlignment="1">
      <alignment horizontal="center" wrapText="1"/>
    </xf>
    <xf numFmtId="0" fontId="76" fillId="0" borderId="0" xfId="0" applyFont="1" applyAlignment="1">
      <alignment horizontal="left"/>
    </xf>
    <xf numFmtId="0" fontId="41" fillId="6" borderId="50" xfId="1" applyNumberFormat="1" applyFont="1" applyFill="1" applyBorder="1" applyAlignment="1">
      <alignment horizontal="center" vertical="center" wrapText="1"/>
    </xf>
    <xf numFmtId="0" fontId="41" fillId="6" borderId="46" xfId="1" applyNumberFormat="1" applyFont="1" applyFill="1" applyBorder="1" applyAlignment="1">
      <alignment horizontal="center" vertical="center" wrapText="1"/>
    </xf>
    <xf numFmtId="0" fontId="41" fillId="6" borderId="51" xfId="1" applyNumberFormat="1" applyFont="1" applyFill="1" applyBorder="1" applyAlignment="1">
      <alignment horizontal="center" vertical="center" wrapText="1"/>
    </xf>
    <xf numFmtId="0" fontId="41" fillId="5" borderId="51"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top" wrapText="1"/>
    </xf>
    <xf numFmtId="0" fontId="18" fillId="0" borderId="23" xfId="1" applyNumberFormat="1" applyFont="1" applyFill="1" applyBorder="1" applyAlignment="1">
      <alignment horizontal="center" vertical="top" wrapText="1"/>
    </xf>
    <xf numFmtId="0" fontId="18" fillId="0" borderId="15" xfId="1" applyNumberFormat="1" applyFont="1" applyFill="1" applyBorder="1" applyAlignment="1">
      <alignment horizontal="center" vertical="top" wrapText="1"/>
    </xf>
    <xf numFmtId="0" fontId="18" fillId="0" borderId="41" xfId="1" applyNumberFormat="1" applyFont="1" applyFill="1" applyBorder="1" applyAlignment="1">
      <alignment horizontal="center" vertical="top" wrapText="1"/>
    </xf>
    <xf numFmtId="0" fontId="18" fillId="0" borderId="57" xfId="1" applyNumberFormat="1" applyFont="1" applyFill="1" applyBorder="1" applyAlignment="1">
      <alignment horizontal="center" vertical="top" wrapText="1"/>
    </xf>
    <xf numFmtId="0" fontId="18" fillId="0" borderId="46" xfId="1" applyNumberFormat="1" applyFont="1" applyFill="1" applyBorder="1" applyAlignment="1">
      <alignment horizontal="center" vertical="top" wrapText="1"/>
    </xf>
    <xf numFmtId="0" fontId="42" fillId="8" borderId="51" xfId="0" applyFont="1" applyFill="1" applyBorder="1" applyAlignment="1">
      <alignment horizontal="center" vertical="center" wrapText="1"/>
    </xf>
    <xf numFmtId="0" fontId="42" fillId="6" borderId="51" xfId="0" applyFont="1" applyFill="1" applyBorder="1" applyAlignment="1">
      <alignment horizontal="center" vertical="center" wrapText="1"/>
    </xf>
    <xf numFmtId="0" fontId="42" fillId="6" borderId="53" xfId="0" applyFont="1" applyFill="1" applyBorder="1" applyAlignment="1">
      <alignment horizontal="center" vertical="center" wrapText="1"/>
    </xf>
    <xf numFmtId="0" fontId="42" fillId="6" borderId="54" xfId="0" applyFont="1" applyFill="1" applyBorder="1" applyAlignment="1">
      <alignment horizontal="center" vertical="center" wrapText="1"/>
    </xf>
    <xf numFmtId="0" fontId="42" fillId="8" borderId="53" xfId="0" applyFont="1" applyFill="1" applyBorder="1" applyAlignment="1">
      <alignment horizontal="center" vertical="center" wrapText="1"/>
    </xf>
    <xf numFmtId="0" fontId="42" fillId="8" borderId="55" xfId="0" applyFont="1" applyFill="1" applyBorder="1" applyAlignment="1">
      <alignment horizontal="center" vertical="center" wrapText="1"/>
    </xf>
    <xf numFmtId="0" fontId="42" fillId="8" borderId="54" xfId="0" applyFont="1" applyFill="1" applyBorder="1" applyAlignment="1">
      <alignment horizontal="center" vertical="center" wrapText="1"/>
    </xf>
    <xf numFmtId="0" fontId="41" fillId="5" borderId="50" xfId="1" applyNumberFormat="1" applyFont="1" applyFill="1" applyBorder="1" applyAlignment="1">
      <alignment horizontal="center" vertical="center" wrapText="1"/>
    </xf>
    <xf numFmtId="0" fontId="41" fillId="5" borderId="46" xfId="1" applyNumberFormat="1" applyFont="1" applyFill="1" applyBorder="1" applyAlignment="1">
      <alignment horizontal="center" vertical="center" wrapText="1"/>
    </xf>
    <xf numFmtId="0" fontId="42" fillId="8" borderId="52" xfId="0" applyFont="1" applyFill="1" applyBorder="1" applyAlignment="1">
      <alignment horizontal="center" vertical="center"/>
    </xf>
    <xf numFmtId="0" fontId="42" fillId="8" borderId="33" xfId="0" applyFont="1" applyFill="1" applyBorder="1" applyAlignment="1">
      <alignment horizontal="center" vertical="center"/>
    </xf>
    <xf numFmtId="0" fontId="18" fillId="0" borderId="14" xfId="1" applyNumberFormat="1" applyFont="1" applyFill="1" applyBorder="1" applyAlignment="1">
      <alignment horizontal="center" vertical="top"/>
    </xf>
    <xf numFmtId="0" fontId="18" fillId="0" borderId="23" xfId="1" applyNumberFormat="1" applyFont="1" applyFill="1" applyBorder="1" applyAlignment="1">
      <alignment horizontal="center" vertical="top"/>
    </xf>
    <xf numFmtId="0" fontId="18" fillId="0" borderId="15" xfId="1" applyNumberFormat="1" applyFont="1" applyFill="1" applyBorder="1" applyAlignment="1">
      <alignment horizontal="center" vertical="top"/>
    </xf>
    <xf numFmtId="0" fontId="43" fillId="8" borderId="53" xfId="0" applyFont="1" applyFill="1" applyBorder="1" applyAlignment="1">
      <alignment horizontal="center" vertical="center" wrapText="1"/>
    </xf>
    <xf numFmtId="0" fontId="43" fillId="8" borderId="55" xfId="0" applyFont="1" applyFill="1" applyBorder="1" applyAlignment="1">
      <alignment horizontal="center" vertical="center" wrapText="1"/>
    </xf>
    <xf numFmtId="0" fontId="43" fillId="8" borderId="54" xfId="0" applyFont="1" applyFill="1" applyBorder="1" applyAlignment="1">
      <alignment horizontal="center" vertical="center" wrapText="1"/>
    </xf>
    <xf numFmtId="0" fontId="43" fillId="8" borderId="51"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1" fillId="5" borderId="52" xfId="1" applyNumberFormat="1" applyFont="1" applyFill="1" applyBorder="1" applyAlignment="1">
      <alignment horizontal="center" vertical="center" wrapText="1"/>
    </xf>
    <xf numFmtId="0" fontId="41" fillId="5" borderId="33" xfId="1" applyNumberFormat="1" applyFont="1" applyFill="1" applyBorder="1" applyAlignment="1">
      <alignment horizontal="center" vertical="center" wrapText="1"/>
    </xf>
    <xf numFmtId="0" fontId="18" fillId="0" borderId="40" xfId="1" applyNumberFormat="1" applyFont="1" applyFill="1" applyBorder="1" applyAlignment="1">
      <alignment horizontal="center" vertical="top" wrapText="1"/>
    </xf>
    <xf numFmtId="0" fontId="18" fillId="0" borderId="40" xfId="1" applyNumberFormat="1" applyFont="1" applyFill="1" applyBorder="1" applyAlignment="1">
      <alignment horizontal="center" vertical="center" wrapText="1"/>
    </xf>
    <xf numFmtId="0" fontId="18" fillId="0" borderId="41" xfId="1" applyNumberFormat="1" applyFont="1" applyFill="1" applyBorder="1" applyAlignment="1">
      <alignment horizontal="center" vertical="center" wrapText="1"/>
    </xf>
    <xf numFmtId="0" fontId="18" fillId="0" borderId="57" xfId="1" applyNumberFormat="1" applyFont="1" applyFill="1" applyBorder="1" applyAlignment="1">
      <alignment horizontal="center" vertical="center" wrapText="1"/>
    </xf>
    <xf numFmtId="0" fontId="18" fillId="0" borderId="46" xfId="1" applyNumberFormat="1" applyFont="1" applyFill="1" applyBorder="1" applyAlignment="1">
      <alignment horizontal="center" vertical="center" wrapText="1"/>
    </xf>
    <xf numFmtId="0" fontId="18" fillId="0" borderId="58" xfId="1" applyNumberFormat="1" applyFont="1" applyFill="1" applyBorder="1" applyAlignment="1">
      <alignment horizontal="center" vertical="center" wrapText="1"/>
    </xf>
    <xf numFmtId="0" fontId="18" fillId="0" borderId="60"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top" wrapText="1"/>
    </xf>
    <xf numFmtId="0" fontId="9" fillId="0" borderId="23" xfId="1" applyNumberFormat="1" applyFont="1" applyFill="1" applyBorder="1" applyAlignment="1">
      <alignment horizontal="center" vertical="top" wrapText="1"/>
    </xf>
    <xf numFmtId="0" fontId="9" fillId="0" borderId="15" xfId="1" applyNumberFormat="1" applyFont="1" applyFill="1" applyBorder="1" applyAlignment="1">
      <alignment horizontal="center" vertical="top" wrapText="1"/>
    </xf>
    <xf numFmtId="0" fontId="42" fillId="0" borderId="14" xfId="1" applyNumberFormat="1" applyFont="1" applyFill="1" applyBorder="1" applyAlignment="1">
      <alignment horizontal="center" vertical="top" wrapText="1"/>
    </xf>
    <xf numFmtId="0" fontId="42" fillId="0" borderId="23" xfId="1" applyNumberFormat="1" applyFont="1" applyFill="1" applyBorder="1" applyAlignment="1">
      <alignment horizontal="center" vertical="top" wrapText="1"/>
    </xf>
    <xf numFmtId="0" fontId="42" fillId="0" borderId="15" xfId="1" applyNumberFormat="1" applyFont="1" applyFill="1" applyBorder="1" applyAlignment="1">
      <alignment horizontal="center" vertical="top" wrapText="1"/>
    </xf>
    <xf numFmtId="0" fontId="9" fillId="0" borderId="8" xfId="1" applyNumberFormat="1" applyFont="1" applyFill="1" applyBorder="1" applyAlignment="1">
      <alignment horizontal="center" vertical="top" wrapText="1"/>
    </xf>
    <xf numFmtId="0" fontId="73"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43" fillId="8" borderId="14" xfId="0" applyFont="1" applyFill="1" applyBorder="1" applyAlignment="1">
      <alignment horizontal="center" vertical="center" wrapText="1"/>
    </xf>
    <xf numFmtId="0" fontId="18" fillId="4" borderId="8" xfId="1" applyNumberFormat="1" applyFont="1" applyFill="1" applyBorder="1" applyAlignment="1">
      <alignment horizontal="center" vertical="top"/>
    </xf>
    <xf numFmtId="0" fontId="43" fillId="8" borderId="27" xfId="0" applyFont="1" applyFill="1" applyBorder="1" applyAlignment="1">
      <alignment horizontal="center" vertical="center" wrapText="1"/>
    </xf>
    <xf numFmtId="0" fontId="43" fillId="8" borderId="49" xfId="0" applyFont="1" applyFill="1" applyBorder="1" applyAlignment="1">
      <alignment horizontal="center" vertical="center" wrapText="1"/>
    </xf>
    <xf numFmtId="0" fontId="43" fillId="8" borderId="19" xfId="0" applyFont="1" applyFill="1" applyBorder="1" applyAlignment="1">
      <alignment horizontal="center" vertical="center" wrapText="1"/>
    </xf>
    <xf numFmtId="0" fontId="42" fillId="6" borderId="27"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2" fillId="8" borderId="49" xfId="0" applyFont="1" applyFill="1" applyBorder="1" applyAlignment="1">
      <alignment horizontal="center" vertical="center" wrapText="1"/>
    </xf>
    <xf numFmtId="0" fontId="42" fillId="8" borderId="19" xfId="0" applyFont="1" applyFill="1" applyBorder="1" applyAlignment="1">
      <alignment horizontal="center" vertical="center" wrapText="1"/>
    </xf>
  </cellXfs>
  <cellStyles count="12">
    <cellStyle name="Énfasis5" xfId="9" builtinId="45"/>
    <cellStyle name="Millares" xfId="1" builtinId="3"/>
    <cellStyle name="Millares [0]" xfId="11" builtinId="6"/>
    <cellStyle name="Millares 3" xfId="4"/>
    <cellStyle name="Millares 4" xfId="5"/>
    <cellStyle name="Moneda" xfId="6" builtinId="4"/>
    <cellStyle name="Moneda [0]" xfId="3" builtinId="7"/>
    <cellStyle name="Moneda [0] 2" xfId="10"/>
    <cellStyle name="Normal" xfId="0" builtinId="0"/>
    <cellStyle name="Normal 2" xfId="7"/>
    <cellStyle name="Normal 3 2" xfId="8"/>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190500</xdr:colOff>
      <xdr:row>20</xdr:row>
      <xdr:rowOff>247650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 name="AutoShape 2"/>
        <xdr:cNvSpPr>
          <a:spLocks noChangeArrowheads="1"/>
        </xdr:cNvSpPr>
      </xdr:nvSpPr>
      <xdr:spPr bwMode="auto">
        <a:xfrm>
          <a:off x="0" y="2781300"/>
          <a:ext cx="9934575" cy="9658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3" name="AutoShape 2"/>
        <xdr:cNvSpPr>
          <a:spLocks noChangeArrowheads="1"/>
        </xdr:cNvSpPr>
      </xdr:nvSpPr>
      <xdr:spPr bwMode="auto">
        <a:xfrm>
          <a:off x="0" y="2781300"/>
          <a:ext cx="9934575" cy="9658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4" name="AutoShape 2"/>
        <xdr:cNvSpPr>
          <a:spLocks noChangeArrowheads="1"/>
        </xdr:cNvSpPr>
      </xdr:nvSpPr>
      <xdr:spPr bwMode="auto">
        <a:xfrm>
          <a:off x="0" y="2781300"/>
          <a:ext cx="9934575" cy="9658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5" name="AutoShape 2"/>
        <xdr:cNvSpPr>
          <a:spLocks noChangeArrowheads="1"/>
        </xdr:cNvSpPr>
      </xdr:nvSpPr>
      <xdr:spPr bwMode="auto">
        <a:xfrm>
          <a:off x="0" y="2781300"/>
          <a:ext cx="9934575" cy="12115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6" name="AutoShape 2"/>
        <xdr:cNvSpPr>
          <a:spLocks noChangeArrowheads="1"/>
        </xdr:cNvSpPr>
      </xdr:nvSpPr>
      <xdr:spPr bwMode="auto">
        <a:xfrm>
          <a:off x="0" y="2781300"/>
          <a:ext cx="9934575" cy="1211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7" name="AutoShape 2"/>
        <xdr:cNvSpPr>
          <a:spLocks noChangeArrowheads="1"/>
        </xdr:cNvSpPr>
      </xdr:nvSpPr>
      <xdr:spPr bwMode="auto">
        <a:xfrm>
          <a:off x="0" y="2781300"/>
          <a:ext cx="9934575" cy="1211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8"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9" name="AutoShape 2"/>
        <xdr:cNvSpPr>
          <a:spLocks noChangeArrowheads="1"/>
        </xdr:cNvSpPr>
      </xdr:nvSpPr>
      <xdr:spPr bwMode="auto">
        <a:xfrm>
          <a:off x="0" y="2781300"/>
          <a:ext cx="9934575" cy="10810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0"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1"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2"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3"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4"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5" name="AutoShape 2"/>
        <xdr:cNvSpPr>
          <a:spLocks noChangeArrowheads="1"/>
        </xdr:cNvSpPr>
      </xdr:nvSpPr>
      <xdr:spPr bwMode="auto">
        <a:xfrm>
          <a:off x="0" y="2781300"/>
          <a:ext cx="9934575" cy="1081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6" name="AutoShape 2"/>
        <xdr:cNvSpPr>
          <a:spLocks noChangeArrowheads="1"/>
        </xdr:cNvSpPr>
      </xdr:nvSpPr>
      <xdr:spPr bwMode="auto">
        <a:xfrm>
          <a:off x="0" y="27813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7" name="AutoShape 2"/>
        <xdr:cNvSpPr>
          <a:spLocks noChangeArrowheads="1"/>
        </xdr:cNvSpPr>
      </xdr:nvSpPr>
      <xdr:spPr bwMode="auto">
        <a:xfrm>
          <a:off x="0" y="27813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8" name="AutoShape 2"/>
        <xdr:cNvSpPr>
          <a:spLocks noChangeArrowheads="1"/>
        </xdr:cNvSpPr>
      </xdr:nvSpPr>
      <xdr:spPr bwMode="auto">
        <a:xfrm>
          <a:off x="0" y="27813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19" name="AutoShape 2"/>
        <xdr:cNvSpPr>
          <a:spLocks noChangeArrowheads="1"/>
        </xdr:cNvSpPr>
      </xdr:nvSpPr>
      <xdr:spPr bwMode="auto">
        <a:xfrm>
          <a:off x="0" y="27813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0" name="AutoShape 2"/>
        <xdr:cNvSpPr>
          <a:spLocks noChangeArrowheads="1"/>
        </xdr:cNvSpPr>
      </xdr:nvSpPr>
      <xdr:spPr bwMode="auto">
        <a:xfrm>
          <a:off x="0" y="27813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1" name="AutoShape 2"/>
        <xdr:cNvSpPr>
          <a:spLocks noChangeArrowheads="1"/>
        </xdr:cNvSpPr>
      </xdr:nvSpPr>
      <xdr:spPr bwMode="auto">
        <a:xfrm>
          <a:off x="0" y="2667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2" name="AutoShape 2"/>
        <xdr:cNvSpPr>
          <a:spLocks noChangeArrowheads="1"/>
        </xdr:cNvSpPr>
      </xdr:nvSpPr>
      <xdr:spPr bwMode="auto">
        <a:xfrm>
          <a:off x="0" y="2667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3" name="AutoShape 2"/>
        <xdr:cNvSpPr>
          <a:spLocks noChangeArrowheads="1"/>
        </xdr:cNvSpPr>
      </xdr:nvSpPr>
      <xdr:spPr bwMode="auto">
        <a:xfrm>
          <a:off x="0" y="2667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4" name="AutoShape 2"/>
        <xdr:cNvSpPr>
          <a:spLocks noChangeArrowheads="1"/>
        </xdr:cNvSpPr>
      </xdr:nvSpPr>
      <xdr:spPr bwMode="auto">
        <a:xfrm>
          <a:off x="0" y="2667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5" name="AutoShape 2"/>
        <xdr:cNvSpPr>
          <a:spLocks noChangeArrowheads="1"/>
        </xdr:cNvSpPr>
      </xdr:nvSpPr>
      <xdr:spPr bwMode="auto">
        <a:xfrm>
          <a:off x="0" y="2667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6" name="AutoShape 2"/>
        <xdr:cNvSpPr>
          <a:spLocks noChangeArrowheads="1"/>
        </xdr:cNvSpPr>
      </xdr:nvSpPr>
      <xdr:spPr bwMode="auto">
        <a:xfrm>
          <a:off x="0" y="26670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7" name="AutoShape 2"/>
        <xdr:cNvSpPr>
          <a:spLocks noChangeArrowheads="1"/>
        </xdr:cNvSpPr>
      </xdr:nvSpPr>
      <xdr:spPr bwMode="auto">
        <a:xfrm>
          <a:off x="0" y="196215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8" name="AutoShape 2"/>
        <xdr:cNvSpPr>
          <a:spLocks noChangeArrowheads="1"/>
        </xdr:cNvSpPr>
      </xdr:nvSpPr>
      <xdr:spPr bwMode="auto">
        <a:xfrm>
          <a:off x="0" y="196215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0</xdr:rowOff>
    </xdr:from>
    <xdr:to>
      <xdr:col>7</xdr:col>
      <xdr:colOff>190500</xdr:colOff>
      <xdr:row>20</xdr:row>
      <xdr:rowOff>247650</xdr:rowOff>
    </xdr:to>
    <xdr:sp macro="" textlink="">
      <xdr:nvSpPr>
        <xdr:cNvPr id="29" name="AutoShape 2"/>
        <xdr:cNvSpPr>
          <a:spLocks noChangeArrowheads="1"/>
        </xdr:cNvSpPr>
      </xdr:nvSpPr>
      <xdr:spPr bwMode="auto">
        <a:xfrm>
          <a:off x="0" y="1962150"/>
          <a:ext cx="10420350" cy="11258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xdr:row>
      <xdr:rowOff>38100</xdr:rowOff>
    </xdr:from>
    <xdr:to>
      <xdr:col>6</xdr:col>
      <xdr:colOff>635000</xdr:colOff>
      <xdr:row>20</xdr:row>
      <xdr:rowOff>317500</xdr:rowOff>
    </xdr:to>
    <xdr:sp macro="" textlink="">
      <xdr:nvSpPr>
        <xdr:cNvPr id="30" name="AutoShape 2"/>
        <xdr:cNvSpPr>
          <a:spLocks noChangeArrowheads="1"/>
        </xdr:cNvSpPr>
      </xdr:nvSpPr>
      <xdr:spPr bwMode="auto">
        <a:xfrm>
          <a:off x="0" y="1955800"/>
          <a:ext cx="10414000" cy="112522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13</xdr:row>
      <xdr:rowOff>38100</xdr:rowOff>
    </xdr:from>
    <xdr:to>
      <xdr:col>6</xdr:col>
      <xdr:colOff>635000</xdr:colOff>
      <xdr:row>20</xdr:row>
      <xdr:rowOff>317500</xdr:rowOff>
    </xdr:to>
    <xdr:sp macro="" textlink="">
      <xdr:nvSpPr>
        <xdr:cNvPr id="31" name="AutoShape 2"/>
        <xdr:cNvSpPr>
          <a:spLocks noChangeArrowheads="1"/>
        </xdr:cNvSpPr>
      </xdr:nvSpPr>
      <xdr:spPr bwMode="auto">
        <a:xfrm>
          <a:off x="0" y="1955800"/>
          <a:ext cx="10414000" cy="112522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11</xdr:row>
      <xdr:rowOff>247650</xdr:rowOff>
    </xdr:from>
    <xdr:to>
      <xdr:col>7</xdr:col>
      <xdr:colOff>180975</xdr:colOff>
      <xdr:row>20</xdr:row>
      <xdr:rowOff>228600</xdr:rowOff>
    </xdr:to>
    <xdr:sp macro="" textlink="">
      <xdr:nvSpPr>
        <xdr:cNvPr id="1024" name="AutoShape 2"/>
        <xdr:cNvSpPr>
          <a:spLocks noChangeArrowheads="1"/>
        </xdr:cNvSpPr>
      </xdr:nvSpPr>
      <xdr:spPr bwMode="auto">
        <a:xfrm>
          <a:off x="0" y="1952625"/>
          <a:ext cx="10410825" cy="1124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11</xdr:row>
      <xdr:rowOff>247650</xdr:rowOff>
    </xdr:from>
    <xdr:to>
      <xdr:col>7</xdr:col>
      <xdr:colOff>180975</xdr:colOff>
      <xdr:row>20</xdr:row>
      <xdr:rowOff>228600</xdr:rowOff>
    </xdr:to>
    <xdr:sp macro="" textlink="">
      <xdr:nvSpPr>
        <xdr:cNvPr id="1025" name="AutoShape 2"/>
        <xdr:cNvSpPr>
          <a:spLocks noChangeArrowheads="1"/>
        </xdr:cNvSpPr>
      </xdr:nvSpPr>
      <xdr:spPr bwMode="auto">
        <a:xfrm>
          <a:off x="0" y="1952625"/>
          <a:ext cx="10410825" cy="1124902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US/Downloads/Plan%20Indicativo%20y%20Plan%20Accion%202016%20Infraestructura%207%20dic%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OSHIBA%20EXT/EMCASERVICIOS/PLAN%20DESARROLLO/PLAN%20DE%20DESARROLLO%202016-2019/documentos%20enviados%20PPD/PLAN%20DE%20AC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Indicativo Infraestructura"/>
      <sheetName val="Plan Accion Infraestructura 16"/>
      <sheetName val="Plan Accion Infraestructura 17"/>
      <sheetName val="seguimiento  PA SI sem 1 16"/>
    </sheetNames>
    <sheetDataSet>
      <sheetData sheetId="0" refreshError="1">
        <row r="15">
          <cell r="P15">
            <v>1785</v>
          </cell>
        </row>
        <row r="17">
          <cell r="P17">
            <v>1000</v>
          </cell>
        </row>
        <row r="19">
          <cell r="P19">
            <v>0.25</v>
          </cell>
        </row>
        <row r="21">
          <cell r="P21">
            <v>1550</v>
          </cell>
        </row>
        <row r="23">
          <cell r="P23">
            <v>1</v>
          </cell>
        </row>
        <row r="25">
          <cell r="P25">
            <v>1</v>
          </cell>
        </row>
        <row r="27">
          <cell r="O27">
            <v>1831</v>
          </cell>
        </row>
        <row r="31">
          <cell r="P31">
            <v>175</v>
          </cell>
        </row>
        <row r="33">
          <cell r="P33">
            <v>85</v>
          </cell>
        </row>
        <row r="35">
          <cell r="P35">
            <v>0.25</v>
          </cell>
        </row>
        <row r="37">
          <cell r="P37">
            <v>0</v>
          </cell>
        </row>
        <row r="39">
          <cell r="P39">
            <v>4</v>
          </cell>
        </row>
        <row r="41">
          <cell r="P41">
            <v>2</v>
          </cell>
        </row>
        <row r="43">
          <cell r="P43">
            <v>2</v>
          </cell>
        </row>
        <row r="45">
          <cell r="P45">
            <v>0</v>
          </cell>
        </row>
        <row r="48">
          <cell r="P48">
            <v>15</v>
          </cell>
        </row>
        <row r="50">
          <cell r="P50">
            <v>1</v>
          </cell>
        </row>
        <row r="52">
          <cell r="P52">
            <v>0</v>
          </cell>
        </row>
        <row r="54">
          <cell r="P54">
            <v>7</v>
          </cell>
        </row>
        <row r="58">
          <cell r="P58">
            <v>1</v>
          </cell>
        </row>
        <row r="60">
          <cell r="P60">
            <v>1</v>
          </cell>
        </row>
        <row r="62">
          <cell r="P62">
            <v>0.1</v>
          </cell>
        </row>
        <row r="64">
          <cell r="P64">
            <v>10</v>
          </cell>
        </row>
        <row r="66">
          <cell r="P66">
            <v>5</v>
          </cell>
        </row>
        <row r="68">
          <cell r="P68">
            <v>10000</v>
          </cell>
        </row>
        <row r="70">
          <cell r="P70">
            <v>1250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ESTRATEGICA Y FINANC "/>
      <sheetName val="PLAN INDICATIVO"/>
      <sheetName val="PLAN ACCION 2017 V.1."/>
      <sheetName val="aseguramiento"/>
    </sheetNames>
    <sheetDataSet>
      <sheetData sheetId="0" refreshError="1"/>
      <sheetData sheetId="1" refreshError="1">
        <row r="61">
          <cell r="O61" t="str">
            <v>Incremento</v>
          </cell>
          <cell r="S61">
            <v>5</v>
          </cell>
        </row>
        <row r="62">
          <cell r="O62" t="str">
            <v>Incremento</v>
          </cell>
        </row>
        <row r="63">
          <cell r="O63" t="str">
            <v>Incremento</v>
          </cell>
        </row>
        <row r="64">
          <cell r="O64" t="str">
            <v>Incremento</v>
          </cell>
        </row>
        <row r="65">
          <cell r="O65" t="str">
            <v>Incremento</v>
          </cell>
        </row>
        <row r="66">
          <cell r="O66" t="str">
            <v>Incremento</v>
          </cell>
        </row>
        <row r="67">
          <cell r="O67" t="str">
            <v>Incremento</v>
          </cell>
        </row>
        <row r="68">
          <cell r="O68" t="str">
            <v>Incremento</v>
          </cell>
        </row>
        <row r="69">
          <cell r="O69" t="str">
            <v>Mantenimiento</v>
          </cell>
        </row>
        <row r="70">
          <cell r="O70" t="str">
            <v>Incremento</v>
          </cell>
        </row>
        <row r="71">
          <cell r="P71">
            <v>21</v>
          </cell>
        </row>
        <row r="72">
          <cell r="O72" t="str">
            <v>incremento</v>
          </cell>
        </row>
        <row r="73">
          <cell r="O73" t="str">
            <v>Incremento</v>
          </cell>
        </row>
        <row r="74">
          <cell r="O74" t="str">
            <v>Incremento</v>
          </cell>
        </row>
        <row r="75">
          <cell r="O75" t="str">
            <v>Incremento</v>
          </cell>
        </row>
        <row r="76">
          <cell r="O76" t="str">
            <v>Incremento</v>
          </cell>
        </row>
        <row r="77">
          <cell r="O77" t="str">
            <v>Incremento</v>
          </cell>
        </row>
        <row r="78">
          <cell r="O78" t="str">
            <v>Incremento</v>
          </cell>
        </row>
        <row r="79">
          <cell r="O79" t="str">
            <v>Incremento</v>
          </cell>
        </row>
        <row r="80">
          <cell r="O80" t="str">
            <v>Incremento</v>
          </cell>
        </row>
        <row r="81">
          <cell r="O81" t="str">
            <v>Incremento</v>
          </cell>
        </row>
        <row r="82">
          <cell r="O82" t="str">
            <v>Incremento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02"/>
  <sheetViews>
    <sheetView tabSelected="1" zoomScale="68" zoomScaleNormal="68" zoomScalePageLayoutView="82" workbookViewId="0">
      <pane ySplit="15" topLeftCell="A16" activePane="bottomLeft" state="frozen"/>
      <selection activeCell="AA5" sqref="AA5"/>
      <selection pane="bottomLeft" activeCell="K17" sqref="K17"/>
    </sheetView>
  </sheetViews>
  <sheetFormatPr baseColWidth="10" defaultColWidth="15.140625" defaultRowHeight="15" customHeight="1" x14ac:dyDescent="0.25"/>
  <cols>
    <col min="1" max="1" width="14.5703125" customWidth="1"/>
    <col min="2" max="2" width="19.7109375" customWidth="1"/>
    <col min="3" max="3" width="20.140625" customWidth="1"/>
    <col min="4" max="4" width="20.42578125" customWidth="1"/>
    <col min="5" max="5" width="16.7109375" customWidth="1"/>
    <col min="6" max="6" width="17.140625" customWidth="1"/>
    <col min="7" max="7" width="23" customWidth="1"/>
    <col min="8" max="8" width="32.7109375" customWidth="1"/>
    <col min="9" max="9" width="31.7109375" customWidth="1"/>
    <col min="10" max="10" width="16.140625" customWidth="1"/>
    <col min="11" max="11" width="17" customWidth="1"/>
    <col min="12" max="12" width="13.42578125" customWidth="1"/>
    <col min="13" max="13" width="17.5703125" customWidth="1"/>
    <col min="14" max="14" width="24.5703125" customWidth="1"/>
    <col min="15" max="15" width="16.140625" customWidth="1"/>
    <col min="16" max="16" width="17.140625" customWidth="1"/>
    <col min="17" max="17" width="12.140625" customWidth="1"/>
    <col min="18" max="18" width="10.7109375" customWidth="1"/>
    <col min="19" max="19" width="10" customWidth="1"/>
    <col min="20" max="20" width="15" customWidth="1"/>
    <col min="21" max="21" width="11.28515625" customWidth="1"/>
    <col min="22" max="22" width="8.140625" customWidth="1"/>
    <col min="23" max="23" width="12.5703125" customWidth="1"/>
    <col min="24" max="24" width="10" customWidth="1"/>
    <col min="25" max="25" width="12.28515625" customWidth="1"/>
    <col min="26" max="26" width="12.42578125" customWidth="1"/>
    <col min="27" max="27" width="14.85546875" customWidth="1"/>
    <col min="28" max="28" width="12.7109375" customWidth="1"/>
    <col min="29" max="29" width="10" customWidth="1"/>
    <col min="30" max="30" width="12.42578125" customWidth="1"/>
    <col min="31" max="31" width="21" customWidth="1"/>
    <col min="32" max="32" width="10" customWidth="1"/>
    <col min="33" max="33" width="15" customWidth="1"/>
    <col min="34" max="34" width="16" customWidth="1"/>
    <col min="35" max="35" width="17.42578125" customWidth="1"/>
    <col min="36" max="36" width="14.28515625" customWidth="1"/>
    <col min="37" max="37" width="19.28515625" customWidth="1"/>
    <col min="38" max="38" width="3.85546875" customWidth="1"/>
    <col min="39" max="39" width="4.28515625" customWidth="1"/>
    <col min="40" max="40" width="5" customWidth="1"/>
    <col min="41" max="41" width="4.5703125" customWidth="1"/>
    <col min="42" max="42" width="3.5703125" customWidth="1"/>
    <col min="43" max="44" width="4" customWidth="1"/>
    <col min="45" max="45" width="3.5703125" customWidth="1"/>
    <col min="46" max="46" width="4.7109375" customWidth="1"/>
    <col min="47" max="48" width="4.5703125" customWidth="1"/>
    <col min="49" max="49" width="3.5703125" customWidth="1"/>
    <col min="50" max="50" width="30.28515625" customWidth="1"/>
    <col min="51" max="51" width="25.7109375" customWidth="1"/>
  </cols>
  <sheetData>
    <row r="1" spans="1:51" ht="19.5" customHeight="1" x14ac:dyDescent="0.25">
      <c r="B1" s="1"/>
      <c r="C1" s="1"/>
      <c r="D1" s="1"/>
      <c r="E1" s="1"/>
      <c r="F1" s="1"/>
      <c r="G1" s="1"/>
      <c r="H1" s="1"/>
      <c r="I1" s="1"/>
      <c r="J1" s="1"/>
      <c r="K1" s="1"/>
      <c r="L1" s="1"/>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23.25" customHeight="1" x14ac:dyDescent="0.25">
      <c r="A2" s="797" t="s">
        <v>0</v>
      </c>
      <c r="B2" s="798"/>
      <c r="C2" s="798"/>
      <c r="D2" s="798"/>
      <c r="E2" s="798"/>
      <c r="F2" s="798"/>
      <c r="G2" s="798"/>
      <c r="H2" s="798"/>
      <c r="I2" s="798"/>
      <c r="J2" s="798"/>
      <c r="K2" s="798"/>
      <c r="L2" s="798"/>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ht="19.5" customHeight="1" x14ac:dyDescent="0.25">
      <c r="A3" s="797" t="s">
        <v>1</v>
      </c>
      <c r="B3" s="798"/>
      <c r="C3" s="798"/>
      <c r="D3" s="798"/>
      <c r="E3" s="798"/>
      <c r="F3" s="798"/>
      <c r="G3" s="798"/>
      <c r="H3" s="798"/>
      <c r="I3" s="798"/>
      <c r="J3" s="798"/>
      <c r="K3" s="798"/>
      <c r="L3" s="798"/>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ht="33.75" hidden="1" customHeight="1" x14ac:dyDescent="0.25">
      <c r="A4" s="1"/>
      <c r="B4" s="1"/>
      <c r="C4" s="1"/>
      <c r="D4" s="1"/>
      <c r="E4" s="1"/>
      <c r="F4" s="1"/>
      <c r="G4" s="1"/>
      <c r="H4" s="1"/>
      <c r="I4" s="1"/>
      <c r="J4" s="1"/>
      <c r="K4" s="1"/>
      <c r="L4" s="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ht="18.75" customHeight="1" x14ac:dyDescent="0.25">
      <c r="A5" s="799" t="s">
        <v>2</v>
      </c>
      <c r="B5" s="798"/>
      <c r="C5" s="798"/>
      <c r="D5" s="798"/>
      <c r="E5" s="798"/>
      <c r="F5" s="798"/>
      <c r="G5" s="798"/>
      <c r="H5" s="798"/>
      <c r="I5" s="798"/>
      <c r="J5" s="798"/>
      <c r="K5" s="798"/>
      <c r="L5" s="798"/>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ht="18" customHeight="1" x14ac:dyDescent="0.25">
      <c r="A6" s="797" t="s">
        <v>321</v>
      </c>
      <c r="B6" s="798"/>
      <c r="C6" s="798"/>
      <c r="D6" s="798"/>
      <c r="E6" s="798"/>
      <c r="F6" s="798"/>
      <c r="G6" s="798"/>
      <c r="H6" s="798"/>
      <c r="I6" s="798"/>
      <c r="J6" s="798"/>
      <c r="K6" s="798"/>
      <c r="L6" s="798"/>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35.25" hidden="1" customHeight="1" x14ac:dyDescent="0.25">
      <c r="A7" s="3"/>
      <c r="B7" s="3"/>
      <c r="C7" s="3"/>
      <c r="D7" s="3"/>
      <c r="E7" s="3"/>
      <c r="F7" s="3"/>
      <c r="G7" s="3"/>
      <c r="H7" s="3"/>
      <c r="I7" s="3"/>
      <c r="J7" s="3"/>
      <c r="K7" s="3"/>
      <c r="L7" s="3"/>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hidden="1" customHeight="1" x14ac:dyDescent="0.25">
      <c r="A8" s="3"/>
      <c r="B8" s="3"/>
      <c r="C8" s="3"/>
      <c r="D8" s="3"/>
      <c r="E8" s="3"/>
      <c r="F8" s="3"/>
      <c r="G8" s="3"/>
      <c r="H8" s="3"/>
      <c r="I8" s="3"/>
      <c r="J8" s="3"/>
      <c r="K8" s="3"/>
      <c r="L8" s="3"/>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2.75" customHeight="1" x14ac:dyDescent="0.25">
      <c r="A9" s="800" t="s">
        <v>317</v>
      </c>
      <c r="B9" s="798"/>
      <c r="C9" s="798"/>
      <c r="D9" s="798"/>
      <c r="E9" s="798"/>
      <c r="F9" s="798"/>
      <c r="G9" s="798"/>
      <c r="H9" s="798"/>
      <c r="I9" s="798"/>
      <c r="J9" s="798"/>
      <c r="K9" s="798"/>
      <c r="L9" s="798"/>
      <c r="M9" s="798"/>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8.25" customHeight="1" x14ac:dyDescent="0.25">
      <c r="A10" s="4"/>
      <c r="B10" s="4"/>
      <c r="C10" s="4"/>
      <c r="D10" s="4"/>
      <c r="E10" s="4"/>
      <c r="F10" s="3"/>
      <c r="G10" s="3"/>
      <c r="H10" s="3"/>
      <c r="I10" s="3"/>
      <c r="J10" s="3"/>
      <c r="K10" s="3"/>
      <c r="L10" s="3"/>
      <c r="M10" s="3"/>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ht="14.25" customHeight="1" x14ac:dyDescent="0.25">
      <c r="A11" s="800" t="s">
        <v>320</v>
      </c>
      <c r="B11" s="798"/>
      <c r="C11" s="798"/>
      <c r="D11" s="798"/>
      <c r="E11" s="798"/>
      <c r="F11" s="798"/>
      <c r="G11" s="798"/>
      <c r="H11" s="798"/>
      <c r="I11" s="798"/>
      <c r="J11" s="798"/>
      <c r="K11" s="798"/>
      <c r="L11" s="798"/>
      <c r="M11" s="79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ht="20.25" customHeight="1" x14ac:dyDescent="0.25">
      <c r="A12" s="3"/>
      <c r="B12" s="3"/>
      <c r="C12" s="3"/>
      <c r="D12" s="3"/>
      <c r="E12" s="3"/>
      <c r="F12" s="3"/>
      <c r="G12" s="3"/>
      <c r="H12" s="3"/>
      <c r="I12" s="3"/>
      <c r="J12" s="3"/>
      <c r="K12" s="3"/>
      <c r="L12" s="3"/>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43.5" hidden="1" customHeight="1" x14ac:dyDescent="0.25">
      <c r="A13" s="1"/>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1" ht="58.5" customHeight="1" x14ac:dyDescent="0.25">
      <c r="A14" s="17" t="s">
        <v>3</v>
      </c>
      <c r="B14" s="18" t="s">
        <v>4</v>
      </c>
      <c r="C14" s="18" t="s">
        <v>5</v>
      </c>
      <c r="D14" s="18" t="s">
        <v>6</v>
      </c>
      <c r="E14" s="18" t="s">
        <v>7</v>
      </c>
      <c r="F14" s="18" t="s">
        <v>8</v>
      </c>
      <c r="G14" s="18" t="s">
        <v>9</v>
      </c>
      <c r="H14" s="18" t="s">
        <v>10</v>
      </c>
      <c r="I14" s="18" t="s">
        <v>11</v>
      </c>
      <c r="J14" s="18" t="s">
        <v>12</v>
      </c>
      <c r="K14" s="5" t="s">
        <v>13</v>
      </c>
      <c r="L14" s="18" t="s">
        <v>14</v>
      </c>
      <c r="M14" s="794" t="s">
        <v>325</v>
      </c>
      <c r="N14" s="791" t="s">
        <v>11</v>
      </c>
      <c r="O14" s="792"/>
      <c r="P14" s="794" t="s">
        <v>326</v>
      </c>
      <c r="Q14" s="791" t="s">
        <v>15</v>
      </c>
      <c r="R14" s="793"/>
      <c r="S14" s="793"/>
      <c r="T14" s="793"/>
      <c r="U14" s="793"/>
      <c r="V14" s="793"/>
      <c r="W14" s="793"/>
      <c r="X14" s="793"/>
      <c r="Y14" s="793"/>
      <c r="Z14" s="793"/>
      <c r="AA14" s="793"/>
      <c r="AB14" s="793"/>
      <c r="AC14" s="793"/>
      <c r="AD14" s="792"/>
      <c r="AE14" s="794" t="s">
        <v>16</v>
      </c>
      <c r="AF14" s="794" t="s">
        <v>17</v>
      </c>
      <c r="AG14" s="794" t="s">
        <v>18</v>
      </c>
      <c r="AH14" s="783" t="s">
        <v>19</v>
      </c>
      <c r="AI14" s="802" t="s">
        <v>20</v>
      </c>
      <c r="AJ14" s="804" t="s">
        <v>568</v>
      </c>
      <c r="AK14" s="794" t="s">
        <v>21</v>
      </c>
      <c r="AL14" s="806" t="s">
        <v>22</v>
      </c>
      <c r="AM14" s="793"/>
      <c r="AN14" s="793"/>
      <c r="AO14" s="793"/>
      <c r="AP14" s="793"/>
      <c r="AQ14" s="793"/>
      <c r="AR14" s="793"/>
      <c r="AS14" s="793"/>
      <c r="AT14" s="793"/>
      <c r="AU14" s="793"/>
      <c r="AV14" s="793"/>
      <c r="AW14" s="792"/>
      <c r="AX14" s="801" t="s">
        <v>23</v>
      </c>
      <c r="AY14" s="794" t="s">
        <v>24</v>
      </c>
    </row>
    <row r="15" spans="1:51" ht="82.5" customHeight="1" x14ac:dyDescent="0.25">
      <c r="A15" s="19"/>
      <c r="B15" s="20"/>
      <c r="C15" s="20"/>
      <c r="D15" s="20"/>
      <c r="E15" s="20"/>
      <c r="F15" s="20"/>
      <c r="G15" s="20"/>
      <c r="H15" s="20"/>
      <c r="I15" s="20"/>
      <c r="J15" s="20"/>
      <c r="K15" s="6"/>
      <c r="L15" s="20"/>
      <c r="M15" s="795"/>
      <c r="N15" s="7" t="s">
        <v>25</v>
      </c>
      <c r="O15" s="7" t="s">
        <v>26</v>
      </c>
      <c r="P15" s="796"/>
      <c r="Q15" s="8" t="s">
        <v>27</v>
      </c>
      <c r="R15" s="8" t="s">
        <v>28</v>
      </c>
      <c r="S15" s="8" t="s">
        <v>29</v>
      </c>
      <c r="T15" s="8" t="s">
        <v>605</v>
      </c>
      <c r="U15" s="8" t="s">
        <v>30</v>
      </c>
      <c r="V15" s="8" t="s">
        <v>31</v>
      </c>
      <c r="W15" s="8" t="s">
        <v>32</v>
      </c>
      <c r="X15" s="8" t="s">
        <v>33</v>
      </c>
      <c r="Y15" s="8" t="s">
        <v>34</v>
      </c>
      <c r="Z15" s="8" t="s">
        <v>35</v>
      </c>
      <c r="AA15" s="8" t="s">
        <v>36</v>
      </c>
      <c r="AB15" s="8" t="s">
        <v>37</v>
      </c>
      <c r="AC15" s="8" t="s">
        <v>38</v>
      </c>
      <c r="AD15" s="8" t="s">
        <v>39</v>
      </c>
      <c r="AE15" s="795"/>
      <c r="AF15" s="795"/>
      <c r="AG15" s="795"/>
      <c r="AH15" s="784"/>
      <c r="AI15" s="803"/>
      <c r="AJ15" s="805"/>
      <c r="AK15" s="795"/>
      <c r="AL15" s="8" t="s">
        <v>40</v>
      </c>
      <c r="AM15" s="8" t="s">
        <v>41</v>
      </c>
      <c r="AN15" s="8" t="s">
        <v>42</v>
      </c>
      <c r="AO15" s="8" t="s">
        <v>43</v>
      </c>
      <c r="AP15" s="8" t="s">
        <v>42</v>
      </c>
      <c r="AQ15" s="8" t="s">
        <v>44</v>
      </c>
      <c r="AR15" s="8" t="s">
        <v>44</v>
      </c>
      <c r="AS15" s="8" t="s">
        <v>43</v>
      </c>
      <c r="AT15" s="8" t="s">
        <v>45</v>
      </c>
      <c r="AU15" s="8" t="s">
        <v>46</v>
      </c>
      <c r="AV15" s="8" t="s">
        <v>47</v>
      </c>
      <c r="AW15" s="8" t="s">
        <v>48</v>
      </c>
      <c r="AX15" s="796"/>
      <c r="AY15" s="796"/>
    </row>
    <row r="16" spans="1:51" ht="148.5" customHeight="1" x14ac:dyDescent="0.25">
      <c r="A16" s="21" t="s">
        <v>49</v>
      </c>
      <c r="B16" s="22" t="s">
        <v>50</v>
      </c>
      <c r="C16" s="22" t="s">
        <v>51</v>
      </c>
      <c r="D16" s="22" t="s">
        <v>52</v>
      </c>
      <c r="E16" s="23">
        <v>1</v>
      </c>
      <c r="F16" s="21" t="s">
        <v>53</v>
      </c>
      <c r="G16" s="776" t="s">
        <v>316</v>
      </c>
      <c r="H16" s="22" t="s">
        <v>54</v>
      </c>
      <c r="I16" s="22" t="s">
        <v>55</v>
      </c>
      <c r="J16" s="23">
        <v>218251</v>
      </c>
      <c r="K16" s="23" t="s">
        <v>322</v>
      </c>
      <c r="L16" s="25">
        <v>214272</v>
      </c>
      <c r="M16" s="25">
        <v>214272</v>
      </c>
      <c r="N16" s="26" t="s">
        <v>376</v>
      </c>
      <c r="O16" s="27">
        <v>218.251</v>
      </c>
      <c r="P16" s="28">
        <f>(Q16+R16+S16+T16+U16+V16+W16+X16+Y16+Z16+AA16+AB16+AC16+AD16)</f>
        <v>587041841.22618008</v>
      </c>
      <c r="Q16" s="11"/>
      <c r="R16" s="11"/>
      <c r="S16" s="11"/>
      <c r="T16" s="11">
        <v>587041841.22618008</v>
      </c>
      <c r="U16" s="11"/>
      <c r="V16" s="11"/>
      <c r="W16" s="11"/>
      <c r="X16" s="11"/>
      <c r="Y16" s="11"/>
      <c r="Z16" s="11"/>
      <c r="AA16" s="11"/>
      <c r="AB16" s="11"/>
      <c r="AC16" s="11"/>
      <c r="AD16" s="11"/>
      <c r="AE16" s="26" t="s">
        <v>364</v>
      </c>
      <c r="AF16" s="26" t="s">
        <v>364</v>
      </c>
      <c r="AG16" s="26" t="s">
        <v>365</v>
      </c>
      <c r="AH16" s="29" t="s">
        <v>366</v>
      </c>
      <c r="AI16" s="30" t="s">
        <v>367</v>
      </c>
      <c r="AJ16" s="31" t="s">
        <v>364</v>
      </c>
      <c r="AK16" s="26" t="s">
        <v>364</v>
      </c>
      <c r="AL16" s="32"/>
      <c r="AM16" s="32" t="s">
        <v>395</v>
      </c>
      <c r="AN16" s="32" t="s">
        <v>395</v>
      </c>
      <c r="AO16" s="32" t="s">
        <v>395</v>
      </c>
      <c r="AP16" s="32" t="s">
        <v>395</v>
      </c>
      <c r="AQ16" s="32" t="s">
        <v>395</v>
      </c>
      <c r="AR16" s="32" t="s">
        <v>395</v>
      </c>
      <c r="AS16" s="32" t="s">
        <v>395</v>
      </c>
      <c r="AT16" s="32" t="s">
        <v>395</v>
      </c>
      <c r="AU16" s="32" t="s">
        <v>395</v>
      </c>
      <c r="AV16" s="32" t="s">
        <v>395</v>
      </c>
      <c r="AW16" s="27"/>
      <c r="AX16" s="33" t="s">
        <v>330</v>
      </c>
      <c r="AY16" s="34" t="s">
        <v>374</v>
      </c>
    </row>
    <row r="17" spans="1:51" ht="124.5" customHeight="1" x14ac:dyDescent="0.25">
      <c r="A17" s="21" t="s">
        <v>49</v>
      </c>
      <c r="B17" s="22" t="s">
        <v>50</v>
      </c>
      <c r="C17" s="22" t="s">
        <v>56</v>
      </c>
      <c r="D17" s="22" t="s">
        <v>57</v>
      </c>
      <c r="E17" s="23">
        <v>0.80710000000000004</v>
      </c>
      <c r="F17" s="21" t="s">
        <v>53</v>
      </c>
      <c r="G17" s="777"/>
      <c r="H17" s="22" t="s">
        <v>58</v>
      </c>
      <c r="I17" s="22" t="s">
        <v>59</v>
      </c>
      <c r="J17" s="23">
        <v>212059</v>
      </c>
      <c r="K17" s="23" t="s">
        <v>323</v>
      </c>
      <c r="L17" s="25">
        <v>1060</v>
      </c>
      <c r="M17" s="23">
        <f>(265+50)</f>
        <v>315</v>
      </c>
      <c r="N17" s="26" t="s">
        <v>377</v>
      </c>
      <c r="O17" s="35">
        <v>265</v>
      </c>
      <c r="P17" s="28">
        <f t="shared" ref="P17:P80" si="0">(Q17+R17+S17+T17+U17+V17+W17+X17+Y17+Z17+AA17+AB17+AC17+AD17)</f>
        <v>507797.25</v>
      </c>
      <c r="Q17" s="11"/>
      <c r="R17" s="11"/>
      <c r="S17" s="11"/>
      <c r="T17" s="11">
        <v>507797.25</v>
      </c>
      <c r="U17" s="11"/>
      <c r="V17" s="11"/>
      <c r="W17" s="11"/>
      <c r="X17" s="11"/>
      <c r="Y17" s="11"/>
      <c r="Z17" s="11"/>
      <c r="AA17" s="11"/>
      <c r="AB17" s="11"/>
      <c r="AC17" s="11"/>
      <c r="AD17" s="11"/>
      <c r="AE17" s="26" t="s">
        <v>364</v>
      </c>
      <c r="AF17" s="26" t="s">
        <v>364</v>
      </c>
      <c r="AG17" s="26" t="s">
        <v>365</v>
      </c>
      <c r="AH17" s="29" t="s">
        <v>366</v>
      </c>
      <c r="AI17" s="30" t="s">
        <v>367</v>
      </c>
      <c r="AJ17" s="31" t="s">
        <v>364</v>
      </c>
      <c r="AK17" s="26" t="s">
        <v>364</v>
      </c>
      <c r="AL17" s="32"/>
      <c r="AM17" s="32" t="s">
        <v>395</v>
      </c>
      <c r="AN17" s="32" t="s">
        <v>395</v>
      </c>
      <c r="AO17" s="32" t="s">
        <v>395</v>
      </c>
      <c r="AP17" s="32" t="s">
        <v>395</v>
      </c>
      <c r="AQ17" s="32" t="s">
        <v>395</v>
      </c>
      <c r="AR17" s="32" t="s">
        <v>395</v>
      </c>
      <c r="AS17" s="32" t="s">
        <v>395</v>
      </c>
      <c r="AT17" s="32" t="s">
        <v>395</v>
      </c>
      <c r="AU17" s="32" t="s">
        <v>395</v>
      </c>
      <c r="AV17" s="32" t="s">
        <v>395</v>
      </c>
      <c r="AW17" s="27"/>
      <c r="AX17" s="33" t="s">
        <v>330</v>
      </c>
      <c r="AY17" s="34" t="s">
        <v>375</v>
      </c>
    </row>
    <row r="18" spans="1:51" ht="115.5" customHeight="1" x14ac:dyDescent="0.25">
      <c r="A18" s="21" t="s">
        <v>49</v>
      </c>
      <c r="B18" s="22" t="s">
        <v>50</v>
      </c>
      <c r="C18" s="22" t="s">
        <v>60</v>
      </c>
      <c r="D18" s="22" t="s">
        <v>61</v>
      </c>
      <c r="E18" s="23">
        <v>1.1599999999999999E-2</v>
      </c>
      <c r="F18" s="21" t="s">
        <v>53</v>
      </c>
      <c r="G18" s="777"/>
      <c r="H18" s="22" t="s">
        <v>62</v>
      </c>
      <c r="I18" s="22" t="s">
        <v>63</v>
      </c>
      <c r="J18" s="23">
        <v>2788</v>
      </c>
      <c r="K18" s="23" t="s">
        <v>322</v>
      </c>
      <c r="L18" s="25">
        <v>2788</v>
      </c>
      <c r="M18" s="25">
        <v>2788</v>
      </c>
      <c r="N18" s="26" t="s">
        <v>378</v>
      </c>
      <c r="O18" s="25">
        <v>2788</v>
      </c>
      <c r="P18" s="28">
        <f t="shared" si="0"/>
        <v>7549246.4054689324</v>
      </c>
      <c r="Q18" s="11"/>
      <c r="R18" s="11"/>
      <c r="S18" s="11"/>
      <c r="T18" s="11">
        <v>7549246.4054689324</v>
      </c>
      <c r="U18" s="11"/>
      <c r="V18" s="11"/>
      <c r="W18" s="11"/>
      <c r="X18" s="11"/>
      <c r="Y18" s="11"/>
      <c r="Z18" s="11"/>
      <c r="AA18" s="11"/>
      <c r="AB18" s="11"/>
      <c r="AC18" s="11"/>
      <c r="AD18" s="11"/>
      <c r="AE18" s="26" t="s">
        <v>364</v>
      </c>
      <c r="AF18" s="26" t="s">
        <v>364</v>
      </c>
      <c r="AG18" s="26" t="s">
        <v>365</v>
      </c>
      <c r="AH18" s="29" t="s">
        <v>366</v>
      </c>
      <c r="AI18" s="30" t="s">
        <v>367</v>
      </c>
      <c r="AJ18" s="31" t="s">
        <v>364</v>
      </c>
      <c r="AK18" s="26" t="s">
        <v>364</v>
      </c>
      <c r="AL18" s="32"/>
      <c r="AM18" s="32" t="s">
        <v>395</v>
      </c>
      <c r="AN18" s="32" t="s">
        <v>395</v>
      </c>
      <c r="AO18" s="32" t="s">
        <v>395</v>
      </c>
      <c r="AP18" s="32" t="s">
        <v>395</v>
      </c>
      <c r="AQ18" s="32" t="s">
        <v>395</v>
      </c>
      <c r="AR18" s="32" t="s">
        <v>395</v>
      </c>
      <c r="AS18" s="32" t="s">
        <v>395</v>
      </c>
      <c r="AT18" s="32" t="s">
        <v>395</v>
      </c>
      <c r="AU18" s="32" t="s">
        <v>395</v>
      </c>
      <c r="AV18" s="32" t="s">
        <v>395</v>
      </c>
      <c r="AW18" s="27"/>
      <c r="AX18" s="33" t="s">
        <v>330</v>
      </c>
      <c r="AY18" s="34" t="s">
        <v>375</v>
      </c>
    </row>
    <row r="19" spans="1:51" ht="178.5" customHeight="1" x14ac:dyDescent="0.25">
      <c r="A19" s="21" t="s">
        <v>49</v>
      </c>
      <c r="B19" s="22" t="s">
        <v>50</v>
      </c>
      <c r="C19" s="22" t="s">
        <v>64</v>
      </c>
      <c r="D19" s="22" t="s">
        <v>65</v>
      </c>
      <c r="E19" s="23">
        <v>1.3899999999999999E-2</v>
      </c>
      <c r="F19" s="21" t="s">
        <v>53</v>
      </c>
      <c r="G19" s="777"/>
      <c r="H19" s="22" t="s">
        <v>66</v>
      </c>
      <c r="I19" s="22" t="s">
        <v>67</v>
      </c>
      <c r="J19" s="23">
        <v>2427</v>
      </c>
      <c r="K19" s="23" t="s">
        <v>322</v>
      </c>
      <c r="L19" s="25">
        <v>2063</v>
      </c>
      <c r="M19" s="25">
        <v>2063</v>
      </c>
      <c r="N19" s="26" t="s">
        <v>67</v>
      </c>
      <c r="O19" s="25">
        <v>2063</v>
      </c>
      <c r="P19" s="28">
        <f t="shared" si="0"/>
        <v>5586117.4083509352</v>
      </c>
      <c r="Q19" s="11"/>
      <c r="R19" s="11"/>
      <c r="S19" s="11"/>
      <c r="T19" s="11">
        <v>5586117.4083509352</v>
      </c>
      <c r="U19" s="11"/>
      <c r="V19" s="11"/>
      <c r="W19" s="11"/>
      <c r="X19" s="11"/>
      <c r="Y19" s="11"/>
      <c r="Z19" s="11"/>
      <c r="AA19" s="11"/>
      <c r="AB19" s="11"/>
      <c r="AC19" s="11"/>
      <c r="AD19" s="11"/>
      <c r="AE19" s="26" t="s">
        <v>364</v>
      </c>
      <c r="AF19" s="26" t="s">
        <v>364</v>
      </c>
      <c r="AG19" s="26" t="s">
        <v>365</v>
      </c>
      <c r="AH19" s="29" t="s">
        <v>366</v>
      </c>
      <c r="AI19" s="30" t="s">
        <v>367</v>
      </c>
      <c r="AJ19" s="31" t="s">
        <v>364</v>
      </c>
      <c r="AK19" s="26" t="s">
        <v>364</v>
      </c>
      <c r="AL19" s="32"/>
      <c r="AM19" s="32" t="s">
        <v>395</v>
      </c>
      <c r="AN19" s="32" t="s">
        <v>395</v>
      </c>
      <c r="AO19" s="32" t="s">
        <v>395</v>
      </c>
      <c r="AP19" s="32" t="s">
        <v>395</v>
      </c>
      <c r="AQ19" s="32" t="s">
        <v>395</v>
      </c>
      <c r="AR19" s="32" t="s">
        <v>395</v>
      </c>
      <c r="AS19" s="32" t="s">
        <v>395</v>
      </c>
      <c r="AT19" s="32" t="s">
        <v>395</v>
      </c>
      <c r="AU19" s="32" t="s">
        <v>395</v>
      </c>
      <c r="AV19" s="32" t="s">
        <v>395</v>
      </c>
      <c r="AW19" s="27"/>
      <c r="AX19" s="33" t="s">
        <v>330</v>
      </c>
      <c r="AY19" s="34" t="s">
        <v>375</v>
      </c>
    </row>
    <row r="20" spans="1:51" ht="99.75" customHeight="1" x14ac:dyDescent="0.25">
      <c r="A20" s="21" t="s">
        <v>49</v>
      </c>
      <c r="B20" s="22" t="s">
        <v>50</v>
      </c>
      <c r="C20" s="22" t="s">
        <v>68</v>
      </c>
      <c r="D20" s="22" t="s">
        <v>69</v>
      </c>
      <c r="E20" s="23">
        <v>3.5000000000000003E-2</v>
      </c>
      <c r="F20" s="21" t="s">
        <v>53</v>
      </c>
      <c r="G20" s="777"/>
      <c r="H20" s="22" t="s">
        <v>70</v>
      </c>
      <c r="I20" s="22" t="s">
        <v>71</v>
      </c>
      <c r="J20" s="23">
        <v>2590</v>
      </c>
      <c r="K20" s="23" t="s">
        <v>322</v>
      </c>
      <c r="L20" s="25">
        <v>100</v>
      </c>
      <c r="M20" s="23">
        <v>100</v>
      </c>
      <c r="N20" s="26" t="s">
        <v>71</v>
      </c>
      <c r="O20" s="35">
        <v>100</v>
      </c>
      <c r="P20" s="28">
        <f t="shared" si="0"/>
        <v>5180000</v>
      </c>
      <c r="Q20" s="11"/>
      <c r="R20" s="11"/>
      <c r="S20" s="11"/>
      <c r="T20" s="11">
        <v>5180000</v>
      </c>
      <c r="U20" s="11"/>
      <c r="V20" s="11"/>
      <c r="W20" s="11"/>
      <c r="X20" s="11"/>
      <c r="Y20" s="11"/>
      <c r="Z20" s="11"/>
      <c r="AA20" s="11"/>
      <c r="AB20" s="11"/>
      <c r="AC20" s="11"/>
      <c r="AD20" s="11"/>
      <c r="AE20" s="26" t="s">
        <v>364</v>
      </c>
      <c r="AF20" s="26" t="s">
        <v>364</v>
      </c>
      <c r="AG20" s="26" t="s">
        <v>365</v>
      </c>
      <c r="AH20" s="29" t="s">
        <v>366</v>
      </c>
      <c r="AI20" s="30" t="s">
        <v>367</v>
      </c>
      <c r="AJ20" s="31" t="s">
        <v>364</v>
      </c>
      <c r="AK20" s="26" t="s">
        <v>364</v>
      </c>
      <c r="AL20" s="32"/>
      <c r="AM20" s="32" t="s">
        <v>395</v>
      </c>
      <c r="AN20" s="32" t="s">
        <v>395</v>
      </c>
      <c r="AO20" s="32" t="s">
        <v>395</v>
      </c>
      <c r="AP20" s="32" t="s">
        <v>395</v>
      </c>
      <c r="AQ20" s="32" t="s">
        <v>395</v>
      </c>
      <c r="AR20" s="32" t="s">
        <v>395</v>
      </c>
      <c r="AS20" s="32" t="s">
        <v>395</v>
      </c>
      <c r="AT20" s="32" t="s">
        <v>395</v>
      </c>
      <c r="AU20" s="32" t="s">
        <v>395</v>
      </c>
      <c r="AV20" s="32" t="s">
        <v>395</v>
      </c>
      <c r="AW20" s="27"/>
      <c r="AX20" s="33" t="s">
        <v>330</v>
      </c>
      <c r="AY20" s="34" t="s">
        <v>375</v>
      </c>
    </row>
    <row r="21" spans="1:51" ht="143.25" customHeight="1" x14ac:dyDescent="0.25">
      <c r="A21" s="21" t="s">
        <v>49</v>
      </c>
      <c r="B21" s="22" t="s">
        <v>50</v>
      </c>
      <c r="C21" s="22" t="s">
        <v>72</v>
      </c>
      <c r="D21" s="22" t="s">
        <v>73</v>
      </c>
      <c r="E21" s="23">
        <v>4.6300000000000001E-2</v>
      </c>
      <c r="F21" s="21" t="s">
        <v>53</v>
      </c>
      <c r="G21" s="777"/>
      <c r="H21" s="22" t="s">
        <v>74</v>
      </c>
      <c r="I21" s="22" t="s">
        <v>75</v>
      </c>
      <c r="J21" s="23">
        <v>44321</v>
      </c>
      <c r="K21" s="23" t="s">
        <v>322</v>
      </c>
      <c r="L21" s="25">
        <v>1000</v>
      </c>
      <c r="M21" s="25">
        <v>1000</v>
      </c>
      <c r="N21" s="26" t="s">
        <v>379</v>
      </c>
      <c r="O21" s="35">
        <v>1000</v>
      </c>
      <c r="P21" s="28">
        <f t="shared" si="0"/>
        <v>405000</v>
      </c>
      <c r="Q21" s="11"/>
      <c r="R21" s="11"/>
      <c r="S21" s="11"/>
      <c r="T21" s="11"/>
      <c r="U21" s="11"/>
      <c r="V21" s="11"/>
      <c r="W21" s="11"/>
      <c r="X21" s="11"/>
      <c r="Y21" s="11"/>
      <c r="Z21" s="11">
        <v>405000</v>
      </c>
      <c r="AA21" s="11"/>
      <c r="AB21" s="11"/>
      <c r="AC21" s="11"/>
      <c r="AD21" s="11"/>
      <c r="AE21" s="26" t="s">
        <v>364</v>
      </c>
      <c r="AF21" s="26" t="s">
        <v>364</v>
      </c>
      <c r="AG21" s="26" t="s">
        <v>365</v>
      </c>
      <c r="AH21" s="29" t="s">
        <v>366</v>
      </c>
      <c r="AI21" s="36">
        <v>1000</v>
      </c>
      <c r="AJ21" s="31" t="s">
        <v>364</v>
      </c>
      <c r="AK21" s="26" t="s">
        <v>364</v>
      </c>
      <c r="AL21" s="32"/>
      <c r="AM21" s="32" t="s">
        <v>395</v>
      </c>
      <c r="AN21" s="32" t="s">
        <v>395</v>
      </c>
      <c r="AO21" s="32" t="s">
        <v>395</v>
      </c>
      <c r="AP21" s="32" t="s">
        <v>395</v>
      </c>
      <c r="AQ21" s="32" t="s">
        <v>395</v>
      </c>
      <c r="AR21" s="32" t="s">
        <v>395</v>
      </c>
      <c r="AS21" s="32" t="s">
        <v>395</v>
      </c>
      <c r="AT21" s="32" t="s">
        <v>395</v>
      </c>
      <c r="AU21" s="32" t="s">
        <v>395</v>
      </c>
      <c r="AV21" s="32" t="s">
        <v>395</v>
      </c>
      <c r="AW21" s="27"/>
      <c r="AX21" s="33" t="s">
        <v>330</v>
      </c>
      <c r="AY21" s="34"/>
    </row>
    <row r="22" spans="1:51" ht="114" customHeight="1" x14ac:dyDescent="0.25">
      <c r="A22" s="21" t="s">
        <v>49</v>
      </c>
      <c r="B22" s="22" t="s">
        <v>50</v>
      </c>
      <c r="C22" s="22" t="s">
        <v>76</v>
      </c>
      <c r="D22" s="22" t="s">
        <v>77</v>
      </c>
      <c r="E22" s="23">
        <v>30000</v>
      </c>
      <c r="F22" s="21" t="s">
        <v>53</v>
      </c>
      <c r="G22" s="777"/>
      <c r="H22" s="22" t="s">
        <v>76</v>
      </c>
      <c r="I22" s="22" t="s">
        <v>77</v>
      </c>
      <c r="J22" s="23">
        <v>30000</v>
      </c>
      <c r="K22" s="23" t="s">
        <v>323</v>
      </c>
      <c r="L22" s="25">
        <v>30000</v>
      </c>
      <c r="M22" s="25">
        <v>7500</v>
      </c>
      <c r="N22" s="26" t="s">
        <v>77</v>
      </c>
      <c r="O22" s="35">
        <v>7500</v>
      </c>
      <c r="P22" s="28">
        <f t="shared" si="0"/>
        <v>8000000</v>
      </c>
      <c r="Q22" s="11">
        <v>0</v>
      </c>
      <c r="R22" s="11"/>
      <c r="S22" s="11"/>
      <c r="T22" s="11">
        <v>8000000</v>
      </c>
      <c r="U22" s="11"/>
      <c r="V22" s="11"/>
      <c r="W22" s="11"/>
      <c r="X22" s="11"/>
      <c r="Y22" s="11"/>
      <c r="Z22" s="11"/>
      <c r="AA22" s="11"/>
      <c r="AB22" s="11"/>
      <c r="AC22" s="11"/>
      <c r="AD22" s="11"/>
      <c r="AE22" s="26" t="s">
        <v>364</v>
      </c>
      <c r="AF22" s="26" t="s">
        <v>364</v>
      </c>
      <c r="AG22" s="26" t="s">
        <v>365</v>
      </c>
      <c r="AH22" s="29" t="s">
        <v>366</v>
      </c>
      <c r="AI22" s="30">
        <v>25000</v>
      </c>
      <c r="AJ22" s="31" t="s">
        <v>364</v>
      </c>
      <c r="AK22" s="26" t="s">
        <v>364</v>
      </c>
      <c r="AL22" s="32"/>
      <c r="AM22" s="32" t="s">
        <v>395</v>
      </c>
      <c r="AN22" s="32" t="s">
        <v>395</v>
      </c>
      <c r="AO22" s="32" t="s">
        <v>395</v>
      </c>
      <c r="AP22" s="32" t="s">
        <v>395</v>
      </c>
      <c r="AQ22" s="32" t="s">
        <v>395</v>
      </c>
      <c r="AR22" s="32" t="s">
        <v>395</v>
      </c>
      <c r="AS22" s="32" t="s">
        <v>395</v>
      </c>
      <c r="AT22" s="32" t="s">
        <v>395</v>
      </c>
      <c r="AU22" s="32" t="s">
        <v>395</v>
      </c>
      <c r="AV22" s="32" t="s">
        <v>395</v>
      </c>
      <c r="AW22" s="27"/>
      <c r="AX22" s="33" t="s">
        <v>330</v>
      </c>
      <c r="AY22" s="37"/>
    </row>
    <row r="23" spans="1:51" ht="232.5" customHeight="1" x14ac:dyDescent="0.25">
      <c r="A23" s="21" t="s">
        <v>49</v>
      </c>
      <c r="B23" s="22" t="s">
        <v>50</v>
      </c>
      <c r="C23" s="22" t="s">
        <v>78</v>
      </c>
      <c r="D23" s="22" t="s">
        <v>79</v>
      </c>
      <c r="E23" s="23">
        <v>163535</v>
      </c>
      <c r="F23" s="21" t="s">
        <v>53</v>
      </c>
      <c r="G23" s="777"/>
      <c r="H23" s="22" t="s">
        <v>80</v>
      </c>
      <c r="I23" s="22" t="s">
        <v>81</v>
      </c>
      <c r="J23" s="23">
        <v>163535</v>
      </c>
      <c r="K23" s="23" t="s">
        <v>322</v>
      </c>
      <c r="L23" s="25">
        <v>163535</v>
      </c>
      <c r="M23" s="25">
        <v>163535</v>
      </c>
      <c r="N23" s="26" t="s">
        <v>380</v>
      </c>
      <c r="O23" s="35">
        <v>163535</v>
      </c>
      <c r="P23" s="28">
        <f t="shared" si="0"/>
        <v>27513954</v>
      </c>
      <c r="Q23" s="11"/>
      <c r="R23" s="11"/>
      <c r="S23" s="11"/>
      <c r="T23" s="11"/>
      <c r="U23" s="11"/>
      <c r="V23" s="11"/>
      <c r="W23" s="11"/>
      <c r="X23" s="11"/>
      <c r="Y23" s="11"/>
      <c r="Z23" s="11"/>
      <c r="AA23" s="11">
        <v>27513954</v>
      </c>
      <c r="AB23" s="11"/>
      <c r="AC23" s="11"/>
      <c r="AD23" s="11"/>
      <c r="AE23" s="26" t="s">
        <v>368</v>
      </c>
      <c r="AF23" s="26">
        <v>2016190000031</v>
      </c>
      <c r="AG23" s="26" t="s">
        <v>365</v>
      </c>
      <c r="AH23" s="29" t="s">
        <v>366</v>
      </c>
      <c r="AI23" s="36">
        <v>138861</v>
      </c>
      <c r="AJ23" s="38">
        <v>27412576</v>
      </c>
      <c r="AK23" s="26" t="s">
        <v>369</v>
      </c>
      <c r="AL23" s="32"/>
      <c r="AM23" s="32" t="s">
        <v>395</v>
      </c>
      <c r="AN23" s="32" t="s">
        <v>395</v>
      </c>
      <c r="AO23" s="32" t="s">
        <v>395</v>
      </c>
      <c r="AP23" s="32" t="s">
        <v>395</v>
      </c>
      <c r="AQ23" s="32" t="s">
        <v>395</v>
      </c>
      <c r="AR23" s="32" t="s">
        <v>395</v>
      </c>
      <c r="AS23" s="32" t="s">
        <v>395</v>
      </c>
      <c r="AT23" s="32" t="s">
        <v>395</v>
      </c>
      <c r="AU23" s="32" t="s">
        <v>395</v>
      </c>
      <c r="AV23" s="32" t="s">
        <v>395</v>
      </c>
      <c r="AW23" s="27"/>
      <c r="AX23" s="33" t="s">
        <v>331</v>
      </c>
      <c r="AY23" s="34" t="s">
        <v>375</v>
      </c>
    </row>
    <row r="24" spans="1:51" ht="221.25" customHeight="1" x14ac:dyDescent="0.25">
      <c r="A24" s="21" t="s">
        <v>49</v>
      </c>
      <c r="B24" s="22" t="s">
        <v>50</v>
      </c>
      <c r="C24" s="22" t="s">
        <v>82</v>
      </c>
      <c r="D24" s="22" t="s">
        <v>83</v>
      </c>
      <c r="E24" s="23">
        <v>0</v>
      </c>
      <c r="F24" s="21" t="s">
        <v>53</v>
      </c>
      <c r="G24" s="777"/>
      <c r="H24" s="22" t="s">
        <v>84</v>
      </c>
      <c r="I24" s="22" t="s">
        <v>85</v>
      </c>
      <c r="J24" s="23">
        <v>0</v>
      </c>
      <c r="K24" s="23" t="s">
        <v>323</v>
      </c>
      <c r="L24" s="25">
        <v>1</v>
      </c>
      <c r="M24" s="23">
        <v>0.5</v>
      </c>
      <c r="N24" s="26" t="s">
        <v>85</v>
      </c>
      <c r="O24" s="27">
        <v>0</v>
      </c>
      <c r="P24" s="28">
        <f t="shared" si="0"/>
        <v>355103</v>
      </c>
      <c r="Q24" s="11"/>
      <c r="R24" s="11"/>
      <c r="S24" s="11"/>
      <c r="T24" s="11">
        <v>355103</v>
      </c>
      <c r="U24" s="11"/>
      <c r="V24" s="11"/>
      <c r="W24" s="11"/>
      <c r="X24" s="11"/>
      <c r="Y24" s="11"/>
      <c r="Z24" s="11"/>
      <c r="AA24" s="11"/>
      <c r="AB24" s="11"/>
      <c r="AC24" s="11"/>
      <c r="AD24" s="11"/>
      <c r="AE24" s="26" t="s">
        <v>364</v>
      </c>
      <c r="AF24" s="26" t="s">
        <v>364</v>
      </c>
      <c r="AG24" s="26" t="s">
        <v>365</v>
      </c>
      <c r="AH24" s="29" t="s">
        <v>366</v>
      </c>
      <c r="AI24" s="37"/>
      <c r="AJ24" s="31" t="s">
        <v>364</v>
      </c>
      <c r="AK24" s="26" t="s">
        <v>364</v>
      </c>
      <c r="AL24" s="32"/>
      <c r="AM24" s="32" t="s">
        <v>395</v>
      </c>
      <c r="AN24" s="32" t="s">
        <v>395</v>
      </c>
      <c r="AO24" s="32" t="s">
        <v>395</v>
      </c>
      <c r="AP24" s="32" t="s">
        <v>395</v>
      </c>
      <c r="AQ24" s="32" t="s">
        <v>395</v>
      </c>
      <c r="AR24" s="32" t="s">
        <v>395</v>
      </c>
      <c r="AS24" s="32" t="s">
        <v>395</v>
      </c>
      <c r="AT24" s="32" t="s">
        <v>395</v>
      </c>
      <c r="AU24" s="32" t="s">
        <v>395</v>
      </c>
      <c r="AV24" s="32" t="s">
        <v>395</v>
      </c>
      <c r="AW24" s="27"/>
      <c r="AX24" s="33" t="s">
        <v>330</v>
      </c>
      <c r="AY24" s="37"/>
    </row>
    <row r="25" spans="1:51" ht="117" customHeight="1" x14ac:dyDescent="0.25">
      <c r="A25" s="21" t="s">
        <v>49</v>
      </c>
      <c r="B25" s="22" t="s">
        <v>50</v>
      </c>
      <c r="C25" s="22" t="s">
        <v>86</v>
      </c>
      <c r="D25" s="22" t="s">
        <v>87</v>
      </c>
      <c r="E25" s="23">
        <v>3725</v>
      </c>
      <c r="F25" s="21" t="s">
        <v>53</v>
      </c>
      <c r="G25" s="777"/>
      <c r="H25" s="22" t="s">
        <v>86</v>
      </c>
      <c r="I25" s="22" t="s">
        <v>87</v>
      </c>
      <c r="J25" s="39">
        <v>1</v>
      </c>
      <c r="K25" s="23" t="s">
        <v>322</v>
      </c>
      <c r="L25" s="39">
        <v>1</v>
      </c>
      <c r="M25" s="39">
        <v>1</v>
      </c>
      <c r="N25" s="26" t="s">
        <v>87</v>
      </c>
      <c r="O25" s="40">
        <v>1</v>
      </c>
      <c r="P25" s="28">
        <f t="shared" si="0"/>
        <v>0</v>
      </c>
      <c r="Q25" s="11"/>
      <c r="R25" s="11"/>
      <c r="S25" s="11"/>
      <c r="T25" s="11"/>
      <c r="U25" s="11"/>
      <c r="V25" s="11"/>
      <c r="W25" s="11"/>
      <c r="X25" s="11"/>
      <c r="Y25" s="11"/>
      <c r="Z25" s="11"/>
      <c r="AA25" s="11"/>
      <c r="AB25" s="11"/>
      <c r="AC25" s="11"/>
      <c r="AD25" s="11"/>
      <c r="AE25" s="26" t="s">
        <v>364</v>
      </c>
      <c r="AF25" s="26" t="s">
        <v>364</v>
      </c>
      <c r="AG25" s="26" t="s">
        <v>365</v>
      </c>
      <c r="AH25" s="29" t="s">
        <v>366</v>
      </c>
      <c r="AI25" s="30" t="s">
        <v>367</v>
      </c>
      <c r="AJ25" s="31" t="s">
        <v>364</v>
      </c>
      <c r="AK25" s="26" t="s">
        <v>364</v>
      </c>
      <c r="AL25" s="32"/>
      <c r="AM25" s="32" t="s">
        <v>395</v>
      </c>
      <c r="AN25" s="32" t="s">
        <v>395</v>
      </c>
      <c r="AO25" s="32" t="s">
        <v>395</v>
      </c>
      <c r="AP25" s="32" t="s">
        <v>395</v>
      </c>
      <c r="AQ25" s="32" t="s">
        <v>395</v>
      </c>
      <c r="AR25" s="32" t="s">
        <v>395</v>
      </c>
      <c r="AS25" s="32" t="s">
        <v>395</v>
      </c>
      <c r="AT25" s="32" t="s">
        <v>395</v>
      </c>
      <c r="AU25" s="32" t="s">
        <v>395</v>
      </c>
      <c r="AV25" s="32" t="s">
        <v>395</v>
      </c>
      <c r="AW25" s="27"/>
      <c r="AX25" s="33" t="s">
        <v>330</v>
      </c>
      <c r="AY25" s="34" t="s">
        <v>375</v>
      </c>
    </row>
    <row r="26" spans="1:51" ht="175.5" customHeight="1" x14ac:dyDescent="0.25">
      <c r="A26" s="21" t="s">
        <v>49</v>
      </c>
      <c r="B26" s="22" t="s">
        <v>50</v>
      </c>
      <c r="C26" s="22" t="s">
        <v>88</v>
      </c>
      <c r="D26" s="22" t="s">
        <v>89</v>
      </c>
      <c r="E26" s="23">
        <v>49</v>
      </c>
      <c r="F26" s="21" t="s">
        <v>53</v>
      </c>
      <c r="G26" s="777"/>
      <c r="H26" s="22" t="s">
        <v>88</v>
      </c>
      <c r="I26" s="22" t="s">
        <v>89</v>
      </c>
      <c r="J26" s="39">
        <v>1</v>
      </c>
      <c r="K26" s="23" t="s">
        <v>322</v>
      </c>
      <c r="L26" s="39">
        <v>1</v>
      </c>
      <c r="M26" s="39">
        <v>1</v>
      </c>
      <c r="N26" s="26" t="s">
        <v>89</v>
      </c>
      <c r="O26" s="40">
        <v>1</v>
      </c>
      <c r="P26" s="28">
        <f t="shared" si="0"/>
        <v>330000</v>
      </c>
      <c r="Q26" s="11">
        <f>(200000+130000)</f>
        <v>330000</v>
      </c>
      <c r="R26" s="11"/>
      <c r="S26" s="11"/>
      <c r="T26" s="11"/>
      <c r="U26" s="11"/>
      <c r="V26" s="11"/>
      <c r="W26" s="11"/>
      <c r="X26" s="11"/>
      <c r="Y26" s="11"/>
      <c r="Z26" s="11"/>
      <c r="AA26" s="11"/>
      <c r="AB26" s="11"/>
      <c r="AC26" s="11"/>
      <c r="AD26" s="11"/>
      <c r="AE26" s="26" t="s">
        <v>364</v>
      </c>
      <c r="AF26" s="26" t="s">
        <v>364</v>
      </c>
      <c r="AG26" s="26" t="s">
        <v>365</v>
      </c>
      <c r="AH26" s="29" t="s">
        <v>366</v>
      </c>
      <c r="AI26" s="30" t="s">
        <v>367</v>
      </c>
      <c r="AJ26" s="31" t="s">
        <v>364</v>
      </c>
      <c r="AK26" s="26" t="s">
        <v>364</v>
      </c>
      <c r="AL26" s="32"/>
      <c r="AM26" s="32" t="s">
        <v>395</v>
      </c>
      <c r="AN26" s="32" t="s">
        <v>395</v>
      </c>
      <c r="AO26" s="32" t="s">
        <v>395</v>
      </c>
      <c r="AP26" s="32" t="s">
        <v>395</v>
      </c>
      <c r="AQ26" s="32" t="s">
        <v>395</v>
      </c>
      <c r="AR26" s="32" t="s">
        <v>395</v>
      </c>
      <c r="AS26" s="32" t="s">
        <v>395</v>
      </c>
      <c r="AT26" s="32" t="s">
        <v>395</v>
      </c>
      <c r="AU26" s="32" t="s">
        <v>395</v>
      </c>
      <c r="AV26" s="32" t="s">
        <v>395</v>
      </c>
      <c r="AW26" s="27"/>
      <c r="AX26" s="33" t="s">
        <v>330</v>
      </c>
      <c r="AY26" s="34" t="s">
        <v>375</v>
      </c>
    </row>
    <row r="27" spans="1:51" ht="190.5" customHeight="1" x14ac:dyDescent="0.25">
      <c r="A27" s="21" t="s">
        <v>49</v>
      </c>
      <c r="B27" s="22" t="s">
        <v>50</v>
      </c>
      <c r="C27" s="22" t="s">
        <v>90</v>
      </c>
      <c r="D27" s="22" t="s">
        <v>91</v>
      </c>
      <c r="E27" s="23">
        <v>146</v>
      </c>
      <c r="F27" s="21" t="s">
        <v>53</v>
      </c>
      <c r="G27" s="777"/>
      <c r="H27" s="21" t="s">
        <v>92</v>
      </c>
      <c r="I27" s="22" t="s">
        <v>93</v>
      </c>
      <c r="J27" s="23">
        <v>146</v>
      </c>
      <c r="K27" s="23" t="s">
        <v>323</v>
      </c>
      <c r="L27" s="25">
        <v>146</v>
      </c>
      <c r="M27" s="23">
        <v>49</v>
      </c>
      <c r="N27" s="26" t="s">
        <v>93</v>
      </c>
      <c r="O27" s="27">
        <v>10</v>
      </c>
      <c r="P27" s="28">
        <f t="shared" si="0"/>
        <v>192750</v>
      </c>
      <c r="Q27" s="11">
        <v>150000</v>
      </c>
      <c r="R27" s="11"/>
      <c r="S27" s="11"/>
      <c r="T27" s="11"/>
      <c r="U27" s="11"/>
      <c r="V27" s="11"/>
      <c r="W27" s="11"/>
      <c r="X27" s="11"/>
      <c r="Y27" s="11"/>
      <c r="Z27" s="11"/>
      <c r="AA27" s="11"/>
      <c r="AB27" s="11">
        <v>42750</v>
      </c>
      <c r="AC27" s="11"/>
      <c r="AD27" s="11"/>
      <c r="AE27" s="26" t="s">
        <v>370</v>
      </c>
      <c r="AF27" s="26" t="s">
        <v>371</v>
      </c>
      <c r="AG27" s="26" t="s">
        <v>365</v>
      </c>
      <c r="AH27" s="29" t="s">
        <v>366</v>
      </c>
      <c r="AI27" s="30" t="s">
        <v>367</v>
      </c>
      <c r="AJ27" s="38">
        <v>102750</v>
      </c>
      <c r="AK27" s="26" t="s">
        <v>372</v>
      </c>
      <c r="AL27" s="32"/>
      <c r="AM27" s="32" t="s">
        <v>395</v>
      </c>
      <c r="AN27" s="32" t="s">
        <v>395</v>
      </c>
      <c r="AO27" s="32" t="s">
        <v>395</v>
      </c>
      <c r="AP27" s="32" t="s">
        <v>395</v>
      </c>
      <c r="AQ27" s="32" t="s">
        <v>395</v>
      </c>
      <c r="AR27" s="32" t="s">
        <v>395</v>
      </c>
      <c r="AS27" s="32" t="s">
        <v>395</v>
      </c>
      <c r="AT27" s="32" t="s">
        <v>395</v>
      </c>
      <c r="AU27" s="32" t="s">
        <v>395</v>
      </c>
      <c r="AV27" s="32" t="s">
        <v>395</v>
      </c>
      <c r="AW27" s="27"/>
      <c r="AX27" s="33" t="s">
        <v>330</v>
      </c>
      <c r="AY27" s="34" t="s">
        <v>375</v>
      </c>
    </row>
    <row r="28" spans="1:51" ht="172.5" customHeight="1" x14ac:dyDescent="0.25">
      <c r="A28" s="21" t="s">
        <v>49</v>
      </c>
      <c r="B28" s="22" t="s">
        <v>50</v>
      </c>
      <c r="C28" s="21"/>
      <c r="D28" s="21"/>
      <c r="E28" s="21"/>
      <c r="F28" s="21" t="s">
        <v>53</v>
      </c>
      <c r="G28" s="777"/>
      <c r="H28" s="41" t="s">
        <v>94</v>
      </c>
      <c r="I28" s="21" t="s">
        <v>95</v>
      </c>
      <c r="J28" s="23">
        <v>0</v>
      </c>
      <c r="K28" s="23" t="s">
        <v>323</v>
      </c>
      <c r="L28" s="25">
        <v>420</v>
      </c>
      <c r="M28" s="23">
        <v>137</v>
      </c>
      <c r="N28" s="26" t="s">
        <v>95</v>
      </c>
      <c r="O28" s="27">
        <v>10</v>
      </c>
      <c r="P28" s="28">
        <f t="shared" si="0"/>
        <v>192750</v>
      </c>
      <c r="Q28" s="11">
        <v>150000</v>
      </c>
      <c r="R28" s="11"/>
      <c r="S28" s="11"/>
      <c r="T28" s="11"/>
      <c r="U28" s="11"/>
      <c r="V28" s="11"/>
      <c r="W28" s="11"/>
      <c r="X28" s="11"/>
      <c r="Y28" s="11"/>
      <c r="Z28" s="11"/>
      <c r="AA28" s="11"/>
      <c r="AB28" s="11">
        <v>42750</v>
      </c>
      <c r="AC28" s="11"/>
      <c r="AD28" s="11"/>
      <c r="AE28" s="26" t="s">
        <v>370</v>
      </c>
      <c r="AF28" s="26" t="s">
        <v>371</v>
      </c>
      <c r="AG28" s="26" t="s">
        <v>365</v>
      </c>
      <c r="AH28" s="29" t="s">
        <v>366</v>
      </c>
      <c r="AI28" s="30" t="s">
        <v>367</v>
      </c>
      <c r="AJ28" s="38">
        <v>102750</v>
      </c>
      <c r="AK28" s="26" t="s">
        <v>373</v>
      </c>
      <c r="AL28" s="32"/>
      <c r="AM28" s="32" t="s">
        <v>395</v>
      </c>
      <c r="AN28" s="32" t="s">
        <v>395</v>
      </c>
      <c r="AO28" s="32" t="s">
        <v>395</v>
      </c>
      <c r="AP28" s="32" t="s">
        <v>395</v>
      </c>
      <c r="AQ28" s="32" t="s">
        <v>395</v>
      </c>
      <c r="AR28" s="32" t="s">
        <v>395</v>
      </c>
      <c r="AS28" s="32" t="s">
        <v>395</v>
      </c>
      <c r="AT28" s="32" t="s">
        <v>395</v>
      </c>
      <c r="AU28" s="32" t="s">
        <v>395</v>
      </c>
      <c r="AV28" s="32" t="s">
        <v>395</v>
      </c>
      <c r="AW28" s="27"/>
      <c r="AX28" s="33" t="s">
        <v>330</v>
      </c>
      <c r="AY28" s="34" t="s">
        <v>375</v>
      </c>
    </row>
    <row r="29" spans="1:51" ht="77.25" customHeight="1" x14ac:dyDescent="0.25">
      <c r="A29" s="21" t="s">
        <v>49</v>
      </c>
      <c r="B29" s="22" t="s">
        <v>50</v>
      </c>
      <c r="C29" s="763" t="s">
        <v>96</v>
      </c>
      <c r="D29" s="763" t="s">
        <v>97</v>
      </c>
      <c r="E29" s="763">
        <v>125</v>
      </c>
      <c r="F29" s="21" t="s">
        <v>98</v>
      </c>
      <c r="G29" s="778" t="s">
        <v>99</v>
      </c>
      <c r="H29" s="22" t="s">
        <v>100</v>
      </c>
      <c r="I29" s="22" t="s">
        <v>101</v>
      </c>
      <c r="J29" s="23">
        <v>410</v>
      </c>
      <c r="K29" s="23" t="s">
        <v>323</v>
      </c>
      <c r="L29" s="25">
        <v>120</v>
      </c>
      <c r="M29" s="23">
        <v>7</v>
      </c>
      <c r="N29" s="22" t="s">
        <v>101</v>
      </c>
      <c r="O29" s="42">
        <v>6</v>
      </c>
      <c r="P29" s="28">
        <f t="shared" si="0"/>
        <v>1062000</v>
      </c>
      <c r="Q29" s="11">
        <v>187000</v>
      </c>
      <c r="R29" s="11"/>
      <c r="S29" s="11"/>
      <c r="T29" s="11"/>
      <c r="U29" s="11"/>
      <c r="V29" s="11"/>
      <c r="W29" s="11"/>
      <c r="X29" s="11"/>
      <c r="Y29" s="11"/>
      <c r="Z29" s="11"/>
      <c r="AA29" s="11"/>
      <c r="AB29" s="11">
        <v>875000</v>
      </c>
      <c r="AC29" s="11"/>
      <c r="AD29" s="11"/>
      <c r="AE29" s="26" t="s">
        <v>411</v>
      </c>
      <c r="AF29" s="26" t="s">
        <v>412</v>
      </c>
      <c r="AG29" s="26" t="s">
        <v>413</v>
      </c>
      <c r="AH29" s="29" t="s">
        <v>414</v>
      </c>
      <c r="AI29" s="43"/>
      <c r="AJ29" s="38">
        <f>+Q29</f>
        <v>187000</v>
      </c>
      <c r="AK29" s="26" t="s">
        <v>415</v>
      </c>
      <c r="AL29" s="44"/>
      <c r="AM29" s="44" t="s">
        <v>395</v>
      </c>
      <c r="AN29" s="44" t="s">
        <v>395</v>
      </c>
      <c r="AO29" s="44" t="s">
        <v>395</v>
      </c>
      <c r="AP29" s="44" t="s">
        <v>395</v>
      </c>
      <c r="AQ29" s="44" t="s">
        <v>395</v>
      </c>
      <c r="AR29" s="44" t="s">
        <v>395</v>
      </c>
      <c r="AS29" s="44" t="s">
        <v>395</v>
      </c>
      <c r="AT29" s="44" t="s">
        <v>395</v>
      </c>
      <c r="AU29" s="44" t="s">
        <v>395</v>
      </c>
      <c r="AV29" s="44" t="s">
        <v>395</v>
      </c>
      <c r="AW29" s="45" t="s">
        <v>395</v>
      </c>
      <c r="AX29" s="46" t="s">
        <v>332</v>
      </c>
      <c r="AY29" s="43"/>
    </row>
    <row r="30" spans="1:51" ht="89.25" customHeight="1" x14ac:dyDescent="0.25">
      <c r="A30" s="21" t="s">
        <v>49</v>
      </c>
      <c r="B30" s="22" t="s">
        <v>50</v>
      </c>
      <c r="C30" s="764"/>
      <c r="D30" s="764"/>
      <c r="E30" s="764"/>
      <c r="F30" s="21" t="s">
        <v>98</v>
      </c>
      <c r="G30" s="764"/>
      <c r="H30" s="22" t="s">
        <v>102</v>
      </c>
      <c r="I30" s="22" t="s">
        <v>103</v>
      </c>
      <c r="J30" s="23">
        <v>7</v>
      </c>
      <c r="K30" s="23" t="s">
        <v>323</v>
      </c>
      <c r="L30" s="25">
        <v>3</v>
      </c>
      <c r="M30" s="23" t="s">
        <v>327</v>
      </c>
      <c r="N30" s="22" t="s">
        <v>103</v>
      </c>
      <c r="O30" s="42">
        <v>7</v>
      </c>
      <c r="P30" s="28">
        <f t="shared" si="0"/>
        <v>329100</v>
      </c>
      <c r="Q30" s="11">
        <v>177000</v>
      </c>
      <c r="R30" s="11"/>
      <c r="S30" s="11"/>
      <c r="T30" s="11"/>
      <c r="U30" s="11"/>
      <c r="V30" s="11"/>
      <c r="W30" s="11"/>
      <c r="X30" s="11"/>
      <c r="Y30" s="11"/>
      <c r="Z30" s="11">
        <v>152100</v>
      </c>
      <c r="AA30" s="11"/>
      <c r="AB30" s="11"/>
      <c r="AC30" s="11"/>
      <c r="AD30" s="11"/>
      <c r="AE30" s="26" t="s">
        <v>416</v>
      </c>
      <c r="AF30" s="26" t="s">
        <v>412</v>
      </c>
      <c r="AG30" s="26" t="s">
        <v>417</v>
      </c>
      <c r="AH30" s="29" t="s">
        <v>418</v>
      </c>
      <c r="AI30" s="43"/>
      <c r="AJ30" s="38">
        <f>+Q30</f>
        <v>177000</v>
      </c>
      <c r="AK30" s="26" t="s">
        <v>419</v>
      </c>
      <c r="AL30" s="44"/>
      <c r="AM30" s="44" t="s">
        <v>395</v>
      </c>
      <c r="AN30" s="44" t="s">
        <v>395</v>
      </c>
      <c r="AO30" s="44" t="s">
        <v>395</v>
      </c>
      <c r="AP30" s="44" t="s">
        <v>395</v>
      </c>
      <c r="AQ30" s="44" t="s">
        <v>395</v>
      </c>
      <c r="AR30" s="44" t="s">
        <v>395</v>
      </c>
      <c r="AS30" s="44" t="s">
        <v>395</v>
      </c>
      <c r="AT30" s="44" t="s">
        <v>395</v>
      </c>
      <c r="AU30" s="44" t="s">
        <v>395</v>
      </c>
      <c r="AV30" s="44" t="s">
        <v>395</v>
      </c>
      <c r="AW30" s="45" t="s">
        <v>395</v>
      </c>
      <c r="AX30" s="46" t="s">
        <v>332</v>
      </c>
      <c r="AY30" s="43"/>
    </row>
    <row r="31" spans="1:51" ht="132" customHeight="1" x14ac:dyDescent="0.25">
      <c r="A31" s="21" t="s">
        <v>49</v>
      </c>
      <c r="B31" s="22" t="s">
        <v>50</v>
      </c>
      <c r="C31" s="764"/>
      <c r="D31" s="764"/>
      <c r="E31" s="764"/>
      <c r="F31" s="21" t="s">
        <v>98</v>
      </c>
      <c r="G31" s="764"/>
      <c r="H31" s="22" t="s">
        <v>104</v>
      </c>
      <c r="I31" s="47" t="s">
        <v>105</v>
      </c>
      <c r="J31" s="23">
        <v>0</v>
      </c>
      <c r="K31" s="23" t="s">
        <v>323</v>
      </c>
      <c r="L31" s="25">
        <v>3</v>
      </c>
      <c r="M31" s="23" t="s">
        <v>328</v>
      </c>
      <c r="N31" s="47" t="s">
        <v>105</v>
      </c>
      <c r="O31" s="42">
        <v>0</v>
      </c>
      <c r="P31" s="28">
        <f t="shared" si="0"/>
        <v>110000</v>
      </c>
      <c r="Q31" s="11">
        <v>110000</v>
      </c>
      <c r="R31" s="11"/>
      <c r="S31" s="11"/>
      <c r="T31" s="11"/>
      <c r="U31" s="11"/>
      <c r="V31" s="11"/>
      <c r="W31" s="11"/>
      <c r="X31" s="11"/>
      <c r="Y31" s="11"/>
      <c r="Z31" s="11"/>
      <c r="AA31" s="11"/>
      <c r="AB31" s="11"/>
      <c r="AC31" s="11"/>
      <c r="AD31" s="11"/>
      <c r="AE31" s="26" t="s">
        <v>420</v>
      </c>
      <c r="AF31" s="26" t="s">
        <v>412</v>
      </c>
      <c r="AG31" s="26" t="s">
        <v>421</v>
      </c>
      <c r="AH31" s="29" t="s">
        <v>422</v>
      </c>
      <c r="AI31" s="43"/>
      <c r="AJ31" s="38">
        <f>+Q31</f>
        <v>110000</v>
      </c>
      <c r="AK31" s="26" t="s">
        <v>419</v>
      </c>
      <c r="AL31" s="44"/>
      <c r="AM31" s="44" t="s">
        <v>395</v>
      </c>
      <c r="AN31" s="44" t="s">
        <v>395</v>
      </c>
      <c r="AO31" s="44" t="s">
        <v>395</v>
      </c>
      <c r="AP31" s="44" t="s">
        <v>395</v>
      </c>
      <c r="AQ31" s="44" t="s">
        <v>395</v>
      </c>
      <c r="AR31" s="44" t="s">
        <v>395</v>
      </c>
      <c r="AS31" s="44" t="s">
        <v>395</v>
      </c>
      <c r="AT31" s="44" t="s">
        <v>395</v>
      </c>
      <c r="AU31" s="44" t="s">
        <v>395</v>
      </c>
      <c r="AV31" s="44" t="s">
        <v>395</v>
      </c>
      <c r="AW31" s="45" t="s">
        <v>395</v>
      </c>
      <c r="AX31" s="46" t="s">
        <v>332</v>
      </c>
      <c r="AY31" s="43"/>
    </row>
    <row r="32" spans="1:51" ht="87" customHeight="1" x14ac:dyDescent="0.25">
      <c r="A32" s="21" t="s">
        <v>49</v>
      </c>
      <c r="B32" s="22" t="s">
        <v>50</v>
      </c>
      <c r="C32" s="764"/>
      <c r="D32" s="764"/>
      <c r="E32" s="764"/>
      <c r="F32" s="21" t="s">
        <v>98</v>
      </c>
      <c r="G32" s="764"/>
      <c r="H32" s="22" t="s">
        <v>106</v>
      </c>
      <c r="I32" s="22" t="s">
        <v>107</v>
      </c>
      <c r="J32" s="23">
        <v>5</v>
      </c>
      <c r="K32" s="23" t="s">
        <v>323</v>
      </c>
      <c r="L32" s="25">
        <v>5</v>
      </c>
      <c r="M32" s="23">
        <v>1</v>
      </c>
      <c r="N32" s="22" t="s">
        <v>107</v>
      </c>
      <c r="O32" s="42">
        <v>5</v>
      </c>
      <c r="P32" s="28">
        <f t="shared" si="0"/>
        <v>165000</v>
      </c>
      <c r="Q32" s="11">
        <v>120000</v>
      </c>
      <c r="R32" s="11"/>
      <c r="S32" s="11"/>
      <c r="T32" s="11"/>
      <c r="U32" s="11"/>
      <c r="V32" s="11"/>
      <c r="W32" s="11"/>
      <c r="X32" s="11"/>
      <c r="Y32" s="11"/>
      <c r="Z32" s="11">
        <v>45000</v>
      </c>
      <c r="AA32" s="11"/>
      <c r="AB32" s="11"/>
      <c r="AC32" s="11"/>
      <c r="AD32" s="11"/>
      <c r="AE32" s="26" t="s">
        <v>423</v>
      </c>
      <c r="AF32" s="26" t="s">
        <v>412</v>
      </c>
      <c r="AG32" s="26" t="s">
        <v>413</v>
      </c>
      <c r="AH32" s="29" t="s">
        <v>414</v>
      </c>
      <c r="AI32" s="43"/>
      <c r="AJ32" s="38">
        <f>+Q32</f>
        <v>120000</v>
      </c>
      <c r="AK32" s="26" t="s">
        <v>424</v>
      </c>
      <c r="AL32" s="44"/>
      <c r="AM32" s="44"/>
      <c r="AN32" s="44" t="s">
        <v>395</v>
      </c>
      <c r="AO32" s="44" t="s">
        <v>395</v>
      </c>
      <c r="AP32" s="44" t="s">
        <v>395</v>
      </c>
      <c r="AQ32" s="44" t="s">
        <v>395</v>
      </c>
      <c r="AR32" s="44" t="s">
        <v>395</v>
      </c>
      <c r="AS32" s="44" t="s">
        <v>395</v>
      </c>
      <c r="AT32" s="44" t="s">
        <v>395</v>
      </c>
      <c r="AU32" s="44" t="s">
        <v>395</v>
      </c>
      <c r="AV32" s="44" t="s">
        <v>395</v>
      </c>
      <c r="AW32" s="45" t="s">
        <v>395</v>
      </c>
      <c r="AX32" s="46" t="s">
        <v>332</v>
      </c>
      <c r="AY32" s="43"/>
    </row>
    <row r="33" spans="1:51" ht="112.5" customHeight="1" x14ac:dyDescent="0.25">
      <c r="A33" s="21" t="s">
        <v>49</v>
      </c>
      <c r="B33" s="22" t="s">
        <v>50</v>
      </c>
      <c r="C33" s="764"/>
      <c r="D33" s="764"/>
      <c r="E33" s="764"/>
      <c r="F33" s="21" t="s">
        <v>98</v>
      </c>
      <c r="G33" s="764"/>
      <c r="H33" s="22" t="s">
        <v>108</v>
      </c>
      <c r="I33" s="22" t="s">
        <v>109</v>
      </c>
      <c r="J33" s="23">
        <v>60</v>
      </c>
      <c r="K33" s="23" t="s">
        <v>323</v>
      </c>
      <c r="L33" s="25">
        <v>150</v>
      </c>
      <c r="M33" s="23">
        <v>4</v>
      </c>
      <c r="N33" s="22" t="s">
        <v>109</v>
      </c>
      <c r="O33" s="48">
        <v>61</v>
      </c>
      <c r="P33" s="28">
        <f t="shared" si="0"/>
        <v>300000</v>
      </c>
      <c r="Q33" s="11">
        <v>160000</v>
      </c>
      <c r="R33" s="11"/>
      <c r="S33" s="11"/>
      <c r="T33" s="11"/>
      <c r="U33" s="11"/>
      <c r="V33" s="11"/>
      <c r="W33" s="11"/>
      <c r="X33" s="11"/>
      <c r="Y33" s="11"/>
      <c r="Z33" s="11">
        <v>60000</v>
      </c>
      <c r="AA33" s="11"/>
      <c r="AB33" s="11">
        <v>80000</v>
      </c>
      <c r="AC33" s="11"/>
      <c r="AD33" s="11"/>
      <c r="AE33" s="26" t="s">
        <v>425</v>
      </c>
      <c r="AF33" s="26" t="s">
        <v>412</v>
      </c>
      <c r="AG33" s="26" t="s">
        <v>413</v>
      </c>
      <c r="AH33" s="29" t="s">
        <v>414</v>
      </c>
      <c r="AI33" s="43"/>
      <c r="AJ33" s="38">
        <f>+AB33+Q33</f>
        <v>240000</v>
      </c>
      <c r="AK33" s="26" t="s">
        <v>426</v>
      </c>
      <c r="AL33" s="44"/>
      <c r="AM33" s="44"/>
      <c r="AN33" s="44" t="s">
        <v>395</v>
      </c>
      <c r="AO33" s="44" t="s">
        <v>395</v>
      </c>
      <c r="AP33" s="44" t="s">
        <v>395</v>
      </c>
      <c r="AQ33" s="44" t="s">
        <v>395</v>
      </c>
      <c r="AR33" s="44" t="s">
        <v>395</v>
      </c>
      <c r="AS33" s="44" t="s">
        <v>395</v>
      </c>
      <c r="AT33" s="44" t="s">
        <v>395</v>
      </c>
      <c r="AU33" s="44" t="s">
        <v>395</v>
      </c>
      <c r="AV33" s="44" t="s">
        <v>395</v>
      </c>
      <c r="AW33" s="45" t="s">
        <v>395</v>
      </c>
      <c r="AX33" s="46" t="s">
        <v>332</v>
      </c>
      <c r="AY33" s="43"/>
    </row>
    <row r="34" spans="1:51" ht="87" customHeight="1" x14ac:dyDescent="0.25">
      <c r="A34" s="21" t="s">
        <v>49</v>
      </c>
      <c r="B34" s="22" t="s">
        <v>50</v>
      </c>
      <c r="C34" s="764"/>
      <c r="D34" s="764"/>
      <c r="E34" s="764"/>
      <c r="F34" s="21" t="s">
        <v>98</v>
      </c>
      <c r="G34" s="764"/>
      <c r="H34" s="22" t="s">
        <v>110</v>
      </c>
      <c r="I34" s="22" t="s">
        <v>111</v>
      </c>
      <c r="J34" s="23">
        <v>52</v>
      </c>
      <c r="K34" s="23" t="s">
        <v>323</v>
      </c>
      <c r="L34" s="25">
        <v>20</v>
      </c>
      <c r="M34" s="23">
        <v>4</v>
      </c>
      <c r="N34" s="22" t="s">
        <v>111</v>
      </c>
      <c r="O34" s="42">
        <v>52</v>
      </c>
      <c r="P34" s="28">
        <f t="shared" si="0"/>
        <v>528000</v>
      </c>
      <c r="Q34" s="11">
        <v>192000</v>
      </c>
      <c r="R34" s="11"/>
      <c r="S34" s="11"/>
      <c r="T34" s="11"/>
      <c r="U34" s="11"/>
      <c r="V34" s="11"/>
      <c r="W34" s="11"/>
      <c r="X34" s="11"/>
      <c r="Y34" s="11"/>
      <c r="Z34" s="11">
        <v>144000</v>
      </c>
      <c r="AA34" s="11"/>
      <c r="AB34" s="11">
        <v>192000</v>
      </c>
      <c r="AC34" s="11"/>
      <c r="AD34" s="11"/>
      <c r="AE34" s="26" t="s">
        <v>427</v>
      </c>
      <c r="AF34" s="26" t="s">
        <v>412</v>
      </c>
      <c r="AG34" s="26" t="s">
        <v>413</v>
      </c>
      <c r="AH34" s="29" t="s">
        <v>414</v>
      </c>
      <c r="AI34" s="49"/>
      <c r="AJ34" s="38">
        <f>+AB34+Q34</f>
        <v>384000</v>
      </c>
      <c r="AK34" s="26" t="s">
        <v>428</v>
      </c>
      <c r="AL34" s="44"/>
      <c r="AM34" s="44"/>
      <c r="AN34" s="44" t="s">
        <v>395</v>
      </c>
      <c r="AO34" s="44" t="s">
        <v>395</v>
      </c>
      <c r="AP34" s="44" t="s">
        <v>395</v>
      </c>
      <c r="AQ34" s="44" t="s">
        <v>395</v>
      </c>
      <c r="AR34" s="44" t="s">
        <v>395</v>
      </c>
      <c r="AS34" s="44" t="s">
        <v>395</v>
      </c>
      <c r="AT34" s="44" t="s">
        <v>395</v>
      </c>
      <c r="AU34" s="44" t="s">
        <v>395</v>
      </c>
      <c r="AV34" s="44" t="s">
        <v>395</v>
      </c>
      <c r="AW34" s="45" t="s">
        <v>395</v>
      </c>
      <c r="AX34" s="46" t="s">
        <v>332</v>
      </c>
      <c r="AY34" s="43"/>
    </row>
    <row r="35" spans="1:51" ht="75" customHeight="1" x14ac:dyDescent="0.25">
      <c r="A35" s="21" t="s">
        <v>49</v>
      </c>
      <c r="B35" s="22" t="s">
        <v>50</v>
      </c>
      <c r="C35" s="764"/>
      <c r="D35" s="764"/>
      <c r="E35" s="764"/>
      <c r="F35" s="21" t="s">
        <v>98</v>
      </c>
      <c r="G35" s="764"/>
      <c r="H35" s="22" t="s">
        <v>112</v>
      </c>
      <c r="I35" s="22" t="s">
        <v>113</v>
      </c>
      <c r="J35" s="23">
        <v>16</v>
      </c>
      <c r="K35" s="23" t="s">
        <v>323</v>
      </c>
      <c r="L35" s="25">
        <v>10</v>
      </c>
      <c r="M35" s="23">
        <v>1</v>
      </c>
      <c r="N35" s="22" t="s">
        <v>113</v>
      </c>
      <c r="O35" s="42">
        <v>16</v>
      </c>
      <c r="P35" s="28">
        <f t="shared" si="0"/>
        <v>290000</v>
      </c>
      <c r="Q35" s="11">
        <v>40000</v>
      </c>
      <c r="R35" s="11"/>
      <c r="S35" s="11"/>
      <c r="T35" s="11"/>
      <c r="U35" s="11"/>
      <c r="V35" s="11"/>
      <c r="W35" s="11"/>
      <c r="X35" s="11"/>
      <c r="Y35" s="11"/>
      <c r="Z35" s="11">
        <v>180000</v>
      </c>
      <c r="AA35" s="11"/>
      <c r="AB35" s="11">
        <v>70000</v>
      </c>
      <c r="AC35" s="11"/>
      <c r="AD35" s="11"/>
      <c r="AE35" s="26" t="s">
        <v>429</v>
      </c>
      <c r="AF35" s="26" t="s">
        <v>412</v>
      </c>
      <c r="AG35" s="26" t="s">
        <v>413</v>
      </c>
      <c r="AH35" s="29" t="s">
        <v>414</v>
      </c>
      <c r="AI35" s="26"/>
      <c r="AJ35" s="38">
        <f>+AB35+Q35</f>
        <v>110000</v>
      </c>
      <c r="AK35" s="26" t="s">
        <v>430</v>
      </c>
      <c r="AL35" s="44"/>
      <c r="AM35" s="44"/>
      <c r="AN35" s="44" t="s">
        <v>395</v>
      </c>
      <c r="AO35" s="44" t="s">
        <v>395</v>
      </c>
      <c r="AP35" s="44" t="s">
        <v>395</v>
      </c>
      <c r="AQ35" s="44" t="s">
        <v>395</v>
      </c>
      <c r="AR35" s="44" t="s">
        <v>395</v>
      </c>
      <c r="AS35" s="44" t="s">
        <v>395</v>
      </c>
      <c r="AT35" s="44" t="s">
        <v>395</v>
      </c>
      <c r="AU35" s="44" t="s">
        <v>395</v>
      </c>
      <c r="AV35" s="44" t="s">
        <v>395</v>
      </c>
      <c r="AW35" s="45" t="s">
        <v>395</v>
      </c>
      <c r="AX35" s="46" t="s">
        <v>332</v>
      </c>
      <c r="AY35" s="43"/>
    </row>
    <row r="36" spans="1:51" ht="89.25" customHeight="1" x14ac:dyDescent="0.25">
      <c r="A36" s="21" t="s">
        <v>49</v>
      </c>
      <c r="B36" s="22" t="s">
        <v>50</v>
      </c>
      <c r="C36" s="764"/>
      <c r="D36" s="764"/>
      <c r="E36" s="764"/>
      <c r="F36" s="21" t="s">
        <v>98</v>
      </c>
      <c r="G36" s="764"/>
      <c r="H36" s="22" t="s">
        <v>114</v>
      </c>
      <c r="I36" s="22" t="s">
        <v>115</v>
      </c>
      <c r="J36" s="23">
        <v>7</v>
      </c>
      <c r="K36" s="23" t="s">
        <v>323</v>
      </c>
      <c r="L36" s="25">
        <v>6</v>
      </c>
      <c r="M36" s="23">
        <f>(1+1)</f>
        <v>2</v>
      </c>
      <c r="N36" s="22" t="s">
        <v>115</v>
      </c>
      <c r="O36" s="42">
        <v>7</v>
      </c>
      <c r="P36" s="28">
        <f t="shared" si="0"/>
        <v>680000</v>
      </c>
      <c r="Q36" s="11">
        <f>(360000+320000)</f>
        <v>680000</v>
      </c>
      <c r="R36" s="11"/>
      <c r="S36" s="11"/>
      <c r="T36" s="11"/>
      <c r="U36" s="11"/>
      <c r="V36" s="11"/>
      <c r="W36" s="11"/>
      <c r="X36" s="11"/>
      <c r="Y36" s="11"/>
      <c r="Z36" s="11"/>
      <c r="AA36" s="11"/>
      <c r="AB36" s="11"/>
      <c r="AC36" s="11"/>
      <c r="AD36" s="11"/>
      <c r="AE36" s="26" t="s">
        <v>431</v>
      </c>
      <c r="AF36" s="26" t="s">
        <v>412</v>
      </c>
      <c r="AG36" s="26" t="s">
        <v>413</v>
      </c>
      <c r="AH36" s="29" t="s">
        <v>414</v>
      </c>
      <c r="AI36" s="26"/>
      <c r="AJ36" s="38">
        <f>+AB36+Q36</f>
        <v>680000</v>
      </c>
      <c r="AK36" s="22" t="s">
        <v>432</v>
      </c>
      <c r="AL36" s="44"/>
      <c r="AM36" s="44"/>
      <c r="AN36" s="44" t="s">
        <v>395</v>
      </c>
      <c r="AO36" s="44" t="s">
        <v>395</v>
      </c>
      <c r="AP36" s="44" t="s">
        <v>395</v>
      </c>
      <c r="AQ36" s="44" t="s">
        <v>395</v>
      </c>
      <c r="AR36" s="44" t="s">
        <v>395</v>
      </c>
      <c r="AS36" s="44" t="s">
        <v>395</v>
      </c>
      <c r="AT36" s="44" t="s">
        <v>395</v>
      </c>
      <c r="AU36" s="44" t="s">
        <v>395</v>
      </c>
      <c r="AV36" s="44" t="s">
        <v>395</v>
      </c>
      <c r="AW36" s="45" t="s">
        <v>395</v>
      </c>
      <c r="AX36" s="46" t="s">
        <v>332</v>
      </c>
      <c r="AY36" s="43"/>
    </row>
    <row r="37" spans="1:51" ht="74.25" customHeight="1" x14ac:dyDescent="0.25">
      <c r="A37" s="21" t="s">
        <v>49</v>
      </c>
      <c r="B37" s="22" t="s">
        <v>50</v>
      </c>
      <c r="C37" s="764"/>
      <c r="D37" s="764"/>
      <c r="E37" s="764"/>
      <c r="F37" s="21" t="s">
        <v>98</v>
      </c>
      <c r="G37" s="764"/>
      <c r="H37" s="22" t="s">
        <v>116</v>
      </c>
      <c r="I37" s="22" t="s">
        <v>117</v>
      </c>
      <c r="J37" s="23">
        <v>0</v>
      </c>
      <c r="K37" s="23" t="s">
        <v>323</v>
      </c>
      <c r="L37" s="25">
        <v>25</v>
      </c>
      <c r="M37" s="23">
        <f>(2+1)</f>
        <v>3</v>
      </c>
      <c r="N37" s="22" t="s">
        <v>117</v>
      </c>
      <c r="O37" s="42">
        <v>2</v>
      </c>
      <c r="P37" s="28">
        <f t="shared" si="0"/>
        <v>470000</v>
      </c>
      <c r="Q37" s="11">
        <f>(320000+130000)</f>
        <v>450000</v>
      </c>
      <c r="R37" s="11"/>
      <c r="S37" s="11"/>
      <c r="T37" s="11"/>
      <c r="U37" s="11"/>
      <c r="V37" s="11"/>
      <c r="W37" s="11"/>
      <c r="X37" s="11"/>
      <c r="Y37" s="11"/>
      <c r="Z37" s="11"/>
      <c r="AA37" s="11"/>
      <c r="AB37" s="11">
        <v>20000</v>
      </c>
      <c r="AC37" s="11"/>
      <c r="AD37" s="11"/>
      <c r="AE37" s="26" t="s">
        <v>414</v>
      </c>
      <c r="AF37" s="26" t="s">
        <v>414</v>
      </c>
      <c r="AG37" s="26" t="s">
        <v>414</v>
      </c>
      <c r="AH37" s="26" t="s">
        <v>414</v>
      </c>
      <c r="AI37" s="26" t="s">
        <v>414</v>
      </c>
      <c r="AJ37" s="26" t="s">
        <v>414</v>
      </c>
      <c r="AK37" s="26" t="s">
        <v>414</v>
      </c>
      <c r="AL37" s="44"/>
      <c r="AM37" s="44"/>
      <c r="AN37" s="44" t="s">
        <v>395</v>
      </c>
      <c r="AO37" s="44" t="s">
        <v>395</v>
      </c>
      <c r="AP37" s="44" t="s">
        <v>395</v>
      </c>
      <c r="AQ37" s="44" t="s">
        <v>395</v>
      </c>
      <c r="AR37" s="44" t="s">
        <v>395</v>
      </c>
      <c r="AS37" s="44" t="s">
        <v>395</v>
      </c>
      <c r="AT37" s="44" t="s">
        <v>395</v>
      </c>
      <c r="AU37" s="44" t="s">
        <v>395</v>
      </c>
      <c r="AV37" s="44" t="s">
        <v>395</v>
      </c>
      <c r="AW37" s="45" t="s">
        <v>395</v>
      </c>
      <c r="AX37" s="46" t="s">
        <v>332</v>
      </c>
      <c r="AY37" s="43"/>
    </row>
    <row r="38" spans="1:51" ht="75" customHeight="1" x14ac:dyDescent="0.25">
      <c r="A38" s="21" t="s">
        <v>49</v>
      </c>
      <c r="B38" s="22" t="s">
        <v>50</v>
      </c>
      <c r="C38" s="764"/>
      <c r="D38" s="764"/>
      <c r="E38" s="764"/>
      <c r="F38" s="21" t="s">
        <v>98</v>
      </c>
      <c r="G38" s="764"/>
      <c r="H38" s="22" t="s">
        <v>118</v>
      </c>
      <c r="I38" s="22" t="s">
        <v>119</v>
      </c>
      <c r="J38" s="23">
        <v>135</v>
      </c>
      <c r="K38" s="23" t="s">
        <v>323</v>
      </c>
      <c r="L38" s="25">
        <v>10</v>
      </c>
      <c r="M38" s="23">
        <f>(3+2)</f>
        <v>5</v>
      </c>
      <c r="N38" s="22" t="s">
        <v>119</v>
      </c>
      <c r="O38" s="42">
        <v>137</v>
      </c>
      <c r="P38" s="28">
        <f t="shared" si="0"/>
        <v>220000</v>
      </c>
      <c r="Q38" s="11">
        <f>(120000+60000)</f>
        <v>180000</v>
      </c>
      <c r="R38" s="11"/>
      <c r="S38" s="11"/>
      <c r="T38" s="11"/>
      <c r="U38" s="11"/>
      <c r="V38" s="11"/>
      <c r="W38" s="11"/>
      <c r="X38" s="11"/>
      <c r="Y38" s="11"/>
      <c r="Z38" s="11"/>
      <c r="AA38" s="11"/>
      <c r="AB38" s="11">
        <v>40000</v>
      </c>
      <c r="AC38" s="11"/>
      <c r="AD38" s="11"/>
      <c r="AE38" s="26" t="s">
        <v>414</v>
      </c>
      <c r="AF38" s="26" t="s">
        <v>414</v>
      </c>
      <c r="AG38" s="26" t="s">
        <v>414</v>
      </c>
      <c r="AH38" s="26" t="s">
        <v>414</v>
      </c>
      <c r="AI38" s="26" t="s">
        <v>414</v>
      </c>
      <c r="AJ38" s="26" t="s">
        <v>414</v>
      </c>
      <c r="AK38" s="26" t="s">
        <v>414</v>
      </c>
      <c r="AL38" s="44"/>
      <c r="AM38" s="44"/>
      <c r="AN38" s="44" t="s">
        <v>395</v>
      </c>
      <c r="AO38" s="44" t="s">
        <v>395</v>
      </c>
      <c r="AP38" s="44" t="s">
        <v>395</v>
      </c>
      <c r="AQ38" s="44" t="s">
        <v>395</v>
      </c>
      <c r="AR38" s="44" t="s">
        <v>395</v>
      </c>
      <c r="AS38" s="44" t="s">
        <v>395</v>
      </c>
      <c r="AT38" s="44" t="s">
        <v>395</v>
      </c>
      <c r="AU38" s="44" t="s">
        <v>395</v>
      </c>
      <c r="AV38" s="44" t="s">
        <v>395</v>
      </c>
      <c r="AW38" s="45" t="s">
        <v>395</v>
      </c>
      <c r="AX38" s="41" t="s">
        <v>332</v>
      </c>
      <c r="AY38" s="49"/>
    </row>
    <row r="39" spans="1:51" ht="70.5" customHeight="1" x14ac:dyDescent="0.25">
      <c r="A39" s="21" t="s">
        <v>49</v>
      </c>
      <c r="B39" s="22" t="s">
        <v>50</v>
      </c>
      <c r="C39" s="764"/>
      <c r="D39" s="764"/>
      <c r="E39" s="764"/>
      <c r="F39" s="21" t="s">
        <v>98</v>
      </c>
      <c r="G39" s="764"/>
      <c r="H39" s="22" t="s">
        <v>120</v>
      </c>
      <c r="I39" s="22" t="s">
        <v>121</v>
      </c>
      <c r="J39" s="23">
        <v>0</v>
      </c>
      <c r="K39" s="23" t="s">
        <v>323</v>
      </c>
      <c r="L39" s="25">
        <v>50</v>
      </c>
      <c r="M39" s="23">
        <v>25</v>
      </c>
      <c r="N39" s="22" t="s">
        <v>121</v>
      </c>
      <c r="O39" s="42">
        <v>0</v>
      </c>
      <c r="P39" s="28">
        <f t="shared" si="0"/>
        <v>150000</v>
      </c>
      <c r="Q39" s="11">
        <v>150000</v>
      </c>
      <c r="R39" s="11"/>
      <c r="S39" s="11"/>
      <c r="T39" s="11"/>
      <c r="U39" s="11"/>
      <c r="V39" s="11"/>
      <c r="W39" s="11"/>
      <c r="X39" s="11"/>
      <c r="Y39" s="11"/>
      <c r="Z39" s="11"/>
      <c r="AA39" s="11"/>
      <c r="AB39" s="11"/>
      <c r="AC39" s="11"/>
      <c r="AD39" s="11"/>
      <c r="AE39" s="26" t="s">
        <v>433</v>
      </c>
      <c r="AF39" s="26" t="s">
        <v>412</v>
      </c>
      <c r="AG39" s="26" t="s">
        <v>413</v>
      </c>
      <c r="AH39" s="29" t="s">
        <v>414</v>
      </c>
      <c r="AI39" s="26"/>
      <c r="AJ39" s="38">
        <f>+AB39+Q39</f>
        <v>150000</v>
      </c>
      <c r="AK39" s="26" t="s">
        <v>434</v>
      </c>
      <c r="AL39" s="44"/>
      <c r="AM39" s="44" t="s">
        <v>395</v>
      </c>
      <c r="AN39" s="44" t="s">
        <v>395</v>
      </c>
      <c r="AO39" s="44" t="s">
        <v>395</v>
      </c>
      <c r="AP39" s="44" t="s">
        <v>395</v>
      </c>
      <c r="AQ39" s="44" t="s">
        <v>395</v>
      </c>
      <c r="AR39" s="44" t="s">
        <v>395</v>
      </c>
      <c r="AS39" s="44" t="s">
        <v>395</v>
      </c>
      <c r="AT39" s="44" t="s">
        <v>395</v>
      </c>
      <c r="AU39" s="44" t="s">
        <v>395</v>
      </c>
      <c r="AV39" s="44" t="s">
        <v>395</v>
      </c>
      <c r="AW39" s="45" t="s">
        <v>395</v>
      </c>
      <c r="AX39" s="22" t="s">
        <v>332</v>
      </c>
      <c r="AY39" s="26"/>
    </row>
    <row r="40" spans="1:51" ht="82.5" customHeight="1" x14ac:dyDescent="0.25">
      <c r="A40" s="21" t="s">
        <v>49</v>
      </c>
      <c r="B40" s="22" t="s">
        <v>50</v>
      </c>
      <c r="C40" s="764"/>
      <c r="D40" s="764"/>
      <c r="E40" s="764"/>
      <c r="F40" s="21" t="s">
        <v>98</v>
      </c>
      <c r="G40" s="764"/>
      <c r="H40" s="22" t="s">
        <v>122</v>
      </c>
      <c r="I40" s="22" t="s">
        <v>123</v>
      </c>
      <c r="J40" s="23">
        <v>30</v>
      </c>
      <c r="K40" s="23" t="s">
        <v>323</v>
      </c>
      <c r="L40" s="25">
        <v>5</v>
      </c>
      <c r="M40" s="23">
        <v>1</v>
      </c>
      <c r="N40" s="22" t="s">
        <v>123</v>
      </c>
      <c r="O40" s="48">
        <v>31</v>
      </c>
      <c r="P40" s="28">
        <f t="shared" si="0"/>
        <v>495599</v>
      </c>
      <c r="Q40" s="11">
        <f>(270000+25599)</f>
        <v>295599</v>
      </c>
      <c r="R40" s="11"/>
      <c r="S40" s="11"/>
      <c r="T40" s="11"/>
      <c r="U40" s="11"/>
      <c r="V40" s="11"/>
      <c r="W40" s="11">
        <v>200000</v>
      </c>
      <c r="X40" s="11"/>
      <c r="Y40" s="11"/>
      <c r="Z40" s="11"/>
      <c r="AA40" s="11"/>
      <c r="AB40" s="11"/>
      <c r="AC40" s="11"/>
      <c r="AD40" s="11"/>
      <c r="AE40" s="26" t="s">
        <v>435</v>
      </c>
      <c r="AF40" s="26" t="s">
        <v>412</v>
      </c>
      <c r="AG40" s="26" t="s">
        <v>413</v>
      </c>
      <c r="AH40" s="29" t="s">
        <v>414</v>
      </c>
      <c r="AI40" s="26"/>
      <c r="AJ40" s="38">
        <f>+AB40+Q40</f>
        <v>295599</v>
      </c>
      <c r="AK40" s="26" t="s">
        <v>436</v>
      </c>
      <c r="AL40" s="44"/>
      <c r="AM40" s="44" t="s">
        <v>395</v>
      </c>
      <c r="AN40" s="44" t="s">
        <v>395</v>
      </c>
      <c r="AO40" s="44" t="s">
        <v>395</v>
      </c>
      <c r="AP40" s="44" t="s">
        <v>395</v>
      </c>
      <c r="AQ40" s="44" t="s">
        <v>395</v>
      </c>
      <c r="AR40" s="44" t="s">
        <v>395</v>
      </c>
      <c r="AS40" s="44" t="s">
        <v>395</v>
      </c>
      <c r="AT40" s="44" t="s">
        <v>395</v>
      </c>
      <c r="AU40" s="44" t="s">
        <v>395</v>
      </c>
      <c r="AV40" s="44" t="s">
        <v>395</v>
      </c>
      <c r="AW40" s="45" t="s">
        <v>395</v>
      </c>
      <c r="AX40" s="22" t="s">
        <v>332</v>
      </c>
      <c r="AY40" s="26"/>
    </row>
    <row r="41" spans="1:51" ht="73.5" customHeight="1" x14ac:dyDescent="0.25">
      <c r="A41" s="21" t="s">
        <v>49</v>
      </c>
      <c r="B41" s="22" t="s">
        <v>50</v>
      </c>
      <c r="C41" s="765"/>
      <c r="D41" s="765"/>
      <c r="E41" s="765"/>
      <c r="F41" s="21" t="s">
        <v>98</v>
      </c>
      <c r="G41" s="765"/>
      <c r="H41" s="22" t="s">
        <v>124</v>
      </c>
      <c r="I41" s="22" t="s">
        <v>125</v>
      </c>
      <c r="J41" s="23">
        <v>0</v>
      </c>
      <c r="K41" s="23" t="s">
        <v>323</v>
      </c>
      <c r="L41" s="25">
        <v>35</v>
      </c>
      <c r="M41" s="23">
        <f>(8+2)</f>
        <v>10</v>
      </c>
      <c r="N41" s="22" t="s">
        <v>125</v>
      </c>
      <c r="O41" s="42">
        <v>0</v>
      </c>
      <c r="P41" s="28">
        <f t="shared" si="0"/>
        <v>735000</v>
      </c>
      <c r="Q41" s="11">
        <f>(294000+147000)</f>
        <v>441000</v>
      </c>
      <c r="R41" s="11"/>
      <c r="S41" s="11"/>
      <c r="T41" s="11"/>
      <c r="U41" s="11"/>
      <c r="V41" s="11"/>
      <c r="W41" s="11"/>
      <c r="X41" s="11"/>
      <c r="Y41" s="11"/>
      <c r="Z41" s="11"/>
      <c r="AA41" s="11"/>
      <c r="AB41" s="11">
        <v>294000</v>
      </c>
      <c r="AC41" s="11"/>
      <c r="AD41" s="11"/>
      <c r="AE41" s="26" t="s">
        <v>437</v>
      </c>
      <c r="AF41" s="26" t="s">
        <v>412</v>
      </c>
      <c r="AG41" s="26" t="s">
        <v>413</v>
      </c>
      <c r="AH41" s="29" t="s">
        <v>414</v>
      </c>
      <c r="AI41" s="26"/>
      <c r="AJ41" s="38">
        <f>+AB41+Q41</f>
        <v>735000</v>
      </c>
      <c r="AK41" s="26" t="s">
        <v>438</v>
      </c>
      <c r="AL41" s="44"/>
      <c r="AM41" s="44" t="s">
        <v>395</v>
      </c>
      <c r="AN41" s="44" t="s">
        <v>395</v>
      </c>
      <c r="AO41" s="44" t="s">
        <v>395</v>
      </c>
      <c r="AP41" s="44" t="s">
        <v>395</v>
      </c>
      <c r="AQ41" s="44" t="s">
        <v>395</v>
      </c>
      <c r="AR41" s="44" t="s">
        <v>395</v>
      </c>
      <c r="AS41" s="44" t="s">
        <v>395</v>
      </c>
      <c r="AT41" s="44" t="s">
        <v>395</v>
      </c>
      <c r="AU41" s="44" t="s">
        <v>395</v>
      </c>
      <c r="AV41" s="44" t="s">
        <v>395</v>
      </c>
      <c r="AW41" s="45" t="s">
        <v>395</v>
      </c>
      <c r="AX41" s="22" t="s">
        <v>332</v>
      </c>
      <c r="AY41" s="26"/>
    </row>
    <row r="42" spans="1:51" ht="84" customHeight="1" x14ac:dyDescent="0.25">
      <c r="A42" s="21" t="s">
        <v>49</v>
      </c>
      <c r="B42" s="22" t="s">
        <v>50</v>
      </c>
      <c r="C42" s="23" t="s">
        <v>126</v>
      </c>
      <c r="D42" s="23" t="s">
        <v>127</v>
      </c>
      <c r="E42" s="23" t="s">
        <v>128</v>
      </c>
      <c r="F42" s="21" t="s">
        <v>129</v>
      </c>
      <c r="G42" s="763" t="s">
        <v>130</v>
      </c>
      <c r="H42" s="22" t="s">
        <v>131</v>
      </c>
      <c r="I42" s="22" t="s">
        <v>132</v>
      </c>
      <c r="J42" s="23">
        <v>891</v>
      </c>
      <c r="K42" s="23" t="s">
        <v>323</v>
      </c>
      <c r="L42" s="25">
        <v>4300</v>
      </c>
      <c r="M42" s="23">
        <v>1200</v>
      </c>
      <c r="N42" s="44" t="s">
        <v>132</v>
      </c>
      <c r="O42" s="32">
        <v>1691</v>
      </c>
      <c r="P42" s="28">
        <f t="shared" si="0"/>
        <v>600600</v>
      </c>
      <c r="Q42" s="11">
        <f>(33000+13200)</f>
        <v>46200</v>
      </c>
      <c r="R42" s="11"/>
      <c r="S42" s="11"/>
      <c r="T42" s="11"/>
      <c r="U42" s="11"/>
      <c r="V42" s="11"/>
      <c r="W42" s="11"/>
      <c r="X42" s="11"/>
      <c r="Y42" s="11"/>
      <c r="Z42" s="11">
        <v>470399.99999999994</v>
      </c>
      <c r="AA42" s="11"/>
      <c r="AB42" s="11">
        <v>84000</v>
      </c>
      <c r="AC42" s="11"/>
      <c r="AD42" s="11"/>
      <c r="AE42" s="26" t="s">
        <v>439</v>
      </c>
      <c r="AF42" s="26" t="s">
        <v>364</v>
      </c>
      <c r="AG42" s="26" t="s">
        <v>440</v>
      </c>
      <c r="AH42" s="26" t="s">
        <v>441</v>
      </c>
      <c r="AI42" s="50" t="s">
        <v>535</v>
      </c>
      <c r="AJ42" s="51">
        <v>13200</v>
      </c>
      <c r="AK42" s="50" t="s">
        <v>536</v>
      </c>
      <c r="AL42" s="44" t="s">
        <v>395</v>
      </c>
      <c r="AM42" s="44" t="s">
        <v>395</v>
      </c>
      <c r="AN42" s="44" t="s">
        <v>395</v>
      </c>
      <c r="AO42" s="52" t="s">
        <v>395</v>
      </c>
      <c r="AP42" s="44" t="s">
        <v>395</v>
      </c>
      <c r="AQ42" s="44" t="s">
        <v>395</v>
      </c>
      <c r="AR42" s="44" t="s">
        <v>395</v>
      </c>
      <c r="AS42" s="44" t="s">
        <v>395</v>
      </c>
      <c r="AT42" s="44" t="s">
        <v>395</v>
      </c>
      <c r="AU42" s="44" t="s">
        <v>395</v>
      </c>
      <c r="AV42" s="44" t="s">
        <v>395</v>
      </c>
      <c r="AW42" s="44" t="s">
        <v>395</v>
      </c>
      <c r="AX42" s="26" t="s">
        <v>333</v>
      </c>
      <c r="AY42" s="26" t="s">
        <v>597</v>
      </c>
    </row>
    <row r="43" spans="1:51" ht="86.25" customHeight="1" x14ac:dyDescent="0.25">
      <c r="A43" s="21" t="s">
        <v>49</v>
      </c>
      <c r="B43" s="22" t="s">
        <v>50</v>
      </c>
      <c r="C43" s="23" t="s">
        <v>133</v>
      </c>
      <c r="D43" s="23" t="s">
        <v>134</v>
      </c>
      <c r="E43" s="23" t="s">
        <v>135</v>
      </c>
      <c r="F43" s="21" t="s">
        <v>129</v>
      </c>
      <c r="G43" s="764"/>
      <c r="H43" s="22" t="s">
        <v>136</v>
      </c>
      <c r="I43" s="22" t="s">
        <v>137</v>
      </c>
      <c r="J43" s="23">
        <v>79522</v>
      </c>
      <c r="K43" s="23" t="s">
        <v>323</v>
      </c>
      <c r="L43" s="25">
        <v>4300</v>
      </c>
      <c r="M43" s="23">
        <v>1200</v>
      </c>
      <c r="N43" s="44" t="s">
        <v>137</v>
      </c>
      <c r="O43" s="32">
        <v>80322</v>
      </c>
      <c r="P43" s="28">
        <f t="shared" si="0"/>
        <v>5039978.95</v>
      </c>
      <c r="Q43" s="11">
        <v>28000</v>
      </c>
      <c r="R43" s="11"/>
      <c r="S43" s="11"/>
      <c r="T43" s="11"/>
      <c r="U43" s="11"/>
      <c r="V43" s="11"/>
      <c r="W43" s="11"/>
      <c r="X43" s="11"/>
      <c r="Y43" s="11"/>
      <c r="Z43" s="11">
        <v>5011978.95</v>
      </c>
      <c r="AA43" s="11"/>
      <c r="AB43" s="11"/>
      <c r="AC43" s="11"/>
      <c r="AD43" s="11"/>
      <c r="AE43" s="26" t="s">
        <v>443</v>
      </c>
      <c r="AF43" s="26" t="s">
        <v>364</v>
      </c>
      <c r="AG43" s="26" t="s">
        <v>444</v>
      </c>
      <c r="AH43" s="26" t="s">
        <v>445</v>
      </c>
      <c r="AI43" s="51" t="s">
        <v>446</v>
      </c>
      <c r="AJ43" s="53">
        <v>4308559</v>
      </c>
      <c r="AK43" s="50" t="s">
        <v>537</v>
      </c>
      <c r="AL43" s="26"/>
      <c r="AM43" s="50" t="s">
        <v>395</v>
      </c>
      <c r="AN43" s="50" t="s">
        <v>395</v>
      </c>
      <c r="AO43" s="50" t="s">
        <v>395</v>
      </c>
      <c r="AP43" s="50" t="s">
        <v>395</v>
      </c>
      <c r="AQ43" s="50" t="s">
        <v>395</v>
      </c>
      <c r="AR43" s="50" t="s">
        <v>395</v>
      </c>
      <c r="AS43" s="50" t="s">
        <v>395</v>
      </c>
      <c r="AT43" s="50" t="s">
        <v>395</v>
      </c>
      <c r="AU43" s="50" t="s">
        <v>395</v>
      </c>
      <c r="AV43" s="50" t="s">
        <v>395</v>
      </c>
      <c r="AW43" s="26"/>
      <c r="AX43" s="26" t="s">
        <v>334</v>
      </c>
      <c r="AY43" s="26" t="s">
        <v>598</v>
      </c>
    </row>
    <row r="44" spans="1:51" ht="138" customHeight="1" x14ac:dyDescent="0.25">
      <c r="A44" s="21" t="s">
        <v>49</v>
      </c>
      <c r="B44" s="22" t="s">
        <v>50</v>
      </c>
      <c r="C44" s="763" t="s">
        <v>138</v>
      </c>
      <c r="D44" s="763" t="s">
        <v>139</v>
      </c>
      <c r="E44" s="763" t="s">
        <v>140</v>
      </c>
      <c r="F44" s="21" t="s">
        <v>129</v>
      </c>
      <c r="G44" s="764"/>
      <c r="H44" s="22" t="s">
        <v>141</v>
      </c>
      <c r="I44" s="22" t="s">
        <v>142</v>
      </c>
      <c r="J44" s="23">
        <v>0</v>
      </c>
      <c r="K44" s="23" t="s">
        <v>323</v>
      </c>
      <c r="L44" s="25">
        <v>100</v>
      </c>
      <c r="M44" s="23">
        <v>16</v>
      </c>
      <c r="N44" s="44" t="s">
        <v>142</v>
      </c>
      <c r="O44" s="32">
        <v>14</v>
      </c>
      <c r="P44" s="28">
        <f t="shared" si="0"/>
        <v>105000</v>
      </c>
      <c r="Q44" s="11">
        <f>(35000+30000)</f>
        <v>65000</v>
      </c>
      <c r="R44" s="11"/>
      <c r="S44" s="11"/>
      <c r="T44" s="11"/>
      <c r="U44" s="11"/>
      <c r="V44" s="11"/>
      <c r="W44" s="11"/>
      <c r="X44" s="11"/>
      <c r="Y44" s="11">
        <v>40000</v>
      </c>
      <c r="Z44" s="11"/>
      <c r="AA44" s="11"/>
      <c r="AB44" s="11"/>
      <c r="AC44" s="11"/>
      <c r="AD44" s="11"/>
      <c r="AE44" s="26" t="s">
        <v>447</v>
      </c>
      <c r="AF44" s="26" t="s">
        <v>364</v>
      </c>
      <c r="AG44" s="26" t="s">
        <v>448</v>
      </c>
      <c r="AH44" s="26" t="s">
        <v>449</v>
      </c>
      <c r="AI44" s="26" t="s">
        <v>450</v>
      </c>
      <c r="AJ44" s="51">
        <v>60000</v>
      </c>
      <c r="AK44" s="50" t="s">
        <v>538</v>
      </c>
      <c r="AL44" s="44"/>
      <c r="AM44" s="52" t="s">
        <v>395</v>
      </c>
      <c r="AN44" s="44" t="s">
        <v>395</v>
      </c>
      <c r="AO44" s="44" t="s">
        <v>395</v>
      </c>
      <c r="AP44" s="44" t="s">
        <v>395</v>
      </c>
      <c r="AQ44" s="44" t="s">
        <v>395</v>
      </c>
      <c r="AR44" s="44" t="s">
        <v>395</v>
      </c>
      <c r="AS44" s="44" t="s">
        <v>395</v>
      </c>
      <c r="AT44" s="44" t="s">
        <v>395</v>
      </c>
      <c r="AU44" s="44" t="s">
        <v>395</v>
      </c>
      <c r="AV44" s="44" t="s">
        <v>395</v>
      </c>
      <c r="AW44" s="44"/>
      <c r="AX44" s="26" t="s">
        <v>335</v>
      </c>
      <c r="AY44" s="26" t="s">
        <v>599</v>
      </c>
    </row>
    <row r="45" spans="1:51" ht="105" customHeight="1" x14ac:dyDescent="0.25">
      <c r="A45" s="21" t="s">
        <v>49</v>
      </c>
      <c r="B45" s="22" t="s">
        <v>50</v>
      </c>
      <c r="C45" s="764"/>
      <c r="D45" s="764"/>
      <c r="E45" s="764"/>
      <c r="F45" s="21" t="s">
        <v>129</v>
      </c>
      <c r="G45" s="764"/>
      <c r="H45" s="22" t="s">
        <v>143</v>
      </c>
      <c r="I45" s="22" t="s">
        <v>144</v>
      </c>
      <c r="J45" s="23">
        <v>0</v>
      </c>
      <c r="K45" s="23" t="s">
        <v>323</v>
      </c>
      <c r="L45" s="25">
        <v>450</v>
      </c>
      <c r="M45" s="23">
        <v>120</v>
      </c>
      <c r="N45" s="22" t="s">
        <v>143</v>
      </c>
      <c r="O45" s="32">
        <v>50</v>
      </c>
      <c r="P45" s="28">
        <f t="shared" si="0"/>
        <v>23797</v>
      </c>
      <c r="Q45" s="11">
        <f>(18000+5797)</f>
        <v>23797</v>
      </c>
      <c r="R45" s="11"/>
      <c r="S45" s="11"/>
      <c r="T45" s="11"/>
      <c r="U45" s="11"/>
      <c r="V45" s="11"/>
      <c r="W45" s="11"/>
      <c r="X45" s="11"/>
      <c r="Y45" s="11"/>
      <c r="Z45" s="11"/>
      <c r="AA45" s="11"/>
      <c r="AB45" s="11"/>
      <c r="AC45" s="11"/>
      <c r="AD45" s="11"/>
      <c r="AE45" s="26" t="s">
        <v>451</v>
      </c>
      <c r="AF45" s="26" t="s">
        <v>364</v>
      </c>
      <c r="AG45" s="26" t="s">
        <v>452</v>
      </c>
      <c r="AH45" s="26" t="s">
        <v>453</v>
      </c>
      <c r="AI45" s="50" t="s">
        <v>539</v>
      </c>
      <c r="AJ45" s="53">
        <v>6000</v>
      </c>
      <c r="AK45" s="22" t="s">
        <v>540</v>
      </c>
      <c r="AL45" s="44" t="s">
        <v>395</v>
      </c>
      <c r="AM45" s="44" t="s">
        <v>395</v>
      </c>
      <c r="AN45" s="44" t="s">
        <v>395</v>
      </c>
      <c r="AO45" s="44" t="s">
        <v>395</v>
      </c>
      <c r="AP45" s="44" t="s">
        <v>395</v>
      </c>
      <c r="AQ45" s="44" t="s">
        <v>395</v>
      </c>
      <c r="AR45" s="44" t="s">
        <v>395</v>
      </c>
      <c r="AS45" s="44" t="s">
        <v>395</v>
      </c>
      <c r="AT45" s="44" t="s">
        <v>395</v>
      </c>
      <c r="AU45" s="44" t="s">
        <v>395</v>
      </c>
      <c r="AV45" s="44"/>
      <c r="AW45" s="44"/>
      <c r="AX45" s="26" t="s">
        <v>336</v>
      </c>
      <c r="AY45" s="26"/>
    </row>
    <row r="46" spans="1:51" ht="81" customHeight="1" x14ac:dyDescent="0.25">
      <c r="A46" s="21" t="s">
        <v>49</v>
      </c>
      <c r="B46" s="22" t="s">
        <v>50</v>
      </c>
      <c r="C46" s="764"/>
      <c r="D46" s="764"/>
      <c r="E46" s="764"/>
      <c r="F46" s="21" t="s">
        <v>129</v>
      </c>
      <c r="G46" s="764"/>
      <c r="H46" s="22" t="s">
        <v>145</v>
      </c>
      <c r="I46" s="22" t="s">
        <v>146</v>
      </c>
      <c r="J46" s="23">
        <v>38</v>
      </c>
      <c r="K46" s="23" t="s">
        <v>323</v>
      </c>
      <c r="L46" s="25">
        <v>400</v>
      </c>
      <c r="M46" s="23">
        <v>80</v>
      </c>
      <c r="N46" s="22" t="s">
        <v>146</v>
      </c>
      <c r="O46" s="32">
        <v>88</v>
      </c>
      <c r="P46" s="28">
        <f t="shared" si="0"/>
        <v>84000</v>
      </c>
      <c r="Q46" s="11">
        <v>84000</v>
      </c>
      <c r="R46" s="11"/>
      <c r="S46" s="11"/>
      <c r="T46" s="11"/>
      <c r="U46" s="11"/>
      <c r="V46" s="11"/>
      <c r="W46" s="11"/>
      <c r="X46" s="11"/>
      <c r="Y46" s="11"/>
      <c r="Z46" s="11"/>
      <c r="AA46" s="11"/>
      <c r="AB46" s="11"/>
      <c r="AC46" s="11"/>
      <c r="AD46" s="11"/>
      <c r="AE46" s="26" t="s">
        <v>454</v>
      </c>
      <c r="AF46" s="26" t="s">
        <v>364</v>
      </c>
      <c r="AG46" s="26" t="s">
        <v>448</v>
      </c>
      <c r="AH46" s="26" t="s">
        <v>449</v>
      </c>
      <c r="AI46" s="26" t="s">
        <v>455</v>
      </c>
      <c r="AJ46" s="51">
        <v>60000</v>
      </c>
      <c r="AK46" s="22" t="s">
        <v>541</v>
      </c>
      <c r="AL46" s="44" t="s">
        <v>395</v>
      </c>
      <c r="AM46" s="44" t="s">
        <v>395</v>
      </c>
      <c r="AN46" s="44" t="s">
        <v>395</v>
      </c>
      <c r="AO46" s="44" t="s">
        <v>395</v>
      </c>
      <c r="AP46" s="44" t="s">
        <v>395</v>
      </c>
      <c r="AQ46" s="44" t="s">
        <v>395</v>
      </c>
      <c r="AR46" s="44" t="s">
        <v>395</v>
      </c>
      <c r="AS46" s="44" t="s">
        <v>395</v>
      </c>
      <c r="AT46" s="44" t="s">
        <v>395</v>
      </c>
      <c r="AU46" s="44" t="s">
        <v>395</v>
      </c>
      <c r="AV46" s="44" t="s">
        <v>395</v>
      </c>
      <c r="AW46" s="44" t="s">
        <v>395</v>
      </c>
      <c r="AX46" s="26" t="s">
        <v>334</v>
      </c>
      <c r="AY46" s="26" t="s">
        <v>600</v>
      </c>
    </row>
    <row r="47" spans="1:51" ht="76.5" customHeight="1" x14ac:dyDescent="0.25">
      <c r="A47" s="21" t="s">
        <v>49</v>
      </c>
      <c r="B47" s="22" t="s">
        <v>50</v>
      </c>
      <c r="C47" s="764"/>
      <c r="D47" s="764"/>
      <c r="E47" s="764"/>
      <c r="F47" s="21" t="s">
        <v>129</v>
      </c>
      <c r="G47" s="764"/>
      <c r="H47" s="22" t="s">
        <v>147</v>
      </c>
      <c r="I47" s="22" t="s">
        <v>148</v>
      </c>
      <c r="J47" s="23">
        <v>0</v>
      </c>
      <c r="K47" s="23" t="s">
        <v>323</v>
      </c>
      <c r="L47" s="25">
        <v>1</v>
      </c>
      <c r="M47" s="23">
        <v>0.3</v>
      </c>
      <c r="N47" s="22" t="s">
        <v>148</v>
      </c>
      <c r="O47" s="32">
        <v>0.15</v>
      </c>
      <c r="P47" s="28">
        <f t="shared" si="0"/>
        <v>30000</v>
      </c>
      <c r="Q47" s="11">
        <v>30000</v>
      </c>
      <c r="R47" s="11"/>
      <c r="S47" s="11"/>
      <c r="T47" s="11"/>
      <c r="U47" s="11"/>
      <c r="V47" s="11"/>
      <c r="W47" s="11"/>
      <c r="X47" s="11"/>
      <c r="Y47" s="11"/>
      <c r="Z47" s="11"/>
      <c r="AA47" s="11"/>
      <c r="AB47" s="11"/>
      <c r="AC47" s="11"/>
      <c r="AD47" s="11"/>
      <c r="AE47" s="26" t="s">
        <v>456</v>
      </c>
      <c r="AF47" s="26" t="s">
        <v>364</v>
      </c>
      <c r="AG47" s="26" t="s">
        <v>392</v>
      </c>
      <c r="AH47" s="26" t="s">
        <v>393</v>
      </c>
      <c r="AI47" s="26" t="s">
        <v>457</v>
      </c>
      <c r="AJ47" s="51">
        <v>15000</v>
      </c>
      <c r="AK47" s="26" t="s">
        <v>458</v>
      </c>
      <c r="AL47" s="44"/>
      <c r="AM47" s="44"/>
      <c r="AN47" s="44" t="s">
        <v>395</v>
      </c>
      <c r="AO47" s="44" t="s">
        <v>442</v>
      </c>
      <c r="AP47" s="44" t="s">
        <v>395</v>
      </c>
      <c r="AQ47" s="44" t="s">
        <v>395</v>
      </c>
      <c r="AR47" s="44" t="s">
        <v>395</v>
      </c>
      <c r="AS47" s="44" t="s">
        <v>395</v>
      </c>
      <c r="AT47" s="44" t="s">
        <v>395</v>
      </c>
      <c r="AU47" s="44" t="s">
        <v>395</v>
      </c>
      <c r="AV47" s="44" t="s">
        <v>395</v>
      </c>
      <c r="AW47" s="44"/>
      <c r="AX47" s="26" t="s">
        <v>337</v>
      </c>
      <c r="AY47" s="26" t="s">
        <v>601</v>
      </c>
    </row>
    <row r="48" spans="1:51" ht="114.75" customHeight="1" x14ac:dyDescent="0.25">
      <c r="A48" s="21" t="s">
        <v>49</v>
      </c>
      <c r="B48" s="22" t="s">
        <v>50</v>
      </c>
      <c r="C48" s="764"/>
      <c r="D48" s="764"/>
      <c r="E48" s="764"/>
      <c r="F48" s="21" t="s">
        <v>129</v>
      </c>
      <c r="G48" s="764"/>
      <c r="H48" s="22" t="s">
        <v>149</v>
      </c>
      <c r="I48" s="22" t="s">
        <v>150</v>
      </c>
      <c r="J48" s="23">
        <v>160</v>
      </c>
      <c r="K48" s="23" t="s">
        <v>323</v>
      </c>
      <c r="L48" s="25">
        <v>450</v>
      </c>
      <c r="M48" s="23">
        <v>85</v>
      </c>
      <c r="N48" s="44" t="s">
        <v>149</v>
      </c>
      <c r="O48" s="32">
        <v>190</v>
      </c>
      <c r="P48" s="28">
        <f t="shared" si="0"/>
        <v>190000</v>
      </c>
      <c r="Q48" s="11">
        <f>(114000+76000)</f>
        <v>190000</v>
      </c>
      <c r="R48" s="11"/>
      <c r="S48" s="11"/>
      <c r="T48" s="11"/>
      <c r="U48" s="11"/>
      <c r="V48" s="11"/>
      <c r="W48" s="11"/>
      <c r="X48" s="11"/>
      <c r="Y48" s="11"/>
      <c r="Z48" s="11"/>
      <c r="AA48" s="11"/>
      <c r="AB48" s="11"/>
      <c r="AC48" s="11"/>
      <c r="AD48" s="11"/>
      <c r="AE48" s="26" t="s">
        <v>459</v>
      </c>
      <c r="AF48" s="26" t="s">
        <v>364</v>
      </c>
      <c r="AG48" s="26" t="s">
        <v>460</v>
      </c>
      <c r="AH48" s="26" t="s">
        <v>461</v>
      </c>
      <c r="AI48" s="50" t="s">
        <v>542</v>
      </c>
      <c r="AJ48" s="51">
        <v>76000</v>
      </c>
      <c r="AK48" s="50" t="s">
        <v>543</v>
      </c>
      <c r="AL48" s="32"/>
      <c r="AM48" s="32"/>
      <c r="AN48" s="32"/>
      <c r="AO48" s="32"/>
      <c r="AP48" s="32"/>
      <c r="AQ48" s="32" t="s">
        <v>395</v>
      </c>
      <c r="AR48" s="32" t="s">
        <v>395</v>
      </c>
      <c r="AS48" s="32" t="s">
        <v>395</v>
      </c>
      <c r="AT48" s="32" t="s">
        <v>395</v>
      </c>
      <c r="AU48" s="32" t="s">
        <v>395</v>
      </c>
      <c r="AV48" s="32" t="s">
        <v>395</v>
      </c>
      <c r="AW48" s="32"/>
      <c r="AX48" s="26" t="s">
        <v>338</v>
      </c>
      <c r="AY48" s="26"/>
    </row>
    <row r="49" spans="1:51" ht="84" customHeight="1" x14ac:dyDescent="0.25">
      <c r="A49" s="21" t="s">
        <v>49</v>
      </c>
      <c r="B49" s="22" t="s">
        <v>50</v>
      </c>
      <c r="C49" s="764"/>
      <c r="D49" s="764"/>
      <c r="E49" s="764"/>
      <c r="F49" s="21" t="s">
        <v>129</v>
      </c>
      <c r="G49" s="764"/>
      <c r="H49" s="22" t="s">
        <v>151</v>
      </c>
      <c r="I49" s="22" t="s">
        <v>152</v>
      </c>
      <c r="J49" s="23">
        <v>188</v>
      </c>
      <c r="K49" s="23" t="s">
        <v>323</v>
      </c>
      <c r="L49" s="25">
        <v>650</v>
      </c>
      <c r="M49" s="23">
        <v>180</v>
      </c>
      <c r="N49" s="22" t="s">
        <v>381</v>
      </c>
      <c r="O49" s="32">
        <v>388</v>
      </c>
      <c r="P49" s="28">
        <f t="shared" si="0"/>
        <v>100000</v>
      </c>
      <c r="Q49" s="11">
        <f>(50000+50000)</f>
        <v>100000</v>
      </c>
      <c r="R49" s="11"/>
      <c r="S49" s="11"/>
      <c r="T49" s="11"/>
      <c r="U49" s="11"/>
      <c r="V49" s="11"/>
      <c r="W49" s="11"/>
      <c r="X49" s="11"/>
      <c r="Y49" s="11"/>
      <c r="Z49" s="11"/>
      <c r="AA49" s="11"/>
      <c r="AB49" s="11"/>
      <c r="AC49" s="11"/>
      <c r="AD49" s="11"/>
      <c r="AE49" s="54" t="s">
        <v>462</v>
      </c>
      <c r="AF49" s="26" t="s">
        <v>463</v>
      </c>
      <c r="AG49" s="55" t="s">
        <v>464</v>
      </c>
      <c r="AH49" s="26" t="s">
        <v>393</v>
      </c>
      <c r="AI49" s="55" t="s">
        <v>465</v>
      </c>
      <c r="AJ49" s="51">
        <v>50000</v>
      </c>
      <c r="AK49" s="54" t="s">
        <v>466</v>
      </c>
      <c r="AL49" s="44"/>
      <c r="AM49" s="44"/>
      <c r="AN49" s="26"/>
      <c r="AO49" s="26"/>
      <c r="AP49" s="26"/>
      <c r="AQ49" s="26"/>
      <c r="AR49" s="26" t="s">
        <v>395</v>
      </c>
      <c r="AS49" s="26" t="s">
        <v>395</v>
      </c>
      <c r="AT49" s="44"/>
      <c r="AU49" s="44"/>
      <c r="AV49" s="44"/>
      <c r="AW49" s="44"/>
      <c r="AX49" s="26" t="s">
        <v>339</v>
      </c>
      <c r="AY49" s="26"/>
    </row>
    <row r="50" spans="1:51" ht="135" customHeight="1" x14ac:dyDescent="0.25">
      <c r="A50" s="21" t="s">
        <v>49</v>
      </c>
      <c r="B50" s="22" t="s">
        <v>50</v>
      </c>
      <c r="C50" s="764"/>
      <c r="D50" s="764"/>
      <c r="E50" s="764"/>
      <c r="F50" s="21" t="s">
        <v>129</v>
      </c>
      <c r="G50" s="764"/>
      <c r="H50" s="22" t="s">
        <v>153</v>
      </c>
      <c r="I50" s="22" t="s">
        <v>154</v>
      </c>
      <c r="J50" s="23">
        <v>200</v>
      </c>
      <c r="K50" s="23" t="s">
        <v>323</v>
      </c>
      <c r="L50" s="25">
        <v>500</v>
      </c>
      <c r="M50" s="23">
        <f>(120+64)</f>
        <v>184</v>
      </c>
      <c r="N50" s="22" t="s">
        <v>154</v>
      </c>
      <c r="O50" s="32">
        <v>290</v>
      </c>
      <c r="P50" s="28">
        <f t="shared" si="0"/>
        <v>240000</v>
      </c>
      <c r="Q50" s="11">
        <f>(90000+90000)</f>
        <v>180000</v>
      </c>
      <c r="R50" s="11"/>
      <c r="S50" s="11"/>
      <c r="T50" s="11"/>
      <c r="U50" s="11"/>
      <c r="V50" s="11"/>
      <c r="W50" s="11"/>
      <c r="X50" s="11"/>
      <c r="Y50" s="11"/>
      <c r="Z50" s="11"/>
      <c r="AA50" s="11"/>
      <c r="AB50" s="11">
        <v>60000</v>
      </c>
      <c r="AC50" s="11"/>
      <c r="AD50" s="11"/>
      <c r="AE50" s="26" t="s">
        <v>467</v>
      </c>
      <c r="AF50" s="26" t="s">
        <v>364</v>
      </c>
      <c r="AG50" s="26" t="s">
        <v>468</v>
      </c>
      <c r="AH50" s="26" t="s">
        <v>469</v>
      </c>
      <c r="AI50" s="50" t="s">
        <v>544</v>
      </c>
      <c r="AJ50" s="51">
        <v>90000</v>
      </c>
      <c r="AK50" s="22" t="s">
        <v>545</v>
      </c>
      <c r="AL50" s="44"/>
      <c r="AM50" s="44"/>
      <c r="AN50" s="44" t="s">
        <v>395</v>
      </c>
      <c r="AO50" s="44" t="s">
        <v>395</v>
      </c>
      <c r="AP50" s="44" t="s">
        <v>395</v>
      </c>
      <c r="AQ50" s="44" t="s">
        <v>395</v>
      </c>
      <c r="AR50" s="44" t="s">
        <v>395</v>
      </c>
      <c r="AS50" s="44"/>
      <c r="AT50" s="44"/>
      <c r="AU50" s="44"/>
      <c r="AV50" s="44"/>
      <c r="AW50" s="44"/>
      <c r="AX50" s="26" t="s">
        <v>340</v>
      </c>
      <c r="AY50" s="26"/>
    </row>
    <row r="51" spans="1:51" ht="114" customHeight="1" x14ac:dyDescent="0.25">
      <c r="A51" s="21" t="s">
        <v>49</v>
      </c>
      <c r="B51" s="22" t="s">
        <v>50</v>
      </c>
      <c r="C51" s="764"/>
      <c r="D51" s="764"/>
      <c r="E51" s="764"/>
      <c r="F51" s="21" t="s">
        <v>129</v>
      </c>
      <c r="G51" s="764"/>
      <c r="H51" s="22" t="s">
        <v>155</v>
      </c>
      <c r="I51" s="22" t="s">
        <v>156</v>
      </c>
      <c r="J51" s="23">
        <v>17</v>
      </c>
      <c r="K51" s="23" t="s">
        <v>323</v>
      </c>
      <c r="L51" s="25">
        <v>120</v>
      </c>
      <c r="M51" s="23">
        <v>25</v>
      </c>
      <c r="N51" s="44" t="s">
        <v>382</v>
      </c>
      <c r="O51" s="32">
        <v>20</v>
      </c>
      <c r="P51" s="28">
        <f t="shared" si="0"/>
        <v>125000</v>
      </c>
      <c r="Q51" s="11">
        <f>(62500+62500)</f>
        <v>125000</v>
      </c>
      <c r="R51" s="11"/>
      <c r="S51" s="11"/>
      <c r="T51" s="11"/>
      <c r="U51" s="11"/>
      <c r="V51" s="11"/>
      <c r="W51" s="11"/>
      <c r="X51" s="11"/>
      <c r="Y51" s="11"/>
      <c r="Z51" s="11"/>
      <c r="AA51" s="11"/>
      <c r="AB51" s="11"/>
      <c r="AC51" s="11"/>
      <c r="AD51" s="11"/>
      <c r="AE51" s="26" t="s">
        <v>470</v>
      </c>
      <c r="AF51" s="26" t="s">
        <v>364</v>
      </c>
      <c r="AG51" s="26" t="s">
        <v>471</v>
      </c>
      <c r="AH51" s="26" t="s">
        <v>472</v>
      </c>
      <c r="AI51" s="50" t="s">
        <v>532</v>
      </c>
      <c r="AJ51" s="26">
        <v>62500</v>
      </c>
      <c r="AK51" s="50" t="s">
        <v>533</v>
      </c>
      <c r="AL51" s="44"/>
      <c r="AM51" s="52" t="s">
        <v>395</v>
      </c>
      <c r="AN51" s="52" t="s">
        <v>395</v>
      </c>
      <c r="AO51" s="52" t="s">
        <v>395</v>
      </c>
      <c r="AP51" s="52" t="s">
        <v>395</v>
      </c>
      <c r="AQ51" s="52" t="s">
        <v>395</v>
      </c>
      <c r="AR51" s="52" t="s">
        <v>395</v>
      </c>
      <c r="AS51" s="52" t="s">
        <v>395</v>
      </c>
      <c r="AT51" s="52" t="s">
        <v>395</v>
      </c>
      <c r="AU51" s="52" t="s">
        <v>395</v>
      </c>
      <c r="AV51" s="52" t="s">
        <v>395</v>
      </c>
      <c r="AW51" s="52"/>
      <c r="AX51" s="26" t="s">
        <v>341</v>
      </c>
      <c r="AY51" s="26"/>
    </row>
    <row r="52" spans="1:51" ht="84" customHeight="1" x14ac:dyDescent="0.25">
      <c r="A52" s="21" t="s">
        <v>49</v>
      </c>
      <c r="B52" s="22" t="s">
        <v>50</v>
      </c>
      <c r="C52" s="764"/>
      <c r="D52" s="764"/>
      <c r="E52" s="764"/>
      <c r="F52" s="21" t="s">
        <v>129</v>
      </c>
      <c r="G52" s="764"/>
      <c r="H52" s="22" t="s">
        <v>157</v>
      </c>
      <c r="I52" s="22" t="s">
        <v>158</v>
      </c>
      <c r="J52" s="23">
        <v>0</v>
      </c>
      <c r="K52" s="23" t="s">
        <v>323</v>
      </c>
      <c r="L52" s="25">
        <v>140</v>
      </c>
      <c r="M52" s="23">
        <v>55</v>
      </c>
      <c r="N52" s="56" t="s">
        <v>383</v>
      </c>
      <c r="O52" s="32">
        <v>51</v>
      </c>
      <c r="P52" s="28">
        <f t="shared" si="0"/>
        <v>1828000</v>
      </c>
      <c r="Q52" s="11">
        <f>(28000+8000)</f>
        <v>36000</v>
      </c>
      <c r="R52" s="11"/>
      <c r="S52" s="11"/>
      <c r="T52" s="11"/>
      <c r="U52" s="11"/>
      <c r="V52" s="11"/>
      <c r="W52" s="11"/>
      <c r="X52" s="11"/>
      <c r="Y52" s="11"/>
      <c r="Z52" s="11">
        <f>(896000+896000)</f>
        <v>1792000</v>
      </c>
      <c r="AA52" s="11"/>
      <c r="AB52" s="11"/>
      <c r="AC52" s="11"/>
      <c r="AD52" s="11"/>
      <c r="AE52" s="26" t="s">
        <v>473</v>
      </c>
      <c r="AF52" s="26" t="s">
        <v>364</v>
      </c>
      <c r="AG52" s="26" t="s">
        <v>474</v>
      </c>
      <c r="AH52" s="26" t="s">
        <v>475</v>
      </c>
      <c r="AI52" s="50" t="s">
        <v>546</v>
      </c>
      <c r="AJ52" s="53">
        <v>904000</v>
      </c>
      <c r="AK52" s="22" t="s">
        <v>547</v>
      </c>
      <c r="AL52" s="44"/>
      <c r="AM52" s="44" t="s">
        <v>395</v>
      </c>
      <c r="AN52" s="44" t="s">
        <v>395</v>
      </c>
      <c r="AO52" s="44" t="s">
        <v>395</v>
      </c>
      <c r="AP52" s="44" t="s">
        <v>395</v>
      </c>
      <c r="AQ52" s="44" t="s">
        <v>395</v>
      </c>
      <c r="AR52" s="44" t="s">
        <v>395</v>
      </c>
      <c r="AS52" s="44" t="s">
        <v>395</v>
      </c>
      <c r="AT52" s="44" t="s">
        <v>395</v>
      </c>
      <c r="AU52" s="44" t="s">
        <v>395</v>
      </c>
      <c r="AV52" s="44" t="s">
        <v>395</v>
      </c>
      <c r="AW52" s="44"/>
      <c r="AX52" s="26" t="s">
        <v>342</v>
      </c>
      <c r="AY52" s="26"/>
    </row>
    <row r="53" spans="1:51" ht="60" customHeight="1" x14ac:dyDescent="0.25">
      <c r="A53" s="21" t="s">
        <v>49</v>
      </c>
      <c r="B53" s="22" t="s">
        <v>50</v>
      </c>
      <c r="C53" s="764"/>
      <c r="D53" s="764"/>
      <c r="E53" s="764"/>
      <c r="F53" s="21" t="s">
        <v>129</v>
      </c>
      <c r="G53" s="764"/>
      <c r="H53" s="22" t="s">
        <v>159</v>
      </c>
      <c r="I53" s="22" t="s">
        <v>160</v>
      </c>
      <c r="J53" s="23">
        <v>16</v>
      </c>
      <c r="K53" s="23" t="s">
        <v>323</v>
      </c>
      <c r="L53" s="25">
        <v>40</v>
      </c>
      <c r="M53" s="23">
        <v>9</v>
      </c>
      <c r="N53" s="22" t="s">
        <v>160</v>
      </c>
      <c r="O53" s="57">
        <v>8</v>
      </c>
      <c r="P53" s="28">
        <f t="shared" si="0"/>
        <v>123000</v>
      </c>
      <c r="Q53" s="11">
        <v>78000</v>
      </c>
      <c r="R53" s="11"/>
      <c r="S53" s="11"/>
      <c r="T53" s="11"/>
      <c r="U53" s="11"/>
      <c r="V53" s="11"/>
      <c r="W53" s="11"/>
      <c r="X53" s="11"/>
      <c r="Y53" s="11">
        <v>45000</v>
      </c>
      <c r="Z53" s="11"/>
      <c r="AA53" s="11"/>
      <c r="AB53" s="11"/>
      <c r="AC53" s="11"/>
      <c r="AD53" s="11"/>
      <c r="AE53" s="26" t="s">
        <v>476</v>
      </c>
      <c r="AF53" s="26" t="s">
        <v>364</v>
      </c>
      <c r="AG53" s="55" t="s">
        <v>477</v>
      </c>
      <c r="AH53" s="50" t="s">
        <v>477</v>
      </c>
      <c r="AI53" s="26" t="s">
        <v>478</v>
      </c>
      <c r="AJ53" s="51">
        <v>49000</v>
      </c>
      <c r="AK53" s="22" t="s">
        <v>548</v>
      </c>
      <c r="AL53" s="44"/>
      <c r="AM53" s="44" t="s">
        <v>395</v>
      </c>
      <c r="AN53" s="44" t="s">
        <v>395</v>
      </c>
      <c r="AO53" s="44" t="s">
        <v>395</v>
      </c>
      <c r="AP53" s="44" t="s">
        <v>395</v>
      </c>
      <c r="AQ53" s="44" t="s">
        <v>395</v>
      </c>
      <c r="AR53" s="44" t="s">
        <v>395</v>
      </c>
      <c r="AS53" s="32" t="s">
        <v>395</v>
      </c>
      <c r="AT53" s="32" t="s">
        <v>395</v>
      </c>
      <c r="AU53" s="32" t="s">
        <v>395</v>
      </c>
      <c r="AV53" s="32" t="s">
        <v>395</v>
      </c>
      <c r="AW53" s="32"/>
      <c r="AX53" s="26" t="s">
        <v>339</v>
      </c>
      <c r="AY53" s="26"/>
    </row>
    <row r="54" spans="1:51" ht="134.25" customHeight="1" x14ac:dyDescent="0.25">
      <c r="A54" s="21" t="s">
        <v>49</v>
      </c>
      <c r="B54" s="22" t="s">
        <v>50</v>
      </c>
      <c r="C54" s="764"/>
      <c r="D54" s="764"/>
      <c r="E54" s="764"/>
      <c r="F54" s="21" t="s">
        <v>129</v>
      </c>
      <c r="G54" s="764"/>
      <c r="H54" s="22" t="s">
        <v>161</v>
      </c>
      <c r="I54" s="22" t="s">
        <v>162</v>
      </c>
      <c r="J54" s="23">
        <v>30</v>
      </c>
      <c r="K54" s="23" t="s">
        <v>323</v>
      </c>
      <c r="L54" s="25">
        <v>34</v>
      </c>
      <c r="M54" s="23">
        <v>9</v>
      </c>
      <c r="N54" s="22" t="s">
        <v>162</v>
      </c>
      <c r="O54" s="32">
        <v>9</v>
      </c>
      <c r="P54" s="28">
        <f t="shared" si="0"/>
        <v>2399510.5</v>
      </c>
      <c r="Q54" s="11">
        <v>20000</v>
      </c>
      <c r="R54" s="11"/>
      <c r="S54" s="11"/>
      <c r="T54" s="11"/>
      <c r="U54" s="11"/>
      <c r="V54" s="11"/>
      <c r="W54" s="11"/>
      <c r="X54" s="11"/>
      <c r="Y54" s="11"/>
      <c r="Z54" s="11"/>
      <c r="AA54" s="11"/>
      <c r="AB54" s="11"/>
      <c r="AC54" s="11"/>
      <c r="AD54" s="58">
        <f>(1711255.5+668255)</f>
        <v>2379510.5</v>
      </c>
      <c r="AE54" s="26" t="s">
        <v>479</v>
      </c>
      <c r="AF54" s="26" t="s">
        <v>364</v>
      </c>
      <c r="AG54" s="26" t="s">
        <v>480</v>
      </c>
      <c r="AH54" s="26" t="s">
        <v>481</v>
      </c>
      <c r="AI54" s="26">
        <v>1065</v>
      </c>
      <c r="AJ54" s="53">
        <v>1721255</v>
      </c>
      <c r="AK54" s="22" t="s">
        <v>482</v>
      </c>
      <c r="AL54" s="44"/>
      <c r="AM54" s="44" t="s">
        <v>395</v>
      </c>
      <c r="AN54" s="44" t="s">
        <v>395</v>
      </c>
      <c r="AO54" s="44" t="s">
        <v>395</v>
      </c>
      <c r="AP54" s="44" t="s">
        <v>395</v>
      </c>
      <c r="AQ54" s="44" t="s">
        <v>395</v>
      </c>
      <c r="AR54" s="44" t="s">
        <v>395</v>
      </c>
      <c r="AS54" s="44" t="s">
        <v>395</v>
      </c>
      <c r="AT54" s="44" t="s">
        <v>395</v>
      </c>
      <c r="AU54" s="44" t="s">
        <v>395</v>
      </c>
      <c r="AV54" s="44" t="s">
        <v>395</v>
      </c>
      <c r="AW54" s="59"/>
      <c r="AX54" s="26" t="s">
        <v>343</v>
      </c>
      <c r="AY54" s="26"/>
    </row>
    <row r="55" spans="1:51" ht="118.5" customHeight="1" x14ac:dyDescent="0.25">
      <c r="A55" s="21" t="s">
        <v>49</v>
      </c>
      <c r="B55" s="22" t="s">
        <v>50</v>
      </c>
      <c r="C55" s="764"/>
      <c r="D55" s="764"/>
      <c r="E55" s="764"/>
      <c r="F55" s="21" t="s">
        <v>129</v>
      </c>
      <c r="G55" s="764"/>
      <c r="H55" s="22" t="s">
        <v>163</v>
      </c>
      <c r="I55" s="22" t="s">
        <v>164</v>
      </c>
      <c r="J55" s="23">
        <v>5</v>
      </c>
      <c r="K55" s="23" t="s">
        <v>323</v>
      </c>
      <c r="L55" s="25">
        <v>20</v>
      </c>
      <c r="M55" s="23">
        <f>(6+6)</f>
        <v>12</v>
      </c>
      <c r="N55" s="44" t="s">
        <v>384</v>
      </c>
      <c r="O55" s="32">
        <v>0</v>
      </c>
      <c r="P55" s="28">
        <f t="shared" si="0"/>
        <v>96000</v>
      </c>
      <c r="Q55" s="11">
        <f>(48000+48000)</f>
        <v>96000</v>
      </c>
      <c r="R55" s="11"/>
      <c r="S55" s="11"/>
      <c r="T55" s="11"/>
      <c r="U55" s="11"/>
      <c r="V55" s="11"/>
      <c r="W55" s="11"/>
      <c r="X55" s="11"/>
      <c r="Y55" s="11"/>
      <c r="Z55" s="11"/>
      <c r="AA55" s="11"/>
      <c r="AB55" s="11"/>
      <c r="AC55" s="11"/>
      <c r="AD55" s="11"/>
      <c r="AE55" s="26" t="s">
        <v>483</v>
      </c>
      <c r="AF55" s="26" t="s">
        <v>364</v>
      </c>
      <c r="AG55" s="60" t="s">
        <v>484</v>
      </c>
      <c r="AH55" s="26" t="s">
        <v>485</v>
      </c>
      <c r="AI55" s="22" t="s">
        <v>530</v>
      </c>
      <c r="AJ55" s="26">
        <v>48000</v>
      </c>
      <c r="AK55" s="22" t="s">
        <v>531</v>
      </c>
      <c r="AL55" s="44"/>
      <c r="AM55" s="52" t="s">
        <v>395</v>
      </c>
      <c r="AN55" s="52" t="s">
        <v>395</v>
      </c>
      <c r="AO55" s="52" t="s">
        <v>395</v>
      </c>
      <c r="AP55" s="52" t="s">
        <v>395</v>
      </c>
      <c r="AQ55" s="52" t="s">
        <v>395</v>
      </c>
      <c r="AR55" s="52" t="s">
        <v>395</v>
      </c>
      <c r="AS55" s="52" t="s">
        <v>395</v>
      </c>
      <c r="AT55" s="52" t="s">
        <v>395</v>
      </c>
      <c r="AU55" s="52" t="s">
        <v>395</v>
      </c>
      <c r="AV55" s="52" t="s">
        <v>395</v>
      </c>
      <c r="AW55" s="44"/>
      <c r="AX55" s="26" t="s">
        <v>344</v>
      </c>
      <c r="AY55" s="26"/>
    </row>
    <row r="56" spans="1:51" ht="144.75" customHeight="1" x14ac:dyDescent="0.25">
      <c r="A56" s="21" t="s">
        <v>49</v>
      </c>
      <c r="B56" s="22" t="s">
        <v>50</v>
      </c>
      <c r="C56" s="764"/>
      <c r="D56" s="764"/>
      <c r="E56" s="764"/>
      <c r="F56" s="21" t="s">
        <v>129</v>
      </c>
      <c r="G56" s="764"/>
      <c r="H56" s="22" t="s">
        <v>165</v>
      </c>
      <c r="I56" s="22" t="s">
        <v>166</v>
      </c>
      <c r="J56" s="23">
        <v>90</v>
      </c>
      <c r="K56" s="23" t="s">
        <v>323</v>
      </c>
      <c r="L56" s="25">
        <v>120</v>
      </c>
      <c r="M56" s="23">
        <v>50</v>
      </c>
      <c r="N56" s="22" t="s">
        <v>166</v>
      </c>
      <c r="O56" s="32">
        <v>18</v>
      </c>
      <c r="P56" s="28">
        <f t="shared" si="0"/>
        <v>189000</v>
      </c>
      <c r="Q56" s="11">
        <f>(104000+40000)</f>
        <v>144000</v>
      </c>
      <c r="R56" s="11"/>
      <c r="S56" s="11"/>
      <c r="T56" s="11"/>
      <c r="U56" s="11"/>
      <c r="V56" s="11"/>
      <c r="W56" s="11"/>
      <c r="X56" s="11"/>
      <c r="Y56" s="11">
        <v>20000</v>
      </c>
      <c r="Z56" s="11"/>
      <c r="AA56" s="11"/>
      <c r="AB56" s="11">
        <v>25000</v>
      </c>
      <c r="AC56" s="11"/>
      <c r="AD56" s="11"/>
      <c r="AE56" s="26" t="s">
        <v>486</v>
      </c>
      <c r="AF56" s="26" t="s">
        <v>364</v>
      </c>
      <c r="AG56" s="26" t="s">
        <v>487</v>
      </c>
      <c r="AH56" s="26" t="s">
        <v>488</v>
      </c>
      <c r="AI56" s="26" t="s">
        <v>489</v>
      </c>
      <c r="AJ56" s="51">
        <v>54000</v>
      </c>
      <c r="AK56" s="22" t="s">
        <v>549</v>
      </c>
      <c r="AL56" s="44"/>
      <c r="AM56" s="52" t="s">
        <v>395</v>
      </c>
      <c r="AN56" s="52" t="s">
        <v>395</v>
      </c>
      <c r="AO56" s="52" t="s">
        <v>395</v>
      </c>
      <c r="AP56" s="52" t="s">
        <v>395</v>
      </c>
      <c r="AQ56" s="52" t="s">
        <v>395</v>
      </c>
      <c r="AR56" s="52" t="s">
        <v>395</v>
      </c>
      <c r="AS56" s="52" t="s">
        <v>395</v>
      </c>
      <c r="AT56" s="52" t="s">
        <v>395</v>
      </c>
      <c r="AU56" s="52" t="s">
        <v>395</v>
      </c>
      <c r="AV56" s="52" t="s">
        <v>395</v>
      </c>
      <c r="AW56" s="44"/>
      <c r="AX56" s="26" t="s">
        <v>345</v>
      </c>
      <c r="AY56" s="26"/>
    </row>
    <row r="57" spans="1:51" ht="174" customHeight="1" x14ac:dyDescent="0.25">
      <c r="A57" s="21" t="s">
        <v>49</v>
      </c>
      <c r="B57" s="22" t="s">
        <v>50</v>
      </c>
      <c r="C57" s="765"/>
      <c r="D57" s="765"/>
      <c r="E57" s="765"/>
      <c r="F57" s="21" t="s">
        <v>129</v>
      </c>
      <c r="G57" s="765"/>
      <c r="H57" s="22" t="s">
        <v>167</v>
      </c>
      <c r="I57" s="22" t="s">
        <v>168</v>
      </c>
      <c r="J57" s="23">
        <v>301</v>
      </c>
      <c r="K57" s="23" t="s">
        <v>323</v>
      </c>
      <c r="L57" s="25">
        <v>160</v>
      </c>
      <c r="M57" s="23">
        <v>40</v>
      </c>
      <c r="N57" s="22" t="s">
        <v>168</v>
      </c>
      <c r="O57" s="32">
        <v>363</v>
      </c>
      <c r="P57" s="28">
        <f t="shared" si="0"/>
        <v>980000</v>
      </c>
      <c r="Q57" s="11">
        <f>(40000+68000)</f>
        <v>108000</v>
      </c>
      <c r="R57" s="11"/>
      <c r="S57" s="11"/>
      <c r="T57" s="11"/>
      <c r="U57" s="11"/>
      <c r="V57" s="11"/>
      <c r="W57" s="11"/>
      <c r="X57" s="11"/>
      <c r="Y57" s="11">
        <f>(192000+192000)</f>
        <v>384000</v>
      </c>
      <c r="Z57" s="11"/>
      <c r="AA57" s="11"/>
      <c r="AB57" s="11">
        <v>208000</v>
      </c>
      <c r="AC57" s="11"/>
      <c r="AD57" s="11">
        <f>(140000+140000)</f>
        <v>280000</v>
      </c>
      <c r="AE57" s="26" t="s">
        <v>490</v>
      </c>
      <c r="AF57" s="26" t="s">
        <v>364</v>
      </c>
      <c r="AG57" s="26" t="s">
        <v>491</v>
      </c>
      <c r="AH57" s="26" t="s">
        <v>393</v>
      </c>
      <c r="AI57" s="26" t="s">
        <v>492</v>
      </c>
      <c r="AJ57" s="51">
        <v>432000</v>
      </c>
      <c r="AK57" s="22" t="s">
        <v>534</v>
      </c>
      <c r="AL57" s="44"/>
      <c r="AM57" s="52" t="s">
        <v>395</v>
      </c>
      <c r="AN57" s="52" t="s">
        <v>395</v>
      </c>
      <c r="AO57" s="52" t="s">
        <v>395</v>
      </c>
      <c r="AP57" s="52" t="s">
        <v>395</v>
      </c>
      <c r="AQ57" s="52" t="s">
        <v>395</v>
      </c>
      <c r="AR57" s="52" t="s">
        <v>395</v>
      </c>
      <c r="AS57" s="52" t="s">
        <v>395</v>
      </c>
      <c r="AT57" s="52" t="s">
        <v>395</v>
      </c>
      <c r="AU57" s="52" t="s">
        <v>395</v>
      </c>
      <c r="AV57" s="52" t="s">
        <v>395</v>
      </c>
      <c r="AW57" s="52"/>
      <c r="AX57" s="26" t="s">
        <v>346</v>
      </c>
      <c r="AY57" s="26" t="s">
        <v>604</v>
      </c>
    </row>
    <row r="58" spans="1:51" ht="135" customHeight="1" x14ac:dyDescent="0.25">
      <c r="A58" s="21" t="s">
        <v>49</v>
      </c>
      <c r="B58" s="22" t="s">
        <v>50</v>
      </c>
      <c r="C58" s="763" t="s">
        <v>169</v>
      </c>
      <c r="D58" s="763" t="s">
        <v>170</v>
      </c>
      <c r="E58" s="763" t="s">
        <v>171</v>
      </c>
      <c r="F58" s="21" t="s">
        <v>172</v>
      </c>
      <c r="G58" s="763" t="s">
        <v>173</v>
      </c>
      <c r="H58" s="22" t="s">
        <v>174</v>
      </c>
      <c r="I58" s="22" t="s">
        <v>175</v>
      </c>
      <c r="J58" s="23">
        <v>4200</v>
      </c>
      <c r="K58" s="23" t="s">
        <v>323</v>
      </c>
      <c r="L58" s="25">
        <v>1800</v>
      </c>
      <c r="M58" s="23">
        <f>(300+100)</f>
        <v>400</v>
      </c>
      <c r="N58" s="22" t="s">
        <v>175</v>
      </c>
      <c r="O58" s="32">
        <v>100</v>
      </c>
      <c r="P58" s="28">
        <f t="shared" si="0"/>
        <v>2700000</v>
      </c>
      <c r="Q58" s="11">
        <v>100000</v>
      </c>
      <c r="R58" s="11"/>
      <c r="S58" s="11"/>
      <c r="T58" s="11"/>
      <c r="U58" s="11">
        <v>2600000</v>
      </c>
      <c r="V58" s="11"/>
      <c r="W58" s="11"/>
      <c r="X58" s="11"/>
      <c r="Y58" s="11"/>
      <c r="Z58" s="11"/>
      <c r="AA58" s="11"/>
      <c r="AB58" s="11"/>
      <c r="AC58" s="11"/>
      <c r="AD58" s="11"/>
      <c r="AE58" s="60" t="s">
        <v>447</v>
      </c>
      <c r="AF58" s="26" t="s">
        <v>364</v>
      </c>
      <c r="AG58" s="26" t="s">
        <v>493</v>
      </c>
      <c r="AH58" s="26" t="s">
        <v>494</v>
      </c>
      <c r="AI58" s="26" t="s">
        <v>495</v>
      </c>
      <c r="AJ58" s="53">
        <v>36000</v>
      </c>
      <c r="AK58" s="22" t="s">
        <v>496</v>
      </c>
      <c r="AL58" s="44" t="s">
        <v>395</v>
      </c>
      <c r="AM58" s="44" t="s">
        <v>395</v>
      </c>
      <c r="AN58" s="44" t="s">
        <v>395</v>
      </c>
      <c r="AO58" s="44" t="s">
        <v>395</v>
      </c>
      <c r="AP58" s="44" t="s">
        <v>395</v>
      </c>
      <c r="AQ58" s="44" t="s">
        <v>395</v>
      </c>
      <c r="AR58" s="44" t="s">
        <v>395</v>
      </c>
      <c r="AS58" s="44" t="s">
        <v>395</v>
      </c>
      <c r="AT58" s="44" t="s">
        <v>395</v>
      </c>
      <c r="AU58" s="44" t="s">
        <v>395</v>
      </c>
      <c r="AV58" s="44" t="s">
        <v>395</v>
      </c>
      <c r="AW58" s="44" t="s">
        <v>395</v>
      </c>
      <c r="AX58" s="26" t="s">
        <v>347</v>
      </c>
      <c r="AY58" s="26"/>
    </row>
    <row r="59" spans="1:51" ht="105" customHeight="1" x14ac:dyDescent="0.25">
      <c r="A59" s="21" t="s">
        <v>49</v>
      </c>
      <c r="B59" s="22" t="s">
        <v>50</v>
      </c>
      <c r="C59" s="765"/>
      <c r="D59" s="765"/>
      <c r="E59" s="765"/>
      <c r="F59" s="21" t="s">
        <v>172</v>
      </c>
      <c r="G59" s="765"/>
      <c r="H59" s="22" t="s">
        <v>176</v>
      </c>
      <c r="I59" s="22" t="s">
        <v>177</v>
      </c>
      <c r="J59" s="23">
        <v>0</v>
      </c>
      <c r="K59" s="23" t="s">
        <v>323</v>
      </c>
      <c r="L59" s="25">
        <v>800</v>
      </c>
      <c r="M59" s="23">
        <f>(100+200)</f>
        <v>300</v>
      </c>
      <c r="N59" s="22" t="s">
        <v>177</v>
      </c>
      <c r="O59" s="32">
        <v>200</v>
      </c>
      <c r="P59" s="28">
        <f t="shared" si="0"/>
        <v>220000</v>
      </c>
      <c r="Q59" s="11">
        <f>(100000+120000)</f>
        <v>220000</v>
      </c>
      <c r="R59" s="11"/>
      <c r="S59" s="11"/>
      <c r="T59" s="11"/>
      <c r="U59" s="11"/>
      <c r="V59" s="11"/>
      <c r="W59" s="11"/>
      <c r="X59" s="11"/>
      <c r="Y59" s="11"/>
      <c r="Z59" s="11"/>
      <c r="AA59" s="11"/>
      <c r="AB59" s="11"/>
      <c r="AC59" s="11"/>
      <c r="AD59" s="11"/>
      <c r="AE59" s="26" t="s">
        <v>497</v>
      </c>
      <c r="AF59" s="26" t="s">
        <v>364</v>
      </c>
      <c r="AG59" s="26" t="s">
        <v>392</v>
      </c>
      <c r="AH59" s="26" t="s">
        <v>393</v>
      </c>
      <c r="AI59" s="26" t="s">
        <v>498</v>
      </c>
      <c r="AJ59" s="53">
        <v>120000</v>
      </c>
      <c r="AK59" s="22" t="s">
        <v>499</v>
      </c>
      <c r="AL59" s="44" t="s">
        <v>395</v>
      </c>
      <c r="AM59" s="44" t="s">
        <v>395</v>
      </c>
      <c r="AN59" s="44" t="s">
        <v>395</v>
      </c>
      <c r="AO59" s="44" t="s">
        <v>395</v>
      </c>
      <c r="AP59" s="44" t="s">
        <v>395</v>
      </c>
      <c r="AQ59" s="44" t="s">
        <v>395</v>
      </c>
      <c r="AR59" s="44" t="s">
        <v>395</v>
      </c>
      <c r="AS59" s="44" t="s">
        <v>395</v>
      </c>
      <c r="AT59" s="44" t="s">
        <v>395</v>
      </c>
      <c r="AU59" s="44" t="s">
        <v>395</v>
      </c>
      <c r="AV59" s="44" t="s">
        <v>395</v>
      </c>
      <c r="AW59" s="44" t="s">
        <v>395</v>
      </c>
      <c r="AX59" s="26" t="s">
        <v>348</v>
      </c>
      <c r="AY59" s="26"/>
    </row>
    <row r="60" spans="1:51" ht="96.75" customHeight="1" x14ac:dyDescent="0.25">
      <c r="A60" s="21" t="s">
        <v>49</v>
      </c>
      <c r="B60" s="22" t="s">
        <v>50</v>
      </c>
      <c r="C60" s="763" t="s">
        <v>178</v>
      </c>
      <c r="D60" s="763" t="s">
        <v>179</v>
      </c>
      <c r="E60" s="763" t="s">
        <v>180</v>
      </c>
      <c r="F60" s="21" t="s">
        <v>181</v>
      </c>
      <c r="G60" s="763" t="s">
        <v>182</v>
      </c>
      <c r="H60" s="21" t="s">
        <v>183</v>
      </c>
      <c r="I60" s="22" t="s">
        <v>184</v>
      </c>
      <c r="J60" s="23">
        <v>0</v>
      </c>
      <c r="K60" s="23" t="s">
        <v>323</v>
      </c>
      <c r="L60" s="39">
        <v>0.5</v>
      </c>
      <c r="M60" s="39">
        <f>(7%+20%)</f>
        <v>0.27</v>
      </c>
      <c r="N60" s="22" t="s">
        <v>184</v>
      </c>
      <c r="O60" s="61">
        <v>0</v>
      </c>
      <c r="P60" s="28">
        <f t="shared" si="0"/>
        <v>174000</v>
      </c>
      <c r="Q60" s="11">
        <f>(18000+6000)</f>
        <v>24000</v>
      </c>
      <c r="R60" s="11"/>
      <c r="S60" s="11"/>
      <c r="T60" s="11">
        <f>(60000+90000)</f>
        <v>150000</v>
      </c>
      <c r="U60" s="11"/>
      <c r="V60" s="11"/>
      <c r="W60" s="11"/>
      <c r="X60" s="11"/>
      <c r="Y60" s="11"/>
      <c r="Z60" s="11"/>
      <c r="AA60" s="11"/>
      <c r="AB60" s="11"/>
      <c r="AC60" s="11"/>
      <c r="AD60" s="11"/>
      <c r="AE60" s="26" t="s">
        <v>500</v>
      </c>
      <c r="AF60" s="26" t="s">
        <v>364</v>
      </c>
      <c r="AG60" s="26" t="s">
        <v>392</v>
      </c>
      <c r="AH60" s="26" t="s">
        <v>393</v>
      </c>
      <c r="AI60" s="26">
        <v>748</v>
      </c>
      <c r="AJ60" s="51">
        <v>96000</v>
      </c>
      <c r="AK60" s="22" t="s">
        <v>501</v>
      </c>
      <c r="AL60" s="44"/>
      <c r="AM60" s="44" t="s">
        <v>395</v>
      </c>
      <c r="AN60" s="44" t="s">
        <v>395</v>
      </c>
      <c r="AO60" s="44" t="s">
        <v>395</v>
      </c>
      <c r="AP60" s="44" t="s">
        <v>395</v>
      </c>
      <c r="AQ60" s="44" t="s">
        <v>395</v>
      </c>
      <c r="AR60" s="44" t="s">
        <v>395</v>
      </c>
      <c r="AS60" s="44" t="s">
        <v>395</v>
      </c>
      <c r="AT60" s="44" t="s">
        <v>395</v>
      </c>
      <c r="AU60" s="44" t="s">
        <v>395</v>
      </c>
      <c r="AV60" s="44" t="s">
        <v>395</v>
      </c>
      <c r="AW60" s="44"/>
      <c r="AX60" s="26" t="s">
        <v>349</v>
      </c>
      <c r="AY60" s="26"/>
    </row>
    <row r="61" spans="1:51" ht="157.5" customHeight="1" x14ac:dyDescent="0.25">
      <c r="A61" s="21" t="s">
        <v>49</v>
      </c>
      <c r="B61" s="22" t="s">
        <v>50</v>
      </c>
      <c r="C61" s="764"/>
      <c r="D61" s="764"/>
      <c r="E61" s="764"/>
      <c r="F61" s="21" t="s">
        <v>181</v>
      </c>
      <c r="G61" s="764"/>
      <c r="H61" s="21" t="s">
        <v>185</v>
      </c>
      <c r="I61" s="23" t="s">
        <v>186</v>
      </c>
      <c r="J61" s="23">
        <v>1656</v>
      </c>
      <c r="K61" s="23" t="s">
        <v>323</v>
      </c>
      <c r="L61" s="25">
        <v>248</v>
      </c>
      <c r="M61" s="62">
        <v>62</v>
      </c>
      <c r="N61" s="44" t="s">
        <v>186</v>
      </c>
      <c r="O61" s="32">
        <v>62</v>
      </c>
      <c r="P61" s="28">
        <f t="shared" si="0"/>
        <v>1750786</v>
      </c>
      <c r="Q61" s="11"/>
      <c r="R61" s="11"/>
      <c r="S61" s="11"/>
      <c r="T61" s="11">
        <f>(1500000+250786)</f>
        <v>1750786</v>
      </c>
      <c r="U61" s="11"/>
      <c r="V61" s="11"/>
      <c r="W61" s="11"/>
      <c r="X61" s="11"/>
      <c r="Y61" s="11"/>
      <c r="Z61" s="11"/>
      <c r="AA61" s="11"/>
      <c r="AB61" s="11"/>
      <c r="AC61" s="11"/>
      <c r="AD61" s="11"/>
      <c r="AE61" s="26" t="s">
        <v>502</v>
      </c>
      <c r="AF61" s="26" t="s">
        <v>364</v>
      </c>
      <c r="AG61" s="26" t="s">
        <v>503</v>
      </c>
      <c r="AH61" s="26" t="s">
        <v>393</v>
      </c>
      <c r="AI61" s="26" t="s">
        <v>504</v>
      </c>
      <c r="AJ61" s="63">
        <v>1500000</v>
      </c>
      <c r="AK61" s="22" t="s">
        <v>505</v>
      </c>
      <c r="AL61" s="44"/>
      <c r="AM61" s="44" t="s">
        <v>395</v>
      </c>
      <c r="AN61" s="44" t="s">
        <v>395</v>
      </c>
      <c r="AO61" s="44" t="s">
        <v>395</v>
      </c>
      <c r="AP61" s="44" t="s">
        <v>395</v>
      </c>
      <c r="AQ61" s="44" t="s">
        <v>395</v>
      </c>
      <c r="AR61" s="44" t="s">
        <v>395</v>
      </c>
      <c r="AS61" s="44" t="s">
        <v>395</v>
      </c>
      <c r="AT61" s="44" t="s">
        <v>395</v>
      </c>
      <c r="AU61" s="44" t="s">
        <v>395</v>
      </c>
      <c r="AV61" s="44" t="s">
        <v>395</v>
      </c>
      <c r="AW61" s="44"/>
      <c r="AX61" s="26" t="s">
        <v>349</v>
      </c>
      <c r="AY61" s="26"/>
    </row>
    <row r="62" spans="1:51" ht="98.25" customHeight="1" x14ac:dyDescent="0.25">
      <c r="A62" s="21" t="s">
        <v>49</v>
      </c>
      <c r="B62" s="22" t="s">
        <v>50</v>
      </c>
      <c r="C62" s="764"/>
      <c r="D62" s="764"/>
      <c r="E62" s="764"/>
      <c r="F62" s="21" t="s">
        <v>181</v>
      </c>
      <c r="G62" s="764"/>
      <c r="H62" s="22" t="s">
        <v>187</v>
      </c>
      <c r="I62" s="22" t="s">
        <v>188</v>
      </c>
      <c r="J62" s="23">
        <v>0</v>
      </c>
      <c r="K62" s="23" t="s">
        <v>323</v>
      </c>
      <c r="L62" s="25">
        <v>1</v>
      </c>
      <c r="M62" s="23">
        <v>0.4</v>
      </c>
      <c r="N62" s="26" t="s">
        <v>385</v>
      </c>
      <c r="O62" s="32">
        <v>0</v>
      </c>
      <c r="P62" s="28">
        <f t="shared" si="0"/>
        <v>6112000</v>
      </c>
      <c r="Q62" s="11">
        <f>(64000+48000)</f>
        <v>112000</v>
      </c>
      <c r="R62" s="11"/>
      <c r="S62" s="11"/>
      <c r="T62" s="11"/>
      <c r="U62" s="11"/>
      <c r="V62" s="11"/>
      <c r="W62" s="11">
        <v>6000000</v>
      </c>
      <c r="X62" s="11"/>
      <c r="Y62" s="11"/>
      <c r="Z62" s="11"/>
      <c r="AA62" s="11"/>
      <c r="AB62" s="11"/>
      <c r="AC62" s="11"/>
      <c r="AD62" s="11"/>
      <c r="AE62" s="26" t="s">
        <v>364</v>
      </c>
      <c r="AF62" s="26" t="s">
        <v>364</v>
      </c>
      <c r="AG62" s="26" t="s">
        <v>364</v>
      </c>
      <c r="AH62" s="26" t="s">
        <v>364</v>
      </c>
      <c r="AI62" s="26" t="s">
        <v>364</v>
      </c>
      <c r="AJ62" s="26" t="s">
        <v>364</v>
      </c>
      <c r="AK62" s="26" t="s">
        <v>506</v>
      </c>
      <c r="AL62" s="44"/>
      <c r="AM62" s="52" t="s">
        <v>395</v>
      </c>
      <c r="AN62" s="52" t="s">
        <v>395</v>
      </c>
      <c r="AO62" s="52" t="s">
        <v>395</v>
      </c>
      <c r="AP62" s="52" t="s">
        <v>395</v>
      </c>
      <c r="AQ62" s="52" t="s">
        <v>395</v>
      </c>
      <c r="AR62" s="52" t="s">
        <v>395</v>
      </c>
      <c r="AS62" s="52" t="s">
        <v>395</v>
      </c>
      <c r="AT62" s="52" t="s">
        <v>395</v>
      </c>
      <c r="AU62" s="52" t="s">
        <v>395</v>
      </c>
      <c r="AV62" s="52" t="s">
        <v>395</v>
      </c>
      <c r="AW62" s="44"/>
      <c r="AX62" s="26" t="s">
        <v>350</v>
      </c>
      <c r="AY62" s="26"/>
    </row>
    <row r="63" spans="1:51" ht="121.5" customHeight="1" x14ac:dyDescent="0.25">
      <c r="A63" s="21" t="s">
        <v>49</v>
      </c>
      <c r="B63" s="22" t="s">
        <v>50</v>
      </c>
      <c r="C63" s="764"/>
      <c r="D63" s="764"/>
      <c r="E63" s="764"/>
      <c r="F63" s="21" t="s">
        <v>181</v>
      </c>
      <c r="G63" s="764"/>
      <c r="H63" s="22" t="s">
        <v>189</v>
      </c>
      <c r="I63" s="22" t="s">
        <v>190</v>
      </c>
      <c r="J63" s="23">
        <v>0</v>
      </c>
      <c r="K63" s="23" t="s">
        <v>323</v>
      </c>
      <c r="L63" s="25">
        <v>1</v>
      </c>
      <c r="M63" s="23">
        <v>0.3</v>
      </c>
      <c r="N63" s="22" t="s">
        <v>190</v>
      </c>
      <c r="O63" s="32">
        <v>0.4</v>
      </c>
      <c r="P63" s="28">
        <f t="shared" si="0"/>
        <v>450000</v>
      </c>
      <c r="Q63" s="11">
        <f>(48000+32000)</f>
        <v>80000</v>
      </c>
      <c r="R63" s="11"/>
      <c r="S63" s="11"/>
      <c r="T63" s="11">
        <f>(80000+20000)</f>
        <v>100000</v>
      </c>
      <c r="U63" s="11"/>
      <c r="V63" s="11"/>
      <c r="W63" s="11"/>
      <c r="X63" s="11"/>
      <c r="Y63" s="11">
        <f>(40000+30000)</f>
        <v>70000</v>
      </c>
      <c r="Z63" s="11"/>
      <c r="AA63" s="11"/>
      <c r="AB63" s="11">
        <f>(80000+120000)</f>
        <v>200000</v>
      </c>
      <c r="AC63" s="11"/>
      <c r="AD63" s="11"/>
      <c r="AE63" s="26" t="s">
        <v>606</v>
      </c>
      <c r="AF63" s="26" t="s">
        <v>364</v>
      </c>
      <c r="AG63" s="26" t="s">
        <v>392</v>
      </c>
      <c r="AH63" s="26" t="s">
        <v>393</v>
      </c>
      <c r="AI63" s="26" t="s">
        <v>364</v>
      </c>
      <c r="AJ63" s="26" t="s">
        <v>364</v>
      </c>
      <c r="AK63" s="26" t="s">
        <v>364</v>
      </c>
      <c r="AL63" s="44"/>
      <c r="AM63" s="44" t="s">
        <v>395</v>
      </c>
      <c r="AN63" s="44" t="s">
        <v>395</v>
      </c>
      <c r="AO63" s="44" t="s">
        <v>395</v>
      </c>
      <c r="AP63" s="44" t="s">
        <v>395</v>
      </c>
      <c r="AQ63" s="44" t="s">
        <v>395</v>
      </c>
      <c r="AR63" s="44" t="s">
        <v>395</v>
      </c>
      <c r="AS63" s="44" t="s">
        <v>395</v>
      </c>
      <c r="AT63" s="44" t="s">
        <v>395</v>
      </c>
      <c r="AU63" s="44" t="s">
        <v>395</v>
      </c>
      <c r="AV63" s="44" t="s">
        <v>395</v>
      </c>
      <c r="AW63" s="44" t="s">
        <v>395</v>
      </c>
      <c r="AX63" s="26" t="s">
        <v>351</v>
      </c>
      <c r="AY63" s="26"/>
    </row>
    <row r="64" spans="1:51" ht="135" customHeight="1" x14ac:dyDescent="0.25">
      <c r="A64" s="21" t="s">
        <v>49</v>
      </c>
      <c r="B64" s="22" t="s">
        <v>50</v>
      </c>
      <c r="C64" s="764"/>
      <c r="D64" s="764"/>
      <c r="E64" s="764"/>
      <c r="F64" s="21" t="s">
        <v>181</v>
      </c>
      <c r="G64" s="764"/>
      <c r="H64" s="22" t="s">
        <v>191</v>
      </c>
      <c r="I64" s="22" t="s">
        <v>192</v>
      </c>
      <c r="J64" s="23">
        <v>0</v>
      </c>
      <c r="K64" s="23" t="s">
        <v>323</v>
      </c>
      <c r="L64" s="25">
        <v>1200</v>
      </c>
      <c r="M64" s="23">
        <v>382</v>
      </c>
      <c r="N64" s="22" t="s">
        <v>192</v>
      </c>
      <c r="O64" s="32">
        <v>496</v>
      </c>
      <c r="P64" s="28">
        <f t="shared" si="0"/>
        <v>419000</v>
      </c>
      <c r="Q64" s="11">
        <v>20000</v>
      </c>
      <c r="R64" s="11"/>
      <c r="S64" s="11"/>
      <c r="T64" s="11">
        <v>15000</v>
      </c>
      <c r="U64" s="11"/>
      <c r="V64" s="11"/>
      <c r="W64" s="11"/>
      <c r="X64" s="11"/>
      <c r="Y64" s="11"/>
      <c r="Z64" s="11"/>
      <c r="AA64" s="11"/>
      <c r="AB64" s="11">
        <v>384000</v>
      </c>
      <c r="AC64" s="11"/>
      <c r="AD64" s="11"/>
      <c r="AE64" s="26" t="s">
        <v>507</v>
      </c>
      <c r="AF64" s="26" t="s">
        <v>364</v>
      </c>
      <c r="AG64" s="26" t="s">
        <v>508</v>
      </c>
      <c r="AH64" s="26" t="s">
        <v>509</v>
      </c>
      <c r="AI64" s="50" t="s">
        <v>550</v>
      </c>
      <c r="AJ64" s="53">
        <v>675000</v>
      </c>
      <c r="AK64" s="50" t="s">
        <v>550</v>
      </c>
      <c r="AL64" s="44"/>
      <c r="AM64" s="44"/>
      <c r="AN64" s="44"/>
      <c r="AO64" s="44"/>
      <c r="AP64" s="44"/>
      <c r="AQ64" s="44" t="s">
        <v>395</v>
      </c>
      <c r="AR64" s="44" t="s">
        <v>395</v>
      </c>
      <c r="AS64" s="44" t="s">
        <v>395</v>
      </c>
      <c r="AT64" s="44" t="s">
        <v>395</v>
      </c>
      <c r="AU64" s="44" t="s">
        <v>395</v>
      </c>
      <c r="AV64" s="44" t="s">
        <v>395</v>
      </c>
      <c r="AW64" s="44"/>
      <c r="AX64" s="26" t="s">
        <v>351</v>
      </c>
      <c r="AY64" s="26"/>
    </row>
    <row r="65" spans="1:51" ht="165" customHeight="1" x14ac:dyDescent="0.25">
      <c r="A65" s="21" t="s">
        <v>49</v>
      </c>
      <c r="B65" s="22" t="s">
        <v>50</v>
      </c>
      <c r="C65" s="764"/>
      <c r="D65" s="764"/>
      <c r="E65" s="764"/>
      <c r="F65" s="21" t="s">
        <v>181</v>
      </c>
      <c r="G65" s="764"/>
      <c r="H65" s="22" t="s">
        <v>193</v>
      </c>
      <c r="I65" s="22" t="s">
        <v>194</v>
      </c>
      <c r="J65" s="23">
        <f>12+76</f>
        <v>88</v>
      </c>
      <c r="K65" s="23" t="s">
        <v>323</v>
      </c>
      <c r="L65" s="25">
        <v>200</v>
      </c>
      <c r="M65" s="23">
        <v>60</v>
      </c>
      <c r="N65" s="22" t="s">
        <v>194</v>
      </c>
      <c r="O65" s="32">
        <v>70</v>
      </c>
      <c r="P65" s="28">
        <f t="shared" si="0"/>
        <v>3334000</v>
      </c>
      <c r="Q65" s="11">
        <f>(42000+24000)</f>
        <v>66000</v>
      </c>
      <c r="R65" s="11"/>
      <c r="S65" s="11"/>
      <c r="T65" s="11"/>
      <c r="U65" s="11"/>
      <c r="V65" s="11"/>
      <c r="W65" s="11"/>
      <c r="X65" s="11"/>
      <c r="Y65" s="11"/>
      <c r="Z65" s="11"/>
      <c r="AA65" s="11"/>
      <c r="AB65" s="11"/>
      <c r="AC65" s="11"/>
      <c r="AD65" s="11">
        <f>(1634000+1634000)</f>
        <v>3268000</v>
      </c>
      <c r="AE65" s="54" t="s">
        <v>510</v>
      </c>
      <c r="AF65" s="26">
        <v>2013000030059</v>
      </c>
      <c r="AG65" s="26" t="s">
        <v>392</v>
      </c>
      <c r="AH65" s="26" t="s">
        <v>393</v>
      </c>
      <c r="AI65" s="26" t="s">
        <v>511</v>
      </c>
      <c r="AJ65" s="64">
        <v>1599</v>
      </c>
      <c r="AK65" s="26" t="s">
        <v>512</v>
      </c>
      <c r="AL65" s="44" t="s">
        <v>395</v>
      </c>
      <c r="AM65" s="44" t="s">
        <v>395</v>
      </c>
      <c r="AN65" s="44" t="s">
        <v>395</v>
      </c>
      <c r="AO65" s="44" t="s">
        <v>395</v>
      </c>
      <c r="AP65" s="44" t="s">
        <v>395</v>
      </c>
      <c r="AQ65" s="44" t="s">
        <v>395</v>
      </c>
      <c r="AR65" s="44" t="s">
        <v>395</v>
      </c>
      <c r="AS65" s="44" t="s">
        <v>395</v>
      </c>
      <c r="AT65" s="44" t="s">
        <v>395</v>
      </c>
      <c r="AU65" s="44" t="s">
        <v>395</v>
      </c>
      <c r="AV65" s="44" t="s">
        <v>395</v>
      </c>
      <c r="AW65" s="44" t="s">
        <v>395</v>
      </c>
      <c r="AX65" s="26" t="s">
        <v>352</v>
      </c>
      <c r="AY65" s="50"/>
    </row>
    <row r="66" spans="1:51" ht="105" customHeight="1" x14ac:dyDescent="0.25">
      <c r="A66" s="21" t="s">
        <v>49</v>
      </c>
      <c r="B66" s="22" t="s">
        <v>50</v>
      </c>
      <c r="C66" s="764"/>
      <c r="D66" s="764"/>
      <c r="E66" s="764"/>
      <c r="F66" s="21" t="s">
        <v>181</v>
      </c>
      <c r="G66" s="764"/>
      <c r="H66" s="22" t="s">
        <v>195</v>
      </c>
      <c r="I66" s="22" t="s">
        <v>196</v>
      </c>
      <c r="J66" s="23">
        <v>1295</v>
      </c>
      <c r="K66" s="23" t="s">
        <v>323</v>
      </c>
      <c r="L66" s="25">
        <v>5634</v>
      </c>
      <c r="M66" s="23">
        <v>1690</v>
      </c>
      <c r="N66" s="22" t="s">
        <v>196</v>
      </c>
      <c r="O66" s="32">
        <v>4593</v>
      </c>
      <c r="P66" s="28">
        <f t="shared" si="0"/>
        <v>1456500</v>
      </c>
      <c r="Q66" s="11">
        <f>(18000+12000)</f>
        <v>30000</v>
      </c>
      <c r="R66" s="11"/>
      <c r="S66" s="11"/>
      <c r="T66" s="11"/>
      <c r="U66" s="11"/>
      <c r="V66" s="11"/>
      <c r="W66" s="11"/>
      <c r="X66" s="11"/>
      <c r="Y66" s="11">
        <f>(475500+951000)</f>
        <v>1426500</v>
      </c>
      <c r="Z66" s="11"/>
      <c r="AA66" s="11"/>
      <c r="AB66" s="11"/>
      <c r="AC66" s="11"/>
      <c r="AD66" s="11"/>
      <c r="AE66" s="26" t="s">
        <v>607</v>
      </c>
      <c r="AF66" s="26" t="s">
        <v>364</v>
      </c>
      <c r="AG66" s="26" t="s">
        <v>513</v>
      </c>
      <c r="AH66" s="54" t="s">
        <v>449</v>
      </c>
      <c r="AI66" s="26" t="s">
        <v>514</v>
      </c>
      <c r="AJ66" s="53">
        <v>963000</v>
      </c>
      <c r="AK66" s="22" t="s">
        <v>515</v>
      </c>
      <c r="AL66" s="44"/>
      <c r="AM66" s="44" t="s">
        <v>395</v>
      </c>
      <c r="AN66" s="44" t="s">
        <v>395</v>
      </c>
      <c r="AO66" s="44" t="s">
        <v>395</v>
      </c>
      <c r="AP66" s="44" t="s">
        <v>395</v>
      </c>
      <c r="AQ66" s="44" t="s">
        <v>395</v>
      </c>
      <c r="AR66" s="44" t="s">
        <v>395</v>
      </c>
      <c r="AS66" s="44" t="s">
        <v>395</v>
      </c>
      <c r="AT66" s="44" t="s">
        <v>395</v>
      </c>
      <c r="AU66" s="44" t="s">
        <v>395</v>
      </c>
      <c r="AV66" s="44" t="s">
        <v>395</v>
      </c>
      <c r="AW66" s="44"/>
      <c r="AX66" s="26" t="s">
        <v>353</v>
      </c>
      <c r="AY66" s="26"/>
    </row>
    <row r="67" spans="1:51" ht="116.25" customHeight="1" x14ac:dyDescent="0.25">
      <c r="A67" s="21" t="s">
        <v>49</v>
      </c>
      <c r="B67" s="22" t="s">
        <v>50</v>
      </c>
      <c r="C67" s="764"/>
      <c r="D67" s="764"/>
      <c r="E67" s="764"/>
      <c r="F67" s="21" t="s">
        <v>181</v>
      </c>
      <c r="G67" s="764"/>
      <c r="H67" s="22" t="s">
        <v>197</v>
      </c>
      <c r="I67" s="22" t="s">
        <v>198</v>
      </c>
      <c r="J67" s="23">
        <v>0</v>
      </c>
      <c r="K67" s="23" t="s">
        <v>323</v>
      </c>
      <c r="L67" s="25">
        <v>1</v>
      </c>
      <c r="M67" s="23">
        <v>0.5</v>
      </c>
      <c r="N67" s="44" t="s">
        <v>198</v>
      </c>
      <c r="O67" s="32">
        <v>0.4</v>
      </c>
      <c r="P67" s="28">
        <f t="shared" si="0"/>
        <v>330000</v>
      </c>
      <c r="Q67" s="11">
        <f>(90000+90000)</f>
        <v>180000</v>
      </c>
      <c r="R67" s="11"/>
      <c r="S67" s="11"/>
      <c r="T67" s="11"/>
      <c r="U67" s="11"/>
      <c r="V67" s="11"/>
      <c r="W67" s="11"/>
      <c r="X67" s="11"/>
      <c r="Y67" s="11">
        <f>(40000+60000)</f>
        <v>100000</v>
      </c>
      <c r="Z67" s="11"/>
      <c r="AA67" s="11"/>
      <c r="AB67" s="11">
        <v>50000</v>
      </c>
      <c r="AC67" s="11"/>
      <c r="AD67" s="11"/>
      <c r="AE67" s="26" t="s">
        <v>516</v>
      </c>
      <c r="AF67" s="26" t="s">
        <v>364</v>
      </c>
      <c r="AG67" s="26" t="s">
        <v>517</v>
      </c>
      <c r="AH67" s="26" t="s">
        <v>518</v>
      </c>
      <c r="AI67" s="26" t="s">
        <v>519</v>
      </c>
      <c r="AJ67" s="26">
        <v>38000</v>
      </c>
      <c r="AK67" s="26" t="s">
        <v>520</v>
      </c>
      <c r="AL67" s="44" t="s">
        <v>395</v>
      </c>
      <c r="AM67" s="44" t="s">
        <v>395</v>
      </c>
      <c r="AN67" s="44" t="s">
        <v>395</v>
      </c>
      <c r="AO67" s="44" t="s">
        <v>395</v>
      </c>
      <c r="AP67" s="44" t="s">
        <v>395</v>
      </c>
      <c r="AQ67" s="44" t="s">
        <v>395</v>
      </c>
      <c r="AR67" s="44" t="s">
        <v>395</v>
      </c>
      <c r="AS67" s="44" t="s">
        <v>395</v>
      </c>
      <c r="AT67" s="44" t="s">
        <v>395</v>
      </c>
      <c r="AU67" s="44" t="s">
        <v>395</v>
      </c>
      <c r="AV67" s="44" t="s">
        <v>395</v>
      </c>
      <c r="AW67" s="44" t="s">
        <v>395</v>
      </c>
      <c r="AX67" s="26" t="s">
        <v>352</v>
      </c>
      <c r="AY67" s="26"/>
    </row>
    <row r="68" spans="1:51" ht="221.25" customHeight="1" x14ac:dyDescent="0.25">
      <c r="A68" s="21" t="s">
        <v>49</v>
      </c>
      <c r="B68" s="22" t="s">
        <v>50</v>
      </c>
      <c r="C68" s="765"/>
      <c r="D68" s="765"/>
      <c r="E68" s="765"/>
      <c r="F68" s="21" t="s">
        <v>181</v>
      </c>
      <c r="G68" s="765"/>
      <c r="H68" s="22" t="s">
        <v>199</v>
      </c>
      <c r="I68" s="22" t="s">
        <v>200</v>
      </c>
      <c r="J68" s="23">
        <v>0</v>
      </c>
      <c r="K68" s="23" t="s">
        <v>323</v>
      </c>
      <c r="L68" s="25">
        <v>21000</v>
      </c>
      <c r="M68" s="23">
        <v>8500</v>
      </c>
      <c r="N68" s="22" t="s">
        <v>200</v>
      </c>
      <c r="O68" s="32">
        <v>300</v>
      </c>
      <c r="P68" s="28">
        <f t="shared" si="0"/>
        <v>189000</v>
      </c>
      <c r="Q68" s="11">
        <f>(20000+80000)</f>
        <v>100000</v>
      </c>
      <c r="R68" s="11"/>
      <c r="S68" s="11"/>
      <c r="T68" s="11"/>
      <c r="U68" s="11"/>
      <c r="V68" s="11"/>
      <c r="W68" s="11"/>
      <c r="X68" s="11"/>
      <c r="Y68" s="11">
        <v>40000</v>
      </c>
      <c r="Z68" s="11"/>
      <c r="AA68" s="11"/>
      <c r="AB68" s="11">
        <v>49000</v>
      </c>
      <c r="AC68" s="11"/>
      <c r="AD68" s="11"/>
      <c r="AE68" s="26" t="s">
        <v>608</v>
      </c>
      <c r="AF68" s="26" t="s">
        <v>364</v>
      </c>
      <c r="AG68" s="26" t="s">
        <v>521</v>
      </c>
      <c r="AH68" s="26" t="s">
        <v>522</v>
      </c>
      <c r="AI68" s="26" t="s">
        <v>523</v>
      </c>
      <c r="AJ68" s="53">
        <v>110000</v>
      </c>
      <c r="AK68" s="22" t="s">
        <v>524</v>
      </c>
      <c r="AL68" s="44"/>
      <c r="AM68" s="44"/>
      <c r="AN68" s="44"/>
      <c r="AO68" s="44"/>
      <c r="AP68" s="44"/>
      <c r="AQ68" s="44"/>
      <c r="AR68" s="44" t="s">
        <v>395</v>
      </c>
      <c r="AS68" s="44" t="s">
        <v>395</v>
      </c>
      <c r="AT68" s="44" t="s">
        <v>395</v>
      </c>
      <c r="AU68" s="44" t="s">
        <v>395</v>
      </c>
      <c r="AV68" s="44" t="s">
        <v>395</v>
      </c>
      <c r="AW68" s="44"/>
      <c r="AX68" s="26" t="s">
        <v>354</v>
      </c>
      <c r="AY68" s="26"/>
    </row>
    <row r="69" spans="1:51" ht="87.75" customHeight="1" x14ac:dyDescent="0.25">
      <c r="A69" s="22" t="s">
        <v>201</v>
      </c>
      <c r="B69" s="22" t="s">
        <v>202</v>
      </c>
      <c r="C69" s="763" t="s">
        <v>203</v>
      </c>
      <c r="D69" s="763" t="s">
        <v>204</v>
      </c>
      <c r="E69" s="763">
        <v>988</v>
      </c>
      <c r="F69" s="21" t="s">
        <v>205</v>
      </c>
      <c r="G69" s="763" t="s">
        <v>206</v>
      </c>
      <c r="H69" s="22" t="s">
        <v>207</v>
      </c>
      <c r="I69" s="22" t="s">
        <v>208</v>
      </c>
      <c r="J69" s="23">
        <v>4500</v>
      </c>
      <c r="K69" s="23" t="s">
        <v>323</v>
      </c>
      <c r="L69" s="25">
        <v>300</v>
      </c>
      <c r="M69" s="23">
        <v>100</v>
      </c>
      <c r="N69" s="22" t="s">
        <v>208</v>
      </c>
      <c r="O69" s="32">
        <v>200</v>
      </c>
      <c r="P69" s="28">
        <f t="shared" si="0"/>
        <v>500000</v>
      </c>
      <c r="Q69" s="11"/>
      <c r="R69" s="11"/>
      <c r="S69" s="11"/>
      <c r="T69" s="11"/>
      <c r="U69" s="11"/>
      <c r="V69" s="11"/>
      <c r="W69" s="11"/>
      <c r="X69" s="11"/>
      <c r="Y69" s="11"/>
      <c r="Z69" s="11"/>
      <c r="AA69" s="11"/>
      <c r="AB69" s="11"/>
      <c r="AC69" s="11"/>
      <c r="AD69" s="11">
        <v>500000</v>
      </c>
      <c r="AE69" s="26" t="s">
        <v>609</v>
      </c>
      <c r="AF69" s="26" t="s">
        <v>364</v>
      </c>
      <c r="AG69" s="26" t="s">
        <v>392</v>
      </c>
      <c r="AH69" s="26" t="s">
        <v>393</v>
      </c>
      <c r="AI69" s="26" t="s">
        <v>525</v>
      </c>
      <c r="AJ69" s="63">
        <v>500000</v>
      </c>
      <c r="AK69" s="22" t="s">
        <v>526</v>
      </c>
      <c r="AL69" s="44" t="s">
        <v>395</v>
      </c>
      <c r="AM69" s="44" t="s">
        <v>395</v>
      </c>
      <c r="AN69" s="44" t="s">
        <v>395</v>
      </c>
      <c r="AO69" s="44" t="s">
        <v>395</v>
      </c>
      <c r="AP69" s="44" t="s">
        <v>395</v>
      </c>
      <c r="AQ69" s="44" t="s">
        <v>395</v>
      </c>
      <c r="AR69" s="44" t="s">
        <v>395</v>
      </c>
      <c r="AS69" s="44" t="s">
        <v>395</v>
      </c>
      <c r="AT69" s="44" t="s">
        <v>395</v>
      </c>
      <c r="AU69" s="44" t="s">
        <v>395</v>
      </c>
      <c r="AV69" s="44" t="s">
        <v>395</v>
      </c>
      <c r="AW69" s="44" t="s">
        <v>395</v>
      </c>
      <c r="AX69" s="26" t="s">
        <v>355</v>
      </c>
      <c r="AY69" s="26"/>
    </row>
    <row r="70" spans="1:51" ht="151.5" customHeight="1" x14ac:dyDescent="0.25">
      <c r="A70" s="22" t="s">
        <v>201</v>
      </c>
      <c r="B70" s="22" t="s">
        <v>202</v>
      </c>
      <c r="C70" s="764"/>
      <c r="D70" s="764"/>
      <c r="E70" s="764"/>
      <c r="F70" s="21" t="s">
        <v>205</v>
      </c>
      <c r="G70" s="764"/>
      <c r="H70" s="22" t="s">
        <v>209</v>
      </c>
      <c r="I70" s="22" t="s">
        <v>210</v>
      </c>
      <c r="J70" s="23">
        <v>988</v>
      </c>
      <c r="K70" s="23" t="s">
        <v>323</v>
      </c>
      <c r="L70" s="25">
        <v>219</v>
      </c>
      <c r="M70" s="23">
        <v>109.5</v>
      </c>
      <c r="N70" s="22" t="s">
        <v>210</v>
      </c>
      <c r="O70" s="32">
        <v>1097</v>
      </c>
      <c r="P70" s="28">
        <f t="shared" si="0"/>
        <v>5172000</v>
      </c>
      <c r="Q70" s="11"/>
      <c r="R70" s="11"/>
      <c r="S70" s="11"/>
      <c r="T70" s="11"/>
      <c r="U70" s="11"/>
      <c r="V70" s="11"/>
      <c r="W70" s="11"/>
      <c r="X70" s="11"/>
      <c r="Y70" s="11"/>
      <c r="Z70" s="11"/>
      <c r="AA70" s="11"/>
      <c r="AB70" s="11"/>
      <c r="AC70" s="11"/>
      <c r="AD70" s="11">
        <f>(3780000+1392000)</f>
        <v>5172000</v>
      </c>
      <c r="AE70" s="26" t="s">
        <v>610</v>
      </c>
      <c r="AF70" s="26" t="s">
        <v>364</v>
      </c>
      <c r="AG70" s="26" t="s">
        <v>392</v>
      </c>
      <c r="AH70" s="26" t="s">
        <v>393</v>
      </c>
      <c r="AI70" s="26" t="s">
        <v>527</v>
      </c>
      <c r="AJ70" s="63">
        <v>3780000</v>
      </c>
      <c r="AK70" s="26" t="s">
        <v>528</v>
      </c>
      <c r="AL70" s="44"/>
      <c r="AM70" s="44" t="s">
        <v>395</v>
      </c>
      <c r="AN70" s="44" t="s">
        <v>395</v>
      </c>
      <c r="AO70" s="44" t="s">
        <v>395</v>
      </c>
      <c r="AP70" s="44" t="s">
        <v>395</v>
      </c>
      <c r="AQ70" s="44" t="s">
        <v>395</v>
      </c>
      <c r="AR70" s="44" t="s">
        <v>395</v>
      </c>
      <c r="AS70" s="44" t="s">
        <v>395</v>
      </c>
      <c r="AT70" s="44" t="s">
        <v>395</v>
      </c>
      <c r="AU70" s="44" t="s">
        <v>395</v>
      </c>
      <c r="AV70" s="44" t="s">
        <v>395</v>
      </c>
      <c r="AW70" s="44" t="s">
        <v>395</v>
      </c>
      <c r="AX70" s="26" t="s">
        <v>356</v>
      </c>
      <c r="AY70" s="26"/>
    </row>
    <row r="71" spans="1:51" ht="257.25" customHeight="1" x14ac:dyDescent="0.25">
      <c r="A71" s="22" t="s">
        <v>201</v>
      </c>
      <c r="B71" s="22" t="s">
        <v>202</v>
      </c>
      <c r="C71" s="765"/>
      <c r="D71" s="765"/>
      <c r="E71" s="765"/>
      <c r="F71" s="21" t="s">
        <v>205</v>
      </c>
      <c r="G71" s="765"/>
      <c r="H71" s="22" t="s">
        <v>211</v>
      </c>
      <c r="I71" s="22" t="s">
        <v>212</v>
      </c>
      <c r="J71" s="23">
        <v>4</v>
      </c>
      <c r="K71" s="23" t="s">
        <v>322</v>
      </c>
      <c r="L71" s="25">
        <v>2</v>
      </c>
      <c r="M71" s="23">
        <v>2</v>
      </c>
      <c r="N71" s="22" t="s">
        <v>212</v>
      </c>
      <c r="O71" s="32">
        <v>4</v>
      </c>
      <c r="P71" s="28">
        <f t="shared" si="0"/>
        <v>17244000</v>
      </c>
      <c r="Q71" s="11"/>
      <c r="R71" s="11"/>
      <c r="S71" s="11"/>
      <c r="T71" s="11"/>
      <c r="U71" s="11"/>
      <c r="V71" s="11"/>
      <c r="W71" s="11"/>
      <c r="X71" s="11"/>
      <c r="Y71" s="11"/>
      <c r="Z71" s="11"/>
      <c r="AA71" s="11"/>
      <c r="AB71" s="11"/>
      <c r="AC71" s="11"/>
      <c r="AD71" s="11">
        <f>(8622000+8622000)</f>
        <v>17244000</v>
      </c>
      <c r="AE71" s="26" t="s">
        <v>610</v>
      </c>
      <c r="AF71" s="26" t="s">
        <v>364</v>
      </c>
      <c r="AG71" s="26" t="s">
        <v>392</v>
      </c>
      <c r="AH71" s="26" t="s">
        <v>393</v>
      </c>
      <c r="AI71" s="26" t="s">
        <v>527</v>
      </c>
      <c r="AJ71" s="63">
        <v>8622000</v>
      </c>
      <c r="AK71" s="26" t="s">
        <v>529</v>
      </c>
      <c r="AL71" s="44"/>
      <c r="AM71" s="44" t="s">
        <v>395</v>
      </c>
      <c r="AN71" s="44" t="s">
        <v>395</v>
      </c>
      <c r="AO71" s="44" t="s">
        <v>395</v>
      </c>
      <c r="AP71" s="44" t="s">
        <v>395</v>
      </c>
      <c r="AQ71" s="44" t="s">
        <v>395</v>
      </c>
      <c r="AR71" s="44" t="s">
        <v>395</v>
      </c>
      <c r="AS71" s="44" t="s">
        <v>395</v>
      </c>
      <c r="AT71" s="44" t="s">
        <v>395</v>
      </c>
      <c r="AU71" s="44" t="s">
        <v>395</v>
      </c>
      <c r="AV71" s="44" t="s">
        <v>395</v>
      </c>
      <c r="AW71" s="44" t="s">
        <v>395</v>
      </c>
      <c r="AX71" s="26" t="s">
        <v>356</v>
      </c>
      <c r="AY71" s="26"/>
    </row>
    <row r="72" spans="1:51" ht="120" customHeight="1" x14ac:dyDescent="0.25">
      <c r="A72" s="22" t="s">
        <v>201</v>
      </c>
      <c r="B72" s="22" t="s">
        <v>202</v>
      </c>
      <c r="C72" s="22" t="s">
        <v>213</v>
      </c>
      <c r="D72" s="22" t="s">
        <v>214</v>
      </c>
      <c r="E72" s="23">
        <v>0</v>
      </c>
      <c r="F72" s="21" t="s">
        <v>215</v>
      </c>
      <c r="G72" s="763" t="s">
        <v>216</v>
      </c>
      <c r="H72" s="22" t="s">
        <v>217</v>
      </c>
      <c r="I72" s="22" t="s">
        <v>218</v>
      </c>
      <c r="J72" s="23">
        <v>0</v>
      </c>
      <c r="K72" s="23" t="s">
        <v>324</v>
      </c>
      <c r="L72" s="25">
        <v>6</v>
      </c>
      <c r="M72" s="23">
        <v>2</v>
      </c>
      <c r="N72" s="22" t="s">
        <v>386</v>
      </c>
      <c r="O72" s="27">
        <v>1</v>
      </c>
      <c r="P72" s="28">
        <f t="shared" si="0"/>
        <v>30400</v>
      </c>
      <c r="Q72" s="11"/>
      <c r="R72" s="11"/>
      <c r="S72" s="11"/>
      <c r="T72" s="11">
        <v>30400</v>
      </c>
      <c r="U72" s="11"/>
      <c r="V72" s="11"/>
      <c r="W72" s="11"/>
      <c r="X72" s="11"/>
      <c r="Y72" s="11"/>
      <c r="Z72" s="11"/>
      <c r="AA72" s="11"/>
      <c r="AB72" s="11"/>
      <c r="AC72" s="11"/>
      <c r="AD72" s="11"/>
      <c r="AE72" s="26" t="s">
        <v>364</v>
      </c>
      <c r="AF72" s="26" t="s">
        <v>364</v>
      </c>
      <c r="AG72" s="26" t="s">
        <v>392</v>
      </c>
      <c r="AH72" s="26" t="s">
        <v>393</v>
      </c>
      <c r="AI72" s="51" t="s">
        <v>394</v>
      </c>
      <c r="AJ72" s="26" t="s">
        <v>364</v>
      </c>
      <c r="AK72" s="26" t="s">
        <v>364</v>
      </c>
      <c r="AL72" s="44"/>
      <c r="AM72" s="44" t="s">
        <v>395</v>
      </c>
      <c r="AN72" s="44" t="s">
        <v>395</v>
      </c>
      <c r="AO72" s="44" t="s">
        <v>395</v>
      </c>
      <c r="AP72" s="44" t="s">
        <v>395</v>
      </c>
      <c r="AQ72" s="44" t="s">
        <v>395</v>
      </c>
      <c r="AR72" s="44" t="s">
        <v>395</v>
      </c>
      <c r="AS72" s="44" t="s">
        <v>395</v>
      </c>
      <c r="AT72" s="44" t="s">
        <v>395</v>
      </c>
      <c r="AU72" s="44" t="s">
        <v>395</v>
      </c>
      <c r="AV72" s="44" t="s">
        <v>395</v>
      </c>
      <c r="AW72" s="44"/>
      <c r="AX72" s="26" t="s">
        <v>357</v>
      </c>
      <c r="AY72" s="26" t="s">
        <v>594</v>
      </c>
    </row>
    <row r="73" spans="1:51" ht="102.75" customHeight="1" x14ac:dyDescent="0.25">
      <c r="A73" s="22" t="s">
        <v>201</v>
      </c>
      <c r="B73" s="22" t="s">
        <v>202</v>
      </c>
      <c r="C73" s="22" t="s">
        <v>219</v>
      </c>
      <c r="D73" s="22" t="s">
        <v>220</v>
      </c>
      <c r="E73" s="23">
        <v>6</v>
      </c>
      <c r="F73" s="21" t="s">
        <v>215</v>
      </c>
      <c r="G73" s="764"/>
      <c r="H73" s="22" t="s">
        <v>219</v>
      </c>
      <c r="I73" s="22" t="s">
        <v>220</v>
      </c>
      <c r="J73" s="23">
        <v>6</v>
      </c>
      <c r="K73" s="23" t="s">
        <v>324</v>
      </c>
      <c r="L73" s="25">
        <v>3</v>
      </c>
      <c r="M73" s="23">
        <v>0.8</v>
      </c>
      <c r="N73" s="22" t="s">
        <v>387</v>
      </c>
      <c r="O73" s="27">
        <v>0.6</v>
      </c>
      <c r="P73" s="28">
        <f t="shared" si="0"/>
        <v>76986</v>
      </c>
      <c r="Q73" s="11"/>
      <c r="R73" s="11"/>
      <c r="S73" s="11"/>
      <c r="T73" s="11">
        <v>76986</v>
      </c>
      <c r="U73" s="11"/>
      <c r="V73" s="11"/>
      <c r="W73" s="11"/>
      <c r="X73" s="11"/>
      <c r="Y73" s="11"/>
      <c r="Z73" s="11"/>
      <c r="AA73" s="11"/>
      <c r="AB73" s="11"/>
      <c r="AC73" s="11"/>
      <c r="AD73" s="11"/>
      <c r="AE73" s="26" t="s">
        <v>364</v>
      </c>
      <c r="AF73" s="26" t="s">
        <v>364</v>
      </c>
      <c r="AG73" s="26">
        <v>41</v>
      </c>
      <c r="AH73" s="26" t="s">
        <v>393</v>
      </c>
      <c r="AI73" s="51" t="s">
        <v>394</v>
      </c>
      <c r="AJ73" s="51">
        <v>51042</v>
      </c>
      <c r="AK73" s="26" t="s">
        <v>364</v>
      </c>
      <c r="AL73" s="44"/>
      <c r="AM73" s="44" t="s">
        <v>395</v>
      </c>
      <c r="AN73" s="44" t="s">
        <v>395</v>
      </c>
      <c r="AO73" s="44" t="s">
        <v>395</v>
      </c>
      <c r="AP73" s="44" t="s">
        <v>395</v>
      </c>
      <c r="AQ73" s="44" t="s">
        <v>395</v>
      </c>
      <c r="AR73" s="44" t="s">
        <v>395</v>
      </c>
      <c r="AS73" s="44" t="s">
        <v>395</v>
      </c>
      <c r="AT73" s="44" t="s">
        <v>395</v>
      </c>
      <c r="AU73" s="44" t="s">
        <v>395</v>
      </c>
      <c r="AV73" s="44" t="s">
        <v>395</v>
      </c>
      <c r="AW73" s="44"/>
      <c r="AX73" s="26" t="s">
        <v>357</v>
      </c>
      <c r="AY73" s="26" t="s">
        <v>595</v>
      </c>
    </row>
    <row r="74" spans="1:51" ht="168.75" customHeight="1" x14ac:dyDescent="0.25">
      <c r="A74" s="22" t="s">
        <v>201</v>
      </c>
      <c r="B74" s="22" t="s">
        <v>202</v>
      </c>
      <c r="C74" s="22" t="s">
        <v>221</v>
      </c>
      <c r="D74" s="22" t="s">
        <v>222</v>
      </c>
      <c r="E74" s="23">
        <v>0</v>
      </c>
      <c r="F74" s="21" t="s">
        <v>215</v>
      </c>
      <c r="G74" s="765"/>
      <c r="H74" s="22" t="s">
        <v>221</v>
      </c>
      <c r="I74" s="22" t="s">
        <v>222</v>
      </c>
      <c r="J74" s="23">
        <v>0</v>
      </c>
      <c r="K74" s="23" t="s">
        <v>324</v>
      </c>
      <c r="L74" s="39">
        <v>0.5</v>
      </c>
      <c r="M74" s="23">
        <v>30</v>
      </c>
      <c r="N74" s="22" t="s">
        <v>222</v>
      </c>
      <c r="O74" s="27">
        <v>0</v>
      </c>
      <c r="P74" s="28">
        <f t="shared" si="0"/>
        <v>48000</v>
      </c>
      <c r="Q74" s="11"/>
      <c r="R74" s="11"/>
      <c r="S74" s="11"/>
      <c r="T74" s="11">
        <v>48000</v>
      </c>
      <c r="U74" s="11"/>
      <c r="V74" s="11"/>
      <c r="W74" s="11"/>
      <c r="X74" s="11"/>
      <c r="Y74" s="11"/>
      <c r="Z74" s="11"/>
      <c r="AA74" s="11"/>
      <c r="AB74" s="11"/>
      <c r="AC74" s="11"/>
      <c r="AD74" s="11"/>
      <c r="AE74" s="26" t="s">
        <v>364</v>
      </c>
      <c r="AF74" s="26" t="s">
        <v>364</v>
      </c>
      <c r="AG74" s="26" t="s">
        <v>396</v>
      </c>
      <c r="AH74" s="26" t="s">
        <v>397</v>
      </c>
      <c r="AI74" s="26" t="s">
        <v>398</v>
      </c>
      <c r="AJ74" s="26" t="s">
        <v>364</v>
      </c>
      <c r="AK74" s="26" t="s">
        <v>364</v>
      </c>
      <c r="AL74" s="44"/>
      <c r="AM74" s="44" t="s">
        <v>395</v>
      </c>
      <c r="AN74" s="44" t="s">
        <v>395</v>
      </c>
      <c r="AO74" s="44" t="s">
        <v>395</v>
      </c>
      <c r="AP74" s="44" t="s">
        <v>395</v>
      </c>
      <c r="AQ74" s="44" t="s">
        <v>395</v>
      </c>
      <c r="AR74" s="44" t="s">
        <v>395</v>
      </c>
      <c r="AS74" s="44" t="s">
        <v>395</v>
      </c>
      <c r="AT74" s="44" t="s">
        <v>395</v>
      </c>
      <c r="AU74" s="26" t="s">
        <v>395</v>
      </c>
      <c r="AV74" s="26" t="s">
        <v>395</v>
      </c>
      <c r="AW74" s="32"/>
      <c r="AX74" s="65" t="s">
        <v>358</v>
      </c>
      <c r="AY74" s="26"/>
    </row>
    <row r="75" spans="1:51" ht="141.75" customHeight="1" x14ac:dyDescent="0.25">
      <c r="A75" s="22" t="s">
        <v>223</v>
      </c>
      <c r="B75" s="21" t="s">
        <v>224</v>
      </c>
      <c r="C75" s="22" t="s">
        <v>225</v>
      </c>
      <c r="D75" s="22" t="s">
        <v>226</v>
      </c>
      <c r="E75" s="23">
        <v>4</v>
      </c>
      <c r="F75" s="22" t="s">
        <v>227</v>
      </c>
      <c r="G75" s="763" t="s">
        <v>228</v>
      </c>
      <c r="H75" s="22" t="s">
        <v>225</v>
      </c>
      <c r="I75" s="22" t="s">
        <v>226</v>
      </c>
      <c r="J75" s="23">
        <v>4</v>
      </c>
      <c r="K75" s="23" t="s">
        <v>410</v>
      </c>
      <c r="L75" s="25">
        <v>4</v>
      </c>
      <c r="M75" s="23">
        <v>4</v>
      </c>
      <c r="N75" s="22" t="s">
        <v>226</v>
      </c>
      <c r="O75" s="27">
        <v>4</v>
      </c>
      <c r="P75" s="28">
        <f t="shared" si="0"/>
        <v>17323</v>
      </c>
      <c r="Q75" s="11"/>
      <c r="R75" s="11"/>
      <c r="S75" s="11"/>
      <c r="T75" s="11">
        <f>(12500+4823)</f>
        <v>17323</v>
      </c>
      <c r="U75" s="11"/>
      <c r="V75" s="11"/>
      <c r="W75" s="11"/>
      <c r="X75" s="11"/>
      <c r="Y75" s="11"/>
      <c r="Z75" s="11"/>
      <c r="AA75" s="11"/>
      <c r="AB75" s="11"/>
      <c r="AC75" s="11"/>
      <c r="AD75" s="11"/>
      <c r="AE75" s="26" t="s">
        <v>364</v>
      </c>
      <c r="AF75" s="26" t="s">
        <v>364</v>
      </c>
      <c r="AG75" s="26" t="s">
        <v>364</v>
      </c>
      <c r="AH75" s="26" t="s">
        <v>364</v>
      </c>
      <c r="AI75" s="26" t="s">
        <v>364</v>
      </c>
      <c r="AJ75" s="26" t="s">
        <v>364</v>
      </c>
      <c r="AK75" s="26" t="s">
        <v>364</v>
      </c>
      <c r="AL75" s="44"/>
      <c r="AM75" s="44"/>
      <c r="AN75" s="44" t="s">
        <v>395</v>
      </c>
      <c r="AO75" s="44" t="s">
        <v>395</v>
      </c>
      <c r="AP75" s="26" t="s">
        <v>395</v>
      </c>
      <c r="AQ75" s="26" t="s">
        <v>395</v>
      </c>
      <c r="AR75" s="26" t="s">
        <v>395</v>
      </c>
      <c r="AS75" s="26"/>
      <c r="AT75" s="26"/>
      <c r="AU75" s="26"/>
      <c r="AV75" s="26"/>
      <c r="AW75" s="26"/>
      <c r="AX75" s="26" t="s">
        <v>359</v>
      </c>
      <c r="AY75" s="26"/>
    </row>
    <row r="76" spans="1:51" ht="150" customHeight="1" x14ac:dyDescent="0.25">
      <c r="A76" s="22" t="s">
        <v>223</v>
      </c>
      <c r="B76" s="21" t="s">
        <v>224</v>
      </c>
      <c r="C76" s="763" t="s">
        <v>229</v>
      </c>
      <c r="D76" s="763" t="s">
        <v>230</v>
      </c>
      <c r="E76" s="763">
        <v>0.8</v>
      </c>
      <c r="F76" s="22" t="s">
        <v>227</v>
      </c>
      <c r="G76" s="764"/>
      <c r="H76" s="66" t="s">
        <v>231</v>
      </c>
      <c r="I76" s="22" t="s">
        <v>232</v>
      </c>
      <c r="J76" s="23">
        <v>3497</v>
      </c>
      <c r="K76" s="23" t="s">
        <v>324</v>
      </c>
      <c r="L76" s="25">
        <v>3500</v>
      </c>
      <c r="M76" s="23">
        <v>978</v>
      </c>
      <c r="N76" s="44" t="s">
        <v>388</v>
      </c>
      <c r="O76" s="27">
        <v>4174</v>
      </c>
      <c r="P76" s="28">
        <f t="shared" si="0"/>
        <v>561291.83000000007</v>
      </c>
      <c r="Q76" s="11"/>
      <c r="R76" s="11"/>
      <c r="S76" s="11"/>
      <c r="T76" s="11">
        <f>(417139.83+144152)</f>
        <v>561291.83000000007</v>
      </c>
      <c r="U76" s="11"/>
      <c r="V76" s="11"/>
      <c r="W76" s="11"/>
      <c r="X76" s="11"/>
      <c r="Y76" s="11"/>
      <c r="Z76" s="11"/>
      <c r="AA76" s="11"/>
      <c r="AB76" s="11"/>
      <c r="AC76" s="11"/>
      <c r="AD76" s="11"/>
      <c r="AE76" s="26" t="s">
        <v>399</v>
      </c>
      <c r="AF76" s="26" t="s">
        <v>364</v>
      </c>
      <c r="AG76" s="26" t="s">
        <v>400</v>
      </c>
      <c r="AH76" s="26" t="s">
        <v>393</v>
      </c>
      <c r="AI76" s="26" t="s">
        <v>401</v>
      </c>
      <c r="AJ76" s="51">
        <v>290000</v>
      </c>
      <c r="AK76" s="26" t="s">
        <v>402</v>
      </c>
      <c r="AL76" s="44"/>
      <c r="AM76" s="52" t="s">
        <v>395</v>
      </c>
      <c r="AN76" s="52" t="s">
        <v>395</v>
      </c>
      <c r="AO76" s="52" t="s">
        <v>395</v>
      </c>
      <c r="AP76" s="52" t="s">
        <v>395</v>
      </c>
      <c r="AQ76" s="52" t="s">
        <v>395</v>
      </c>
      <c r="AR76" s="67" t="s">
        <v>395</v>
      </c>
      <c r="AS76" s="67" t="s">
        <v>395</v>
      </c>
      <c r="AT76" s="67" t="s">
        <v>395</v>
      </c>
      <c r="AU76" s="52" t="s">
        <v>395</v>
      </c>
      <c r="AV76" s="52" t="s">
        <v>395</v>
      </c>
      <c r="AW76" s="44"/>
      <c r="AX76" s="26" t="s">
        <v>360</v>
      </c>
      <c r="AY76" s="26"/>
    </row>
    <row r="77" spans="1:51" ht="210" customHeight="1" x14ac:dyDescent="0.25">
      <c r="A77" s="22" t="s">
        <v>223</v>
      </c>
      <c r="B77" s="21" t="s">
        <v>224</v>
      </c>
      <c r="C77" s="764"/>
      <c r="D77" s="764"/>
      <c r="E77" s="764"/>
      <c r="F77" s="22" t="s">
        <v>227</v>
      </c>
      <c r="G77" s="764"/>
      <c r="H77" s="21" t="s">
        <v>233</v>
      </c>
      <c r="I77" s="22" t="s">
        <v>234</v>
      </c>
      <c r="J77" s="23">
        <v>233</v>
      </c>
      <c r="K77" s="23" t="s">
        <v>323</v>
      </c>
      <c r="L77" s="25">
        <v>456</v>
      </c>
      <c r="M77" s="23">
        <f>(123+64)</f>
        <v>187</v>
      </c>
      <c r="N77" s="44" t="s">
        <v>389</v>
      </c>
      <c r="O77" s="27">
        <v>96</v>
      </c>
      <c r="P77" s="28">
        <f t="shared" si="0"/>
        <v>585904</v>
      </c>
      <c r="Q77" s="11"/>
      <c r="R77" s="11"/>
      <c r="S77" s="11"/>
      <c r="T77" s="11">
        <f>(362800+223104)</f>
        <v>585904</v>
      </c>
      <c r="U77" s="11"/>
      <c r="V77" s="11"/>
      <c r="W77" s="11"/>
      <c r="X77" s="11"/>
      <c r="Y77" s="11"/>
      <c r="Z77" s="11"/>
      <c r="AA77" s="11"/>
      <c r="AB77" s="11"/>
      <c r="AC77" s="11"/>
      <c r="AD77" s="11"/>
      <c r="AE77" s="26" t="s">
        <v>403</v>
      </c>
      <c r="AF77" s="26" t="s">
        <v>364</v>
      </c>
      <c r="AG77" s="26" t="s">
        <v>400</v>
      </c>
      <c r="AH77" s="26" t="s">
        <v>393</v>
      </c>
      <c r="AI77" s="26" t="s">
        <v>401</v>
      </c>
      <c r="AJ77" s="51">
        <v>220000</v>
      </c>
      <c r="AK77" s="26" t="s">
        <v>404</v>
      </c>
      <c r="AL77" s="44"/>
      <c r="AM77" s="52" t="s">
        <v>395</v>
      </c>
      <c r="AN77" s="52" t="s">
        <v>395</v>
      </c>
      <c r="AO77" s="52" t="s">
        <v>395</v>
      </c>
      <c r="AP77" s="52" t="s">
        <v>395</v>
      </c>
      <c r="AQ77" s="52" t="s">
        <v>395</v>
      </c>
      <c r="AR77" s="52" t="s">
        <v>395</v>
      </c>
      <c r="AS77" s="52" t="s">
        <v>395</v>
      </c>
      <c r="AT77" s="67" t="s">
        <v>395</v>
      </c>
      <c r="AU77" s="67" t="s">
        <v>395</v>
      </c>
      <c r="AV77" s="52" t="s">
        <v>395</v>
      </c>
      <c r="AW77" s="44"/>
      <c r="AX77" s="26" t="s">
        <v>360</v>
      </c>
      <c r="AY77" s="26" t="s">
        <v>551</v>
      </c>
    </row>
    <row r="78" spans="1:51" ht="164.25" customHeight="1" x14ac:dyDescent="0.25">
      <c r="A78" s="22" t="s">
        <v>223</v>
      </c>
      <c r="B78" s="21" t="s">
        <v>224</v>
      </c>
      <c r="C78" s="765"/>
      <c r="D78" s="765"/>
      <c r="E78" s="765"/>
      <c r="F78" s="22" t="s">
        <v>227</v>
      </c>
      <c r="G78" s="764"/>
      <c r="H78" s="22" t="s">
        <v>235</v>
      </c>
      <c r="I78" s="22" t="s">
        <v>236</v>
      </c>
      <c r="J78" s="23">
        <v>0.7</v>
      </c>
      <c r="K78" s="23" t="s">
        <v>323</v>
      </c>
      <c r="L78" s="39">
        <v>0.7</v>
      </c>
      <c r="M78" s="23" t="s">
        <v>329</v>
      </c>
      <c r="N78" s="44" t="s">
        <v>390</v>
      </c>
      <c r="O78" s="68">
        <v>0.16589999999999999</v>
      </c>
      <c r="P78" s="28">
        <f t="shared" si="0"/>
        <v>26894.879999999997</v>
      </c>
      <c r="Q78" s="11"/>
      <c r="R78" s="11"/>
      <c r="S78" s="11"/>
      <c r="T78" s="11">
        <v>26894.879999999997</v>
      </c>
      <c r="U78" s="11"/>
      <c r="V78" s="11"/>
      <c r="W78" s="11"/>
      <c r="X78" s="11"/>
      <c r="Y78" s="11"/>
      <c r="Z78" s="11"/>
      <c r="AA78" s="11"/>
      <c r="AB78" s="11"/>
      <c r="AC78" s="11"/>
      <c r="AD78" s="11"/>
      <c r="AE78" s="26" t="s">
        <v>364</v>
      </c>
      <c r="AF78" s="26" t="s">
        <v>364</v>
      </c>
      <c r="AG78" s="26" t="s">
        <v>405</v>
      </c>
      <c r="AH78" s="26" t="s">
        <v>393</v>
      </c>
      <c r="AI78" s="26" t="s">
        <v>401</v>
      </c>
      <c r="AJ78" s="26" t="s">
        <v>364</v>
      </c>
      <c r="AK78" s="26" t="s">
        <v>364</v>
      </c>
      <c r="AL78" s="44"/>
      <c r="AM78" s="52" t="s">
        <v>395</v>
      </c>
      <c r="AN78" s="52" t="s">
        <v>395</v>
      </c>
      <c r="AO78" s="50" t="s">
        <v>395</v>
      </c>
      <c r="AP78" s="50" t="s">
        <v>395</v>
      </c>
      <c r="AQ78" s="50" t="s">
        <v>395</v>
      </c>
      <c r="AR78" s="50" t="s">
        <v>395</v>
      </c>
      <c r="AS78" s="50" t="s">
        <v>395</v>
      </c>
      <c r="AT78" s="50" t="s">
        <v>395</v>
      </c>
      <c r="AU78" s="50" t="s">
        <v>395</v>
      </c>
      <c r="AV78" s="50" t="s">
        <v>395</v>
      </c>
      <c r="AW78" s="44"/>
      <c r="AX78" s="26" t="s">
        <v>360</v>
      </c>
      <c r="AY78" s="26"/>
    </row>
    <row r="79" spans="1:51" ht="199.5" customHeight="1" x14ac:dyDescent="0.25">
      <c r="A79" s="22" t="s">
        <v>223</v>
      </c>
      <c r="B79" s="21" t="s">
        <v>224</v>
      </c>
      <c r="C79" s="22" t="s">
        <v>237</v>
      </c>
      <c r="D79" s="22" t="s">
        <v>238</v>
      </c>
      <c r="E79" s="23">
        <v>236</v>
      </c>
      <c r="F79" s="22" t="s">
        <v>227</v>
      </c>
      <c r="G79" s="764"/>
      <c r="H79" s="22" t="s">
        <v>239</v>
      </c>
      <c r="I79" s="22" t="s">
        <v>240</v>
      </c>
      <c r="J79" s="23">
        <v>236</v>
      </c>
      <c r="K79" s="23" t="s">
        <v>323</v>
      </c>
      <c r="L79" s="25">
        <v>306</v>
      </c>
      <c r="M79" s="23">
        <v>76</v>
      </c>
      <c r="N79" s="22" t="s">
        <v>240</v>
      </c>
      <c r="O79" s="27">
        <v>312</v>
      </c>
      <c r="P79" s="28">
        <f t="shared" si="0"/>
        <v>1619750</v>
      </c>
      <c r="Q79" s="69">
        <v>500000</v>
      </c>
      <c r="R79" s="11"/>
      <c r="S79" s="11"/>
      <c r="T79" s="11">
        <v>664000</v>
      </c>
      <c r="U79" s="11"/>
      <c r="V79" s="11"/>
      <c r="W79" s="11"/>
      <c r="X79" s="11">
        <v>455750</v>
      </c>
      <c r="Y79" s="11"/>
      <c r="Z79" s="11"/>
      <c r="AA79" s="11"/>
      <c r="AB79" s="11"/>
      <c r="AC79" s="11"/>
      <c r="AD79" s="11"/>
      <c r="AE79" s="26" t="s">
        <v>406</v>
      </c>
      <c r="AF79" s="26" t="s">
        <v>407</v>
      </c>
      <c r="AG79" s="26">
        <v>37</v>
      </c>
      <c r="AH79" s="26" t="s">
        <v>393</v>
      </c>
      <c r="AI79" s="51">
        <v>6000</v>
      </c>
      <c r="AJ79" s="51">
        <v>1938972</v>
      </c>
      <c r="AK79" s="26" t="s">
        <v>408</v>
      </c>
      <c r="AL79" s="44"/>
      <c r="AM79" s="52"/>
      <c r="AN79" s="52" t="s">
        <v>395</v>
      </c>
      <c r="AO79" s="52" t="s">
        <v>395</v>
      </c>
      <c r="AP79" s="52" t="s">
        <v>395</v>
      </c>
      <c r="AQ79" s="52" t="s">
        <v>395</v>
      </c>
      <c r="AR79" s="52" t="s">
        <v>395</v>
      </c>
      <c r="AS79" s="52" t="s">
        <v>395</v>
      </c>
      <c r="AT79" s="52" t="s">
        <v>395</v>
      </c>
      <c r="AU79" s="52" t="s">
        <v>395</v>
      </c>
      <c r="AV79" s="52" t="s">
        <v>395</v>
      </c>
      <c r="AW79" s="44"/>
      <c r="AX79" s="26" t="s">
        <v>361</v>
      </c>
      <c r="AY79" s="26" t="s">
        <v>596</v>
      </c>
    </row>
    <row r="80" spans="1:51" ht="255" customHeight="1" x14ac:dyDescent="0.25">
      <c r="A80" s="22" t="s">
        <v>223</v>
      </c>
      <c r="B80" s="21" t="s">
        <v>224</v>
      </c>
      <c r="C80" s="22" t="s">
        <v>241</v>
      </c>
      <c r="D80" s="22" t="s">
        <v>242</v>
      </c>
      <c r="E80" s="23">
        <v>530</v>
      </c>
      <c r="F80" s="22" t="s">
        <v>227</v>
      </c>
      <c r="G80" s="764"/>
      <c r="H80" s="22" t="s">
        <v>243</v>
      </c>
      <c r="I80" s="22" t="s">
        <v>244</v>
      </c>
      <c r="J80" s="23">
        <v>530</v>
      </c>
      <c r="K80" s="23" t="s">
        <v>322</v>
      </c>
      <c r="L80" s="25">
        <v>530</v>
      </c>
      <c r="M80" s="23">
        <v>530</v>
      </c>
      <c r="N80" s="22" t="s">
        <v>244</v>
      </c>
      <c r="O80" s="27">
        <v>530</v>
      </c>
      <c r="P80" s="28">
        <f t="shared" si="0"/>
        <v>20340135</v>
      </c>
      <c r="Q80" s="11"/>
      <c r="R80" s="11"/>
      <c r="S80" s="11"/>
      <c r="T80" s="11">
        <f>(19134630+1205505)</f>
        <v>20340135</v>
      </c>
      <c r="U80" s="11"/>
      <c r="V80" s="11"/>
      <c r="W80" s="11"/>
      <c r="X80" s="11"/>
      <c r="Y80" s="11"/>
      <c r="Z80" s="11"/>
      <c r="AA80" s="11"/>
      <c r="AB80" s="11"/>
      <c r="AC80" s="11"/>
      <c r="AD80" s="11"/>
      <c r="AE80" s="26" t="s">
        <v>364</v>
      </c>
      <c r="AF80" s="26" t="s">
        <v>364</v>
      </c>
      <c r="AG80" s="26">
        <v>41</v>
      </c>
      <c r="AH80" s="26" t="s">
        <v>393</v>
      </c>
      <c r="AI80" s="26" t="s">
        <v>409</v>
      </c>
      <c r="AJ80" s="26" t="s">
        <v>364</v>
      </c>
      <c r="AK80" s="26" t="s">
        <v>364</v>
      </c>
      <c r="AL80" s="44"/>
      <c r="AM80" s="52" t="s">
        <v>395</v>
      </c>
      <c r="AN80" s="52" t="s">
        <v>395</v>
      </c>
      <c r="AO80" s="52" t="s">
        <v>395</v>
      </c>
      <c r="AP80" s="52" t="s">
        <v>395</v>
      </c>
      <c r="AQ80" s="52" t="s">
        <v>395</v>
      </c>
      <c r="AR80" s="52" t="s">
        <v>395</v>
      </c>
      <c r="AS80" s="52" t="s">
        <v>395</v>
      </c>
      <c r="AT80" s="52" t="s">
        <v>395</v>
      </c>
      <c r="AU80" s="52" t="s">
        <v>395</v>
      </c>
      <c r="AV80" s="52" t="s">
        <v>395</v>
      </c>
      <c r="AW80" s="44"/>
      <c r="AX80" s="70" t="s">
        <v>361</v>
      </c>
      <c r="AY80" s="70" t="s">
        <v>602</v>
      </c>
    </row>
    <row r="81" spans="1:51" ht="193.5" customHeight="1" x14ac:dyDescent="0.25">
      <c r="A81" s="22" t="s">
        <v>223</v>
      </c>
      <c r="B81" s="21" t="s">
        <v>224</v>
      </c>
      <c r="C81" s="22" t="s">
        <v>245</v>
      </c>
      <c r="D81" s="22" t="s">
        <v>246</v>
      </c>
      <c r="E81" s="23">
        <v>0</v>
      </c>
      <c r="F81" s="22" t="s">
        <v>227</v>
      </c>
      <c r="G81" s="765"/>
      <c r="H81" s="22" t="s">
        <v>247</v>
      </c>
      <c r="I81" s="22" t="s">
        <v>248</v>
      </c>
      <c r="J81" s="23">
        <v>0</v>
      </c>
      <c r="K81" s="23" t="s">
        <v>323</v>
      </c>
      <c r="L81" s="25">
        <v>2</v>
      </c>
      <c r="M81" s="23">
        <v>0.5</v>
      </c>
      <c r="N81" s="71" t="s">
        <v>391</v>
      </c>
      <c r="O81" s="27">
        <v>0</v>
      </c>
      <c r="P81" s="28">
        <f t="shared" ref="P81:P90" si="1">(Q81+R81+S81+T81+U81+V81+W81+X81+Y81+Z81+AA81+AB81+AC81+AD81)</f>
        <v>85800</v>
      </c>
      <c r="Q81" s="11"/>
      <c r="R81" s="11"/>
      <c r="S81" s="11"/>
      <c r="T81" s="11">
        <v>85800</v>
      </c>
      <c r="U81" s="11"/>
      <c r="V81" s="11"/>
      <c r="W81" s="11"/>
      <c r="X81" s="11"/>
      <c r="Y81" s="11"/>
      <c r="Z81" s="11"/>
      <c r="AA81" s="11"/>
      <c r="AB81" s="11"/>
      <c r="AC81" s="11"/>
      <c r="AD81" s="11"/>
      <c r="AE81" s="26" t="s">
        <v>406</v>
      </c>
      <c r="AF81" s="26" t="s">
        <v>407</v>
      </c>
      <c r="AG81" s="26">
        <v>37</v>
      </c>
      <c r="AH81" s="26" t="s">
        <v>393</v>
      </c>
      <c r="AI81" s="51">
        <v>6000</v>
      </c>
      <c r="AJ81" s="51">
        <v>1938972</v>
      </c>
      <c r="AK81" s="26" t="s">
        <v>408</v>
      </c>
      <c r="AL81" s="44" t="s">
        <v>395</v>
      </c>
      <c r="AM81" s="44" t="s">
        <v>395</v>
      </c>
      <c r="AN81" s="44" t="s">
        <v>395</v>
      </c>
      <c r="AO81" s="44" t="s">
        <v>395</v>
      </c>
      <c r="AP81" s="44" t="s">
        <v>395</v>
      </c>
      <c r="AQ81" s="44" t="s">
        <v>395</v>
      </c>
      <c r="AR81" s="44" t="s">
        <v>395</v>
      </c>
      <c r="AS81" s="44" t="s">
        <v>395</v>
      </c>
      <c r="AT81" s="44" t="s">
        <v>395</v>
      </c>
      <c r="AU81" s="44" t="s">
        <v>395</v>
      </c>
      <c r="AV81" s="44" t="s">
        <v>395</v>
      </c>
      <c r="AW81" s="45" t="s">
        <v>395</v>
      </c>
      <c r="AX81" s="43" t="s">
        <v>362</v>
      </c>
      <c r="AY81" s="43" t="s">
        <v>602</v>
      </c>
    </row>
    <row r="82" spans="1:51" ht="90" customHeight="1" x14ac:dyDescent="0.25">
      <c r="A82" s="21" t="s">
        <v>49</v>
      </c>
      <c r="B82" s="21" t="s">
        <v>249</v>
      </c>
      <c r="C82" s="763" t="s">
        <v>250</v>
      </c>
      <c r="D82" s="763" t="s">
        <v>251</v>
      </c>
      <c r="E82" s="763">
        <v>0</v>
      </c>
      <c r="F82" s="21" t="s">
        <v>252</v>
      </c>
      <c r="G82" s="763" t="s">
        <v>253</v>
      </c>
      <c r="H82" s="22" t="s">
        <v>254</v>
      </c>
      <c r="I82" s="22" t="s">
        <v>255</v>
      </c>
      <c r="J82" s="23">
        <v>0</v>
      </c>
      <c r="K82" s="23" t="s">
        <v>323</v>
      </c>
      <c r="L82" s="39">
        <v>0.4</v>
      </c>
      <c r="M82" s="23" t="s">
        <v>611</v>
      </c>
      <c r="N82" s="22" t="s">
        <v>255</v>
      </c>
      <c r="O82" s="72">
        <v>0.05</v>
      </c>
      <c r="P82" s="28">
        <f>(Q82+R82+S82+T82+U82+V82+W82+X82+Y82+Z82+AA82+AB82+AC82+AD82)</f>
        <v>206000</v>
      </c>
      <c r="Q82" s="73">
        <f>(37500+22500)</f>
        <v>60000</v>
      </c>
      <c r="R82" s="69"/>
      <c r="S82" s="69"/>
      <c r="T82" s="69"/>
      <c r="U82" s="69">
        <f>(91250+54750)</f>
        <v>146000</v>
      </c>
      <c r="V82" s="69"/>
      <c r="W82" s="69"/>
      <c r="X82" s="69"/>
      <c r="Y82" s="69"/>
      <c r="Z82" s="69"/>
      <c r="AA82" s="69"/>
      <c r="AB82" s="69"/>
      <c r="AC82" s="69"/>
      <c r="AD82" s="69"/>
      <c r="AE82" s="26" t="s">
        <v>364</v>
      </c>
      <c r="AF82" s="26" t="s">
        <v>364</v>
      </c>
      <c r="AG82" s="26">
        <v>41</v>
      </c>
      <c r="AH82" s="26" t="s">
        <v>393</v>
      </c>
      <c r="AI82" s="26" t="s">
        <v>409</v>
      </c>
      <c r="AJ82" s="26" t="s">
        <v>364</v>
      </c>
      <c r="AK82" s="26" t="s">
        <v>364</v>
      </c>
      <c r="AL82" s="44"/>
      <c r="AM82" s="44" t="s">
        <v>395</v>
      </c>
      <c r="AN82" s="44" t="s">
        <v>395</v>
      </c>
      <c r="AO82" s="44" t="s">
        <v>395</v>
      </c>
      <c r="AP82" s="44" t="s">
        <v>395</v>
      </c>
      <c r="AQ82" s="44" t="s">
        <v>395</v>
      </c>
      <c r="AR82" s="44" t="s">
        <v>395</v>
      </c>
      <c r="AS82" s="44" t="s">
        <v>395</v>
      </c>
      <c r="AT82" s="44" t="s">
        <v>395</v>
      </c>
      <c r="AU82" s="44" t="s">
        <v>395</v>
      </c>
      <c r="AV82" s="44" t="s">
        <v>395</v>
      </c>
      <c r="AW82" s="44"/>
      <c r="AX82" s="49" t="s">
        <v>363</v>
      </c>
      <c r="AY82" s="49"/>
    </row>
    <row r="83" spans="1:51" ht="211.5" customHeight="1" x14ac:dyDescent="0.25">
      <c r="A83" s="21" t="s">
        <v>49</v>
      </c>
      <c r="B83" s="21" t="s">
        <v>249</v>
      </c>
      <c r="C83" s="764"/>
      <c r="D83" s="764"/>
      <c r="E83" s="764"/>
      <c r="F83" s="21" t="s">
        <v>252</v>
      </c>
      <c r="G83" s="764"/>
      <c r="H83" s="22" t="s">
        <v>256</v>
      </c>
      <c r="I83" s="22" t="s">
        <v>257</v>
      </c>
      <c r="J83" s="23">
        <v>0</v>
      </c>
      <c r="K83" s="23" t="s">
        <v>323</v>
      </c>
      <c r="L83" s="39">
        <v>0.2</v>
      </c>
      <c r="M83" s="23" t="s">
        <v>612</v>
      </c>
      <c r="N83" s="22" t="s">
        <v>257</v>
      </c>
      <c r="O83" s="72">
        <v>0.03</v>
      </c>
      <c r="P83" s="28">
        <f t="shared" si="1"/>
        <v>206000</v>
      </c>
      <c r="Q83" s="73">
        <f>(37500+22500)</f>
        <v>60000</v>
      </c>
      <c r="R83" s="69"/>
      <c r="S83" s="69"/>
      <c r="T83" s="69"/>
      <c r="U83" s="69">
        <f>(91250+54750)</f>
        <v>146000</v>
      </c>
      <c r="V83" s="69"/>
      <c r="W83" s="69"/>
      <c r="X83" s="69"/>
      <c r="Y83" s="69"/>
      <c r="Z83" s="69"/>
      <c r="AA83" s="69"/>
      <c r="AB83" s="69"/>
      <c r="AC83" s="69"/>
      <c r="AD83" s="69"/>
      <c r="AE83" s="22" t="s">
        <v>552</v>
      </c>
      <c r="AF83" s="26" t="s">
        <v>364</v>
      </c>
      <c r="AG83" s="26" t="s">
        <v>553</v>
      </c>
      <c r="AH83" s="26" t="s">
        <v>554</v>
      </c>
      <c r="AI83" s="26" t="s">
        <v>555</v>
      </c>
      <c r="AJ83" s="51">
        <v>77250</v>
      </c>
      <c r="AK83" s="26" t="s">
        <v>556</v>
      </c>
      <c r="AL83" s="44"/>
      <c r="AM83" s="44" t="s">
        <v>395</v>
      </c>
      <c r="AN83" s="44" t="s">
        <v>395</v>
      </c>
      <c r="AO83" s="44" t="s">
        <v>395</v>
      </c>
      <c r="AP83" s="44" t="s">
        <v>395</v>
      </c>
      <c r="AQ83" s="44" t="s">
        <v>395</v>
      </c>
      <c r="AR83" s="44" t="s">
        <v>395</v>
      </c>
      <c r="AS83" s="44" t="s">
        <v>395</v>
      </c>
      <c r="AT83" s="44" t="s">
        <v>395</v>
      </c>
      <c r="AU83" s="44" t="s">
        <v>395</v>
      </c>
      <c r="AV83" s="44" t="s">
        <v>395</v>
      </c>
      <c r="AW83" s="44"/>
      <c r="AX83" s="26" t="s">
        <v>363</v>
      </c>
      <c r="AY83" s="26"/>
    </row>
    <row r="84" spans="1:51" ht="100.5" customHeight="1" x14ac:dyDescent="0.25">
      <c r="A84" s="21" t="s">
        <v>49</v>
      </c>
      <c r="B84" s="21" t="s">
        <v>249</v>
      </c>
      <c r="C84" s="765"/>
      <c r="D84" s="765"/>
      <c r="E84" s="765"/>
      <c r="F84" s="21" t="s">
        <v>252</v>
      </c>
      <c r="G84" s="765"/>
      <c r="H84" s="22" t="s">
        <v>258</v>
      </c>
      <c r="I84" s="22" t="s">
        <v>259</v>
      </c>
      <c r="J84" s="23">
        <v>0</v>
      </c>
      <c r="K84" s="23" t="s">
        <v>323</v>
      </c>
      <c r="L84" s="39">
        <v>0.5</v>
      </c>
      <c r="M84" s="39">
        <v>0.18</v>
      </c>
      <c r="N84" s="22" t="s">
        <v>259</v>
      </c>
      <c r="O84" s="74">
        <v>0.06</v>
      </c>
      <c r="P84" s="28">
        <f t="shared" si="1"/>
        <v>206000</v>
      </c>
      <c r="Q84" s="73">
        <f>(37500+22500)</f>
        <v>60000</v>
      </c>
      <c r="R84" s="69"/>
      <c r="S84" s="69"/>
      <c r="T84" s="69"/>
      <c r="U84" s="69">
        <f>(91250+54750)</f>
        <v>146000</v>
      </c>
      <c r="V84" s="69"/>
      <c r="W84" s="69"/>
      <c r="X84" s="69"/>
      <c r="Y84" s="69"/>
      <c r="Z84" s="69"/>
      <c r="AA84" s="69"/>
      <c r="AB84" s="69"/>
      <c r="AC84" s="69"/>
      <c r="AD84" s="69"/>
      <c r="AE84" s="22" t="s">
        <v>557</v>
      </c>
      <c r="AF84" s="26" t="s">
        <v>364</v>
      </c>
      <c r="AG84" s="26" t="s">
        <v>553</v>
      </c>
      <c r="AH84" s="26" t="s">
        <v>554</v>
      </c>
      <c r="AI84" s="26" t="s">
        <v>555</v>
      </c>
      <c r="AJ84" s="51">
        <v>77250</v>
      </c>
      <c r="AK84" s="26" t="s">
        <v>558</v>
      </c>
      <c r="AL84" s="44"/>
      <c r="AM84" s="44"/>
      <c r="AN84" s="44"/>
      <c r="AO84" s="44"/>
      <c r="AP84" s="44"/>
      <c r="AQ84" s="44"/>
      <c r="AR84" s="44"/>
      <c r="AS84" s="44"/>
      <c r="AT84" s="44"/>
      <c r="AU84" s="44"/>
      <c r="AV84" s="44"/>
      <c r="AW84" s="44"/>
      <c r="AX84" s="26" t="s">
        <v>363</v>
      </c>
      <c r="AY84" s="26"/>
    </row>
    <row r="85" spans="1:51" ht="217.5" customHeight="1" x14ac:dyDescent="0.25">
      <c r="A85" s="21" t="s">
        <v>49</v>
      </c>
      <c r="B85" s="21" t="s">
        <v>249</v>
      </c>
      <c r="C85" s="763" t="s">
        <v>260</v>
      </c>
      <c r="D85" s="763" t="s">
        <v>261</v>
      </c>
      <c r="E85" s="763">
        <v>0</v>
      </c>
      <c r="F85" s="21" t="s">
        <v>262</v>
      </c>
      <c r="G85" s="763" t="s">
        <v>263</v>
      </c>
      <c r="H85" s="22" t="s">
        <v>264</v>
      </c>
      <c r="I85" s="22" t="s">
        <v>265</v>
      </c>
      <c r="J85" s="23">
        <v>0</v>
      </c>
      <c r="K85" s="23" t="s">
        <v>323</v>
      </c>
      <c r="L85" s="25">
        <v>35</v>
      </c>
      <c r="M85" s="75" t="s">
        <v>613</v>
      </c>
      <c r="N85" s="22" t="s">
        <v>265</v>
      </c>
      <c r="O85" s="35">
        <v>5</v>
      </c>
      <c r="P85" s="28">
        <f t="shared" si="1"/>
        <v>205750</v>
      </c>
      <c r="Q85" s="73">
        <v>114500</v>
      </c>
      <c r="R85" s="69"/>
      <c r="S85" s="69"/>
      <c r="T85" s="69"/>
      <c r="U85" s="69">
        <v>91250</v>
      </c>
      <c r="V85" s="69"/>
      <c r="W85" s="69"/>
      <c r="X85" s="69"/>
      <c r="Y85" s="69"/>
      <c r="Z85" s="69"/>
      <c r="AA85" s="69"/>
      <c r="AB85" s="69"/>
      <c r="AC85" s="69"/>
      <c r="AD85" s="69"/>
      <c r="AE85" s="22" t="s">
        <v>559</v>
      </c>
      <c r="AF85" s="26" t="s">
        <v>364</v>
      </c>
      <c r="AG85" s="26" t="s">
        <v>553</v>
      </c>
      <c r="AH85" s="26" t="s">
        <v>554</v>
      </c>
      <c r="AI85" s="26" t="s">
        <v>555</v>
      </c>
      <c r="AJ85" s="51">
        <v>123450</v>
      </c>
      <c r="AK85" s="26" t="s">
        <v>560</v>
      </c>
      <c r="AL85" s="44"/>
      <c r="AM85" s="44" t="s">
        <v>395</v>
      </c>
      <c r="AN85" s="44" t="s">
        <v>395</v>
      </c>
      <c r="AO85" s="44" t="s">
        <v>395</v>
      </c>
      <c r="AP85" s="44" t="s">
        <v>395</v>
      </c>
      <c r="AQ85" s="44" t="s">
        <v>395</v>
      </c>
      <c r="AR85" s="44" t="s">
        <v>395</v>
      </c>
      <c r="AS85" s="44" t="s">
        <v>395</v>
      </c>
      <c r="AT85" s="44" t="s">
        <v>395</v>
      </c>
      <c r="AU85" s="44" t="s">
        <v>395</v>
      </c>
      <c r="AV85" s="44" t="s">
        <v>395</v>
      </c>
      <c r="AW85" s="44"/>
      <c r="AX85" s="26" t="s">
        <v>363</v>
      </c>
      <c r="AY85" s="26"/>
    </row>
    <row r="86" spans="1:51" ht="153.75" customHeight="1" x14ac:dyDescent="0.25">
      <c r="A86" s="21" t="s">
        <v>49</v>
      </c>
      <c r="B86" s="21" t="s">
        <v>249</v>
      </c>
      <c r="C86" s="764"/>
      <c r="D86" s="764"/>
      <c r="E86" s="764"/>
      <c r="F86" s="21" t="s">
        <v>262</v>
      </c>
      <c r="G86" s="764"/>
      <c r="H86" s="22" t="s">
        <v>266</v>
      </c>
      <c r="I86" s="22" t="s">
        <v>267</v>
      </c>
      <c r="J86" s="23">
        <v>0</v>
      </c>
      <c r="K86" s="23" t="s">
        <v>323</v>
      </c>
      <c r="L86" s="25">
        <v>3</v>
      </c>
      <c r="M86" s="23">
        <v>0.5</v>
      </c>
      <c r="N86" s="22" t="s">
        <v>267</v>
      </c>
      <c r="O86" s="35">
        <v>1</v>
      </c>
      <c r="P86" s="28">
        <f t="shared" si="1"/>
        <v>244873</v>
      </c>
      <c r="Q86" s="73">
        <f>(87500+66123)</f>
        <v>153623</v>
      </c>
      <c r="R86" s="69"/>
      <c r="S86" s="69"/>
      <c r="T86" s="69"/>
      <c r="U86" s="69">
        <v>91250</v>
      </c>
      <c r="V86" s="69"/>
      <c r="W86" s="69"/>
      <c r="X86" s="69"/>
      <c r="Y86" s="69"/>
      <c r="Z86" s="69"/>
      <c r="AA86" s="69"/>
      <c r="AB86" s="69"/>
      <c r="AC86" s="69"/>
      <c r="AD86" s="69"/>
      <c r="AE86" s="26" t="s">
        <v>564</v>
      </c>
      <c r="AF86" s="26" t="s">
        <v>561</v>
      </c>
      <c r="AG86" s="26" t="s">
        <v>414</v>
      </c>
      <c r="AH86" s="26" t="s">
        <v>554</v>
      </c>
      <c r="AI86" s="26" t="s">
        <v>562</v>
      </c>
      <c r="AJ86" s="51">
        <v>23126778</v>
      </c>
      <c r="AK86" s="26" t="s">
        <v>563</v>
      </c>
      <c r="AL86" s="44"/>
      <c r="AM86" s="44" t="s">
        <v>395</v>
      </c>
      <c r="AN86" s="44" t="s">
        <v>395</v>
      </c>
      <c r="AO86" s="44" t="s">
        <v>395</v>
      </c>
      <c r="AP86" s="44" t="s">
        <v>395</v>
      </c>
      <c r="AQ86" s="44" t="s">
        <v>395</v>
      </c>
      <c r="AR86" s="44" t="s">
        <v>395</v>
      </c>
      <c r="AS86" s="44" t="s">
        <v>395</v>
      </c>
      <c r="AT86" s="44" t="s">
        <v>395</v>
      </c>
      <c r="AU86" s="44" t="s">
        <v>395</v>
      </c>
      <c r="AV86" s="44" t="s">
        <v>395</v>
      </c>
      <c r="AW86" s="44"/>
      <c r="AX86" s="26" t="s">
        <v>363</v>
      </c>
      <c r="AY86" s="26"/>
    </row>
    <row r="87" spans="1:51" ht="97.5" customHeight="1" x14ac:dyDescent="0.25">
      <c r="A87" s="21" t="s">
        <v>49</v>
      </c>
      <c r="B87" s="21" t="s">
        <v>249</v>
      </c>
      <c r="C87" s="764"/>
      <c r="D87" s="764"/>
      <c r="E87" s="764"/>
      <c r="F87" s="21" t="s">
        <v>262</v>
      </c>
      <c r="G87" s="764"/>
      <c r="H87" s="22" t="s">
        <v>268</v>
      </c>
      <c r="I87" s="22" t="s">
        <v>269</v>
      </c>
      <c r="J87" s="23">
        <v>0</v>
      </c>
      <c r="K87" s="23" t="s">
        <v>323</v>
      </c>
      <c r="L87" s="25">
        <v>4</v>
      </c>
      <c r="M87" s="23">
        <v>1</v>
      </c>
      <c r="N87" s="22" t="s">
        <v>269</v>
      </c>
      <c r="O87" s="35">
        <v>1</v>
      </c>
      <c r="P87" s="28">
        <f t="shared" si="1"/>
        <v>221000</v>
      </c>
      <c r="Q87" s="73">
        <f>(87500+42250)</f>
        <v>129750</v>
      </c>
      <c r="R87" s="69"/>
      <c r="S87" s="69"/>
      <c r="T87" s="69"/>
      <c r="U87" s="69">
        <v>91250</v>
      </c>
      <c r="V87" s="69"/>
      <c r="W87" s="69"/>
      <c r="X87" s="69"/>
      <c r="Y87" s="69"/>
      <c r="Z87" s="69"/>
      <c r="AA87" s="69"/>
      <c r="AB87" s="69"/>
      <c r="AC87" s="69"/>
      <c r="AD87" s="69"/>
      <c r="AE87" s="26" t="s">
        <v>567</v>
      </c>
      <c r="AF87" s="26" t="s">
        <v>364</v>
      </c>
      <c r="AG87" s="26" t="s">
        <v>565</v>
      </c>
      <c r="AH87" s="26" t="s">
        <v>554</v>
      </c>
      <c r="AI87" s="26" t="s">
        <v>555</v>
      </c>
      <c r="AJ87" s="51">
        <v>178750</v>
      </c>
      <c r="AK87" s="26" t="s">
        <v>566</v>
      </c>
      <c r="AL87" s="44"/>
      <c r="AM87" s="44" t="s">
        <v>395</v>
      </c>
      <c r="AN87" s="44" t="s">
        <v>395</v>
      </c>
      <c r="AO87" s="44" t="s">
        <v>395</v>
      </c>
      <c r="AP87" s="44" t="s">
        <v>395</v>
      </c>
      <c r="AQ87" s="44" t="s">
        <v>395</v>
      </c>
      <c r="AR87" s="44" t="s">
        <v>395</v>
      </c>
      <c r="AS87" s="44" t="s">
        <v>395</v>
      </c>
      <c r="AT87" s="44" t="s">
        <v>395</v>
      </c>
      <c r="AU87" s="44" t="s">
        <v>395</v>
      </c>
      <c r="AV87" s="44" t="s">
        <v>395</v>
      </c>
      <c r="AW87" s="44"/>
      <c r="AX87" s="26" t="s">
        <v>363</v>
      </c>
      <c r="AY87" s="26"/>
    </row>
    <row r="88" spans="1:51" ht="150" customHeight="1" x14ac:dyDescent="0.25">
      <c r="A88" s="21" t="s">
        <v>49</v>
      </c>
      <c r="B88" s="21" t="s">
        <v>249</v>
      </c>
      <c r="C88" s="765"/>
      <c r="D88" s="765"/>
      <c r="E88" s="765"/>
      <c r="F88" s="21" t="s">
        <v>262</v>
      </c>
      <c r="G88" s="765"/>
      <c r="H88" s="22" t="s">
        <v>270</v>
      </c>
      <c r="I88" s="22" t="s">
        <v>271</v>
      </c>
      <c r="J88" s="23">
        <v>0</v>
      </c>
      <c r="K88" s="23" t="s">
        <v>323</v>
      </c>
      <c r="L88" s="25">
        <v>4</v>
      </c>
      <c r="M88" s="23">
        <v>1</v>
      </c>
      <c r="N88" s="22" t="s">
        <v>271</v>
      </c>
      <c r="O88" s="35">
        <v>1</v>
      </c>
      <c r="P88" s="28">
        <f t="shared" si="1"/>
        <v>268290</v>
      </c>
      <c r="Q88" s="73">
        <f>(87500+34790)</f>
        <v>122290</v>
      </c>
      <c r="R88" s="69"/>
      <c r="S88" s="69"/>
      <c r="T88" s="69"/>
      <c r="U88" s="69">
        <f>(91250+54750)</f>
        <v>146000</v>
      </c>
      <c r="V88" s="69"/>
      <c r="W88" s="69"/>
      <c r="X88" s="69"/>
      <c r="Y88" s="69"/>
      <c r="Z88" s="69"/>
      <c r="AA88" s="69"/>
      <c r="AB88" s="69"/>
      <c r="AC88" s="69"/>
      <c r="AD88" s="69"/>
      <c r="AE88" s="22" t="s">
        <v>569</v>
      </c>
      <c r="AF88" s="26" t="s">
        <v>364</v>
      </c>
      <c r="AG88" s="26">
        <v>42</v>
      </c>
      <c r="AH88" s="26" t="s">
        <v>554</v>
      </c>
      <c r="AI88" s="26" t="s">
        <v>555</v>
      </c>
      <c r="AJ88" s="51">
        <v>107250</v>
      </c>
      <c r="AK88" s="26" t="s">
        <v>570</v>
      </c>
      <c r="AL88" s="44"/>
      <c r="AM88" s="44" t="s">
        <v>395</v>
      </c>
      <c r="AN88" s="44" t="s">
        <v>395</v>
      </c>
      <c r="AO88" s="44" t="s">
        <v>395</v>
      </c>
      <c r="AP88" s="44" t="s">
        <v>395</v>
      </c>
      <c r="AQ88" s="44" t="s">
        <v>395</v>
      </c>
      <c r="AR88" s="44" t="s">
        <v>395</v>
      </c>
      <c r="AS88" s="44" t="s">
        <v>395</v>
      </c>
      <c r="AT88" s="44" t="s">
        <v>395</v>
      </c>
      <c r="AU88" s="44" t="s">
        <v>395</v>
      </c>
      <c r="AV88" s="44" t="s">
        <v>395</v>
      </c>
      <c r="AW88" s="44"/>
      <c r="AX88" s="26" t="s">
        <v>363</v>
      </c>
      <c r="AY88" s="26"/>
    </row>
    <row r="89" spans="1:51" ht="100.5" customHeight="1" x14ac:dyDescent="0.25">
      <c r="A89" s="21" t="s">
        <v>49</v>
      </c>
      <c r="B89" s="21" t="s">
        <v>249</v>
      </c>
      <c r="C89" s="23" t="s">
        <v>272</v>
      </c>
      <c r="D89" s="23" t="s">
        <v>273</v>
      </c>
      <c r="E89" s="23">
        <v>0</v>
      </c>
      <c r="F89" s="22" t="s">
        <v>274</v>
      </c>
      <c r="G89" s="23" t="s">
        <v>275</v>
      </c>
      <c r="H89" s="22" t="s">
        <v>276</v>
      </c>
      <c r="I89" s="22" t="s">
        <v>277</v>
      </c>
      <c r="J89" s="23">
        <v>0</v>
      </c>
      <c r="K89" s="23" t="s">
        <v>323</v>
      </c>
      <c r="L89" s="39">
        <v>0.4</v>
      </c>
      <c r="M89" s="23" t="s">
        <v>614</v>
      </c>
      <c r="N89" s="22" t="s">
        <v>277</v>
      </c>
      <c r="O89" s="35">
        <v>0</v>
      </c>
      <c r="P89" s="28">
        <f t="shared" si="1"/>
        <v>455993</v>
      </c>
      <c r="Q89" s="73">
        <f>(201993+108000)</f>
        <v>309993</v>
      </c>
      <c r="R89" s="69"/>
      <c r="S89" s="69"/>
      <c r="T89" s="69"/>
      <c r="U89" s="69">
        <f>(91250+54750)</f>
        <v>146000</v>
      </c>
      <c r="V89" s="69"/>
      <c r="W89" s="69"/>
      <c r="X89" s="69"/>
      <c r="Y89" s="69"/>
      <c r="Z89" s="69"/>
      <c r="AA89" s="69"/>
      <c r="AB89" s="69"/>
      <c r="AC89" s="69"/>
      <c r="AD89" s="69"/>
      <c r="AE89" s="22" t="s">
        <v>571</v>
      </c>
      <c r="AF89" s="26" t="s">
        <v>364</v>
      </c>
      <c r="AG89" s="26" t="s">
        <v>553</v>
      </c>
      <c r="AH89" s="26" t="s">
        <v>554</v>
      </c>
      <c r="AI89" s="26" t="s">
        <v>555</v>
      </c>
      <c r="AJ89" s="51">
        <v>162750</v>
      </c>
      <c r="AK89" s="26"/>
      <c r="AL89" s="44"/>
      <c r="AM89" s="44" t="s">
        <v>395</v>
      </c>
      <c r="AN89" s="44" t="s">
        <v>395</v>
      </c>
      <c r="AO89" s="44" t="s">
        <v>395</v>
      </c>
      <c r="AP89" s="44" t="s">
        <v>395</v>
      </c>
      <c r="AQ89" s="44" t="s">
        <v>395</v>
      </c>
      <c r="AR89" s="44" t="s">
        <v>395</v>
      </c>
      <c r="AS89" s="44" t="s">
        <v>395</v>
      </c>
      <c r="AT89" s="44" t="s">
        <v>395</v>
      </c>
      <c r="AU89" s="44" t="s">
        <v>395</v>
      </c>
      <c r="AV89" s="44" t="s">
        <v>395</v>
      </c>
      <c r="AW89" s="44"/>
      <c r="AX89" s="26" t="s">
        <v>363</v>
      </c>
      <c r="AY89" s="26"/>
    </row>
    <row r="90" spans="1:51" ht="89.25" customHeight="1" x14ac:dyDescent="0.25">
      <c r="A90" s="21" t="s">
        <v>49</v>
      </c>
      <c r="B90" s="21" t="s">
        <v>249</v>
      </c>
      <c r="C90" s="763" t="s">
        <v>278</v>
      </c>
      <c r="D90" s="763" t="s">
        <v>279</v>
      </c>
      <c r="E90" s="763">
        <v>0</v>
      </c>
      <c r="F90" s="21" t="s">
        <v>280</v>
      </c>
      <c r="G90" s="763" t="s">
        <v>281</v>
      </c>
      <c r="H90" s="22" t="s">
        <v>282</v>
      </c>
      <c r="I90" s="22" t="s">
        <v>283</v>
      </c>
      <c r="J90" s="23">
        <v>0</v>
      </c>
      <c r="K90" s="23" t="s">
        <v>323</v>
      </c>
      <c r="L90" s="25">
        <v>22</v>
      </c>
      <c r="M90" s="62">
        <v>9</v>
      </c>
      <c r="N90" s="22" t="s">
        <v>283</v>
      </c>
      <c r="O90" s="35">
        <v>0</v>
      </c>
      <c r="P90" s="28">
        <f t="shared" si="1"/>
        <v>982411</v>
      </c>
      <c r="Q90" s="73"/>
      <c r="R90" s="69">
        <f>(514170+322241)</f>
        <v>836411</v>
      </c>
      <c r="S90" s="69"/>
      <c r="T90" s="69"/>
      <c r="U90" s="69">
        <f>(91250+54750)</f>
        <v>146000</v>
      </c>
      <c r="V90" s="69"/>
      <c r="W90" s="69"/>
      <c r="X90" s="69"/>
      <c r="Y90" s="69"/>
      <c r="Z90" s="69"/>
      <c r="AA90" s="69"/>
      <c r="AB90" s="69"/>
      <c r="AC90" s="69"/>
      <c r="AD90" s="69"/>
      <c r="AE90" s="22" t="s">
        <v>364</v>
      </c>
      <c r="AF90" s="22" t="s">
        <v>364</v>
      </c>
      <c r="AG90" s="22" t="s">
        <v>364</v>
      </c>
      <c r="AH90" s="22" t="s">
        <v>364</v>
      </c>
      <c r="AI90" s="22" t="s">
        <v>364</v>
      </c>
      <c r="AJ90" s="22" t="s">
        <v>364</v>
      </c>
      <c r="AK90" s="22" t="s">
        <v>364</v>
      </c>
      <c r="AL90" s="22"/>
      <c r="AM90" s="44" t="s">
        <v>395</v>
      </c>
      <c r="AN90" s="44" t="s">
        <v>395</v>
      </c>
      <c r="AO90" s="44" t="s">
        <v>395</v>
      </c>
      <c r="AP90" s="44" t="s">
        <v>395</v>
      </c>
      <c r="AQ90" s="44" t="s">
        <v>395</v>
      </c>
      <c r="AR90" s="44" t="s">
        <v>395</v>
      </c>
      <c r="AS90" s="44" t="s">
        <v>395</v>
      </c>
      <c r="AT90" s="44" t="s">
        <v>395</v>
      </c>
      <c r="AU90" s="44" t="s">
        <v>395</v>
      </c>
      <c r="AV90" s="44" t="s">
        <v>395</v>
      </c>
      <c r="AW90" s="22"/>
      <c r="AX90" s="26" t="s">
        <v>363</v>
      </c>
      <c r="AY90" s="26"/>
    </row>
    <row r="91" spans="1:51" ht="122.25" customHeight="1" x14ac:dyDescent="0.25">
      <c r="A91" s="21" t="s">
        <v>49</v>
      </c>
      <c r="B91" s="21" t="s">
        <v>249</v>
      </c>
      <c r="C91" s="764"/>
      <c r="D91" s="764"/>
      <c r="E91" s="764"/>
      <c r="F91" s="780" t="s">
        <v>280</v>
      </c>
      <c r="G91" s="764"/>
      <c r="H91" s="770" t="s">
        <v>284</v>
      </c>
      <c r="I91" s="770" t="s">
        <v>285</v>
      </c>
      <c r="J91" s="763">
        <v>0</v>
      </c>
      <c r="K91" s="763" t="s">
        <v>323</v>
      </c>
      <c r="L91" s="786">
        <v>16</v>
      </c>
      <c r="M91" s="788">
        <v>4</v>
      </c>
      <c r="N91" s="770" t="s">
        <v>285</v>
      </c>
      <c r="O91" s="767">
        <v>4</v>
      </c>
      <c r="P91" s="766">
        <v>605420</v>
      </c>
      <c r="Q91" s="807"/>
      <c r="R91" s="810">
        <v>554034.29987500003</v>
      </c>
      <c r="S91" s="810"/>
      <c r="T91" s="810"/>
      <c r="U91" s="810">
        <v>91250</v>
      </c>
      <c r="V91" s="810"/>
      <c r="W91" s="810"/>
      <c r="X91" s="810"/>
      <c r="Y91" s="810"/>
      <c r="Z91" s="810"/>
      <c r="AA91" s="810"/>
      <c r="AB91" s="810"/>
      <c r="AC91" s="810"/>
      <c r="AD91" s="813"/>
      <c r="AE91" s="26" t="s">
        <v>572</v>
      </c>
      <c r="AF91" s="26" t="s">
        <v>364</v>
      </c>
      <c r="AG91" s="26" t="s">
        <v>573</v>
      </c>
      <c r="AH91" s="26" t="s">
        <v>574</v>
      </c>
      <c r="AI91" s="26" t="s">
        <v>575</v>
      </c>
      <c r="AJ91" s="76">
        <v>290378</v>
      </c>
      <c r="AK91" s="26" t="s">
        <v>576</v>
      </c>
      <c r="AL91" s="44"/>
      <c r="AM91" s="44" t="s">
        <v>395</v>
      </c>
      <c r="AN91" s="44" t="s">
        <v>395</v>
      </c>
      <c r="AO91" s="44" t="s">
        <v>395</v>
      </c>
      <c r="AP91" s="44" t="s">
        <v>395</v>
      </c>
      <c r="AQ91" s="44" t="s">
        <v>395</v>
      </c>
      <c r="AR91" s="44" t="s">
        <v>395</v>
      </c>
      <c r="AS91" s="44" t="s">
        <v>395</v>
      </c>
      <c r="AT91" s="44" t="s">
        <v>395</v>
      </c>
      <c r="AU91" s="44" t="s">
        <v>395</v>
      </c>
      <c r="AV91" s="44" t="s">
        <v>395</v>
      </c>
      <c r="AW91" s="26"/>
      <c r="AX91" s="26" t="s">
        <v>363</v>
      </c>
      <c r="AY91" s="26"/>
    </row>
    <row r="92" spans="1:51" s="9" customFormat="1" ht="97.5" customHeight="1" x14ac:dyDescent="0.25">
      <c r="A92" s="21"/>
      <c r="B92" s="21"/>
      <c r="C92" s="764"/>
      <c r="D92" s="764"/>
      <c r="E92" s="764"/>
      <c r="F92" s="781"/>
      <c r="G92" s="764"/>
      <c r="H92" s="771"/>
      <c r="I92" s="771"/>
      <c r="J92" s="764"/>
      <c r="K92" s="764"/>
      <c r="L92" s="787"/>
      <c r="M92" s="789"/>
      <c r="N92" s="771"/>
      <c r="O92" s="768"/>
      <c r="P92" s="766"/>
      <c r="Q92" s="808"/>
      <c r="R92" s="811"/>
      <c r="S92" s="811"/>
      <c r="T92" s="811"/>
      <c r="U92" s="811"/>
      <c r="V92" s="811"/>
      <c r="W92" s="811"/>
      <c r="X92" s="811"/>
      <c r="Y92" s="811"/>
      <c r="Z92" s="811"/>
      <c r="AA92" s="811"/>
      <c r="AB92" s="811"/>
      <c r="AC92" s="811"/>
      <c r="AD92" s="814"/>
      <c r="AE92" s="26" t="s">
        <v>578</v>
      </c>
      <c r="AF92" s="26" t="s">
        <v>364</v>
      </c>
      <c r="AG92" s="26" t="s">
        <v>579</v>
      </c>
      <c r="AH92" s="26" t="s">
        <v>580</v>
      </c>
      <c r="AI92" s="77" t="s">
        <v>581</v>
      </c>
      <c r="AJ92" s="78">
        <v>40000</v>
      </c>
      <c r="AK92" s="31" t="s">
        <v>582</v>
      </c>
      <c r="AL92" s="44"/>
      <c r="AM92" s="44" t="s">
        <v>395</v>
      </c>
      <c r="AN92" s="44" t="s">
        <v>395</v>
      </c>
      <c r="AO92" s="44" t="s">
        <v>395</v>
      </c>
      <c r="AP92" s="44" t="s">
        <v>395</v>
      </c>
      <c r="AQ92" s="44" t="s">
        <v>395</v>
      </c>
      <c r="AR92" s="44" t="s">
        <v>395</v>
      </c>
      <c r="AS92" s="44" t="s">
        <v>395</v>
      </c>
      <c r="AT92" s="44" t="s">
        <v>395</v>
      </c>
      <c r="AU92" s="44" t="s">
        <v>395</v>
      </c>
      <c r="AV92" s="44" t="s">
        <v>395</v>
      </c>
      <c r="AW92" s="26"/>
      <c r="AX92" s="26" t="s">
        <v>363</v>
      </c>
      <c r="AY92" s="26"/>
    </row>
    <row r="93" spans="1:51" ht="120.75" customHeight="1" x14ac:dyDescent="0.25">
      <c r="A93" s="21" t="s">
        <v>49</v>
      </c>
      <c r="B93" s="21" t="s">
        <v>249</v>
      </c>
      <c r="C93" s="765"/>
      <c r="D93" s="765"/>
      <c r="E93" s="765"/>
      <c r="F93" s="773"/>
      <c r="G93" s="765"/>
      <c r="H93" s="773"/>
      <c r="I93" s="773"/>
      <c r="J93" s="773"/>
      <c r="K93" s="765"/>
      <c r="L93" s="773"/>
      <c r="M93" s="790"/>
      <c r="N93" s="772"/>
      <c r="O93" s="769"/>
      <c r="P93" s="766"/>
      <c r="Q93" s="809"/>
      <c r="R93" s="812"/>
      <c r="S93" s="812"/>
      <c r="T93" s="812"/>
      <c r="U93" s="812"/>
      <c r="V93" s="812"/>
      <c r="W93" s="812"/>
      <c r="X93" s="812"/>
      <c r="Y93" s="812"/>
      <c r="Z93" s="812"/>
      <c r="AA93" s="812"/>
      <c r="AB93" s="812"/>
      <c r="AC93" s="812"/>
      <c r="AD93" s="815"/>
      <c r="AE93" s="26" t="s">
        <v>577</v>
      </c>
      <c r="AF93" s="26" t="s">
        <v>364</v>
      </c>
      <c r="AG93" s="26" t="s">
        <v>579</v>
      </c>
      <c r="AH93" s="29" t="s">
        <v>580</v>
      </c>
      <c r="AI93" s="43" t="s">
        <v>581</v>
      </c>
      <c r="AJ93" s="76">
        <v>241000</v>
      </c>
      <c r="AK93" s="26" t="s">
        <v>583</v>
      </c>
      <c r="AL93" s="44"/>
      <c r="AM93" s="44" t="s">
        <v>395</v>
      </c>
      <c r="AN93" s="44" t="s">
        <v>395</v>
      </c>
      <c r="AO93" s="44" t="s">
        <v>395</v>
      </c>
      <c r="AP93" s="44" t="s">
        <v>395</v>
      </c>
      <c r="AQ93" s="44" t="s">
        <v>395</v>
      </c>
      <c r="AR93" s="44" t="s">
        <v>395</v>
      </c>
      <c r="AS93" s="44" t="s">
        <v>395</v>
      </c>
      <c r="AT93" s="44" t="s">
        <v>395</v>
      </c>
      <c r="AU93" s="44" t="s">
        <v>395</v>
      </c>
      <c r="AV93" s="44" t="s">
        <v>395</v>
      </c>
      <c r="AW93" s="26"/>
      <c r="AX93" s="26" t="s">
        <v>363</v>
      </c>
      <c r="AY93" s="26"/>
    </row>
    <row r="94" spans="1:51" ht="78" customHeight="1" x14ac:dyDescent="0.25">
      <c r="A94" s="21" t="s">
        <v>49</v>
      </c>
      <c r="B94" s="21" t="s">
        <v>249</v>
      </c>
      <c r="C94" s="763" t="s">
        <v>286</v>
      </c>
      <c r="D94" s="763" t="s">
        <v>287</v>
      </c>
      <c r="E94" s="763">
        <v>0</v>
      </c>
      <c r="F94" s="21" t="s">
        <v>288</v>
      </c>
      <c r="G94" s="763" t="s">
        <v>289</v>
      </c>
      <c r="H94" s="22" t="s">
        <v>290</v>
      </c>
      <c r="I94" s="22" t="s">
        <v>291</v>
      </c>
      <c r="J94" s="23">
        <v>0</v>
      </c>
      <c r="K94" s="23" t="s">
        <v>323</v>
      </c>
      <c r="L94" s="25">
        <v>22</v>
      </c>
      <c r="M94" s="62">
        <v>7</v>
      </c>
      <c r="N94" s="22" t="s">
        <v>291</v>
      </c>
      <c r="O94" s="35">
        <v>1</v>
      </c>
      <c r="P94" s="28">
        <f>(Q94+R94+S94+T94+U94+V94+W94+X94+Y94+Z94+AA94+AB94+AC94+AD94)</f>
        <v>573222</v>
      </c>
      <c r="Q94" s="73">
        <v>37500</v>
      </c>
      <c r="R94" s="69"/>
      <c r="S94" s="69"/>
      <c r="T94" s="69"/>
      <c r="U94" s="69">
        <f>(91250+44472)</f>
        <v>135722</v>
      </c>
      <c r="V94" s="69"/>
      <c r="W94" s="69"/>
      <c r="X94" s="69"/>
      <c r="Y94" s="69">
        <f>(250000+150000)</f>
        <v>400000</v>
      </c>
      <c r="Z94" s="69"/>
      <c r="AA94" s="69"/>
      <c r="AB94" s="69"/>
      <c r="AC94" s="69"/>
      <c r="AD94" s="69"/>
      <c r="AE94" s="26" t="s">
        <v>364</v>
      </c>
      <c r="AF94" s="26" t="s">
        <v>364</v>
      </c>
      <c r="AG94" s="26" t="s">
        <v>364</v>
      </c>
      <c r="AH94" s="26" t="s">
        <v>364</v>
      </c>
      <c r="AI94" s="26" t="s">
        <v>364</v>
      </c>
      <c r="AJ94" s="26" t="s">
        <v>364</v>
      </c>
      <c r="AK94" s="26" t="s">
        <v>364</v>
      </c>
      <c r="AL94" s="44"/>
      <c r="AM94" s="44" t="s">
        <v>395</v>
      </c>
      <c r="AN94" s="44" t="s">
        <v>395</v>
      </c>
      <c r="AO94" s="44" t="s">
        <v>395</v>
      </c>
      <c r="AP94" s="44" t="s">
        <v>395</v>
      </c>
      <c r="AQ94" s="44" t="s">
        <v>395</v>
      </c>
      <c r="AR94" s="44" t="s">
        <v>395</v>
      </c>
      <c r="AS94" s="44" t="s">
        <v>395</v>
      </c>
      <c r="AT94" s="44" t="s">
        <v>395</v>
      </c>
      <c r="AU94" s="44" t="s">
        <v>395</v>
      </c>
      <c r="AV94" s="44" t="s">
        <v>395</v>
      </c>
      <c r="AW94" s="44"/>
      <c r="AX94" s="26" t="s">
        <v>363</v>
      </c>
      <c r="AY94" s="26"/>
    </row>
    <row r="95" spans="1:51" ht="84.75" customHeight="1" x14ac:dyDescent="0.25">
      <c r="A95" s="21" t="s">
        <v>49</v>
      </c>
      <c r="B95" s="21" t="s">
        <v>249</v>
      </c>
      <c r="C95" s="764"/>
      <c r="D95" s="764"/>
      <c r="E95" s="764"/>
      <c r="F95" s="21" t="s">
        <v>288</v>
      </c>
      <c r="G95" s="764"/>
      <c r="H95" s="22" t="s">
        <v>292</v>
      </c>
      <c r="I95" s="22" t="s">
        <v>293</v>
      </c>
      <c r="J95" s="23">
        <v>0</v>
      </c>
      <c r="K95" s="23" t="s">
        <v>323</v>
      </c>
      <c r="L95" s="25">
        <v>4</v>
      </c>
      <c r="M95" s="62">
        <v>2</v>
      </c>
      <c r="N95" s="22" t="s">
        <v>293</v>
      </c>
      <c r="O95" s="35">
        <v>1</v>
      </c>
      <c r="P95" s="28">
        <f t="shared" ref="P95:P101" si="2">(Q95+R95+S95+T95+U95+V95+W95+X95+Y95+Z95+AA95+AB95+AC95+AD95)</f>
        <v>206000</v>
      </c>
      <c r="Q95" s="73">
        <f>(37500+22500)</f>
        <v>60000</v>
      </c>
      <c r="R95" s="69"/>
      <c r="S95" s="69"/>
      <c r="T95" s="69"/>
      <c r="U95" s="69">
        <f>(91250+54750)</f>
        <v>146000</v>
      </c>
      <c r="V95" s="69"/>
      <c r="W95" s="69"/>
      <c r="X95" s="69"/>
      <c r="Y95" s="69"/>
      <c r="Z95" s="69"/>
      <c r="AA95" s="69"/>
      <c r="AB95" s="69"/>
      <c r="AC95" s="69"/>
      <c r="AD95" s="69"/>
      <c r="AE95" s="26" t="s">
        <v>584</v>
      </c>
      <c r="AF95" s="26" t="s">
        <v>364</v>
      </c>
      <c r="AG95" s="26" t="s">
        <v>553</v>
      </c>
      <c r="AH95" s="26" t="s">
        <v>554</v>
      </c>
      <c r="AI95" s="26" t="s">
        <v>585</v>
      </c>
      <c r="AJ95" s="51">
        <v>77250</v>
      </c>
      <c r="AK95" s="26" t="s">
        <v>586</v>
      </c>
      <c r="AL95" s="44"/>
      <c r="AM95" s="44" t="s">
        <v>395</v>
      </c>
      <c r="AN95" s="44" t="s">
        <v>395</v>
      </c>
      <c r="AO95" s="44" t="s">
        <v>395</v>
      </c>
      <c r="AP95" s="44" t="s">
        <v>395</v>
      </c>
      <c r="AQ95" s="44" t="s">
        <v>395</v>
      </c>
      <c r="AR95" s="44" t="s">
        <v>395</v>
      </c>
      <c r="AS95" s="44" t="s">
        <v>395</v>
      </c>
      <c r="AT95" s="44" t="s">
        <v>395</v>
      </c>
      <c r="AU95" s="44" t="s">
        <v>395</v>
      </c>
      <c r="AV95" s="44" t="s">
        <v>395</v>
      </c>
      <c r="AW95" s="44"/>
      <c r="AX95" s="26" t="s">
        <v>363</v>
      </c>
      <c r="AY95" s="26"/>
    </row>
    <row r="96" spans="1:51" ht="74.25" customHeight="1" x14ac:dyDescent="0.25">
      <c r="A96" s="21" t="s">
        <v>49</v>
      </c>
      <c r="B96" s="21" t="s">
        <v>249</v>
      </c>
      <c r="C96" s="764"/>
      <c r="D96" s="764"/>
      <c r="E96" s="764"/>
      <c r="F96" s="21" t="s">
        <v>288</v>
      </c>
      <c r="G96" s="764"/>
      <c r="H96" s="22" t="s">
        <v>294</v>
      </c>
      <c r="I96" s="22" t="s">
        <v>295</v>
      </c>
      <c r="J96" s="23" t="s">
        <v>296</v>
      </c>
      <c r="K96" s="23" t="s">
        <v>323</v>
      </c>
      <c r="L96" s="25">
        <v>4</v>
      </c>
      <c r="M96" s="62">
        <v>1</v>
      </c>
      <c r="N96" s="22" t="s">
        <v>295</v>
      </c>
      <c r="O96" s="35">
        <v>1</v>
      </c>
      <c r="P96" s="28">
        <f t="shared" si="2"/>
        <v>128750</v>
      </c>
      <c r="Q96" s="73">
        <v>37500</v>
      </c>
      <c r="R96" s="69"/>
      <c r="S96" s="69"/>
      <c r="T96" s="69"/>
      <c r="U96" s="69">
        <v>91250</v>
      </c>
      <c r="V96" s="69"/>
      <c r="W96" s="69"/>
      <c r="X96" s="69"/>
      <c r="Y96" s="69"/>
      <c r="Z96" s="69"/>
      <c r="AA96" s="69"/>
      <c r="AB96" s="69"/>
      <c r="AC96" s="69"/>
      <c r="AD96" s="69"/>
      <c r="AE96" s="54" t="s">
        <v>588</v>
      </c>
      <c r="AF96" s="26" t="s">
        <v>364</v>
      </c>
      <c r="AG96" s="26" t="s">
        <v>553</v>
      </c>
      <c r="AH96" s="26" t="s">
        <v>554</v>
      </c>
      <c r="AI96" s="26" t="s">
        <v>585</v>
      </c>
      <c r="AJ96" s="51">
        <v>77250</v>
      </c>
      <c r="AK96" s="54" t="s">
        <v>589</v>
      </c>
      <c r="AL96" s="44"/>
      <c r="AM96" s="44" t="s">
        <v>395</v>
      </c>
      <c r="AN96" s="44" t="s">
        <v>395</v>
      </c>
      <c r="AO96" s="44" t="s">
        <v>395</v>
      </c>
      <c r="AP96" s="44" t="s">
        <v>395</v>
      </c>
      <c r="AQ96" s="44" t="s">
        <v>395</v>
      </c>
      <c r="AR96" s="44" t="s">
        <v>395</v>
      </c>
      <c r="AS96" s="44" t="s">
        <v>395</v>
      </c>
      <c r="AT96" s="44" t="s">
        <v>395</v>
      </c>
      <c r="AU96" s="44" t="s">
        <v>395</v>
      </c>
      <c r="AV96" s="44" t="s">
        <v>395</v>
      </c>
      <c r="AW96" s="44"/>
      <c r="AX96" s="26" t="s">
        <v>363</v>
      </c>
      <c r="AY96" s="26" t="s">
        <v>587</v>
      </c>
    </row>
    <row r="97" spans="1:51" ht="54.75" customHeight="1" x14ac:dyDescent="0.25">
      <c r="A97" s="21" t="s">
        <v>49</v>
      </c>
      <c r="B97" s="21" t="s">
        <v>249</v>
      </c>
      <c r="C97" s="765"/>
      <c r="D97" s="765"/>
      <c r="E97" s="765"/>
      <c r="F97" s="21" t="s">
        <v>288</v>
      </c>
      <c r="G97" s="765"/>
      <c r="H97" s="22" t="s">
        <v>297</v>
      </c>
      <c r="I97" s="22" t="s">
        <v>298</v>
      </c>
      <c r="J97" s="23">
        <v>0</v>
      </c>
      <c r="K97" s="23" t="s">
        <v>323</v>
      </c>
      <c r="L97" s="25">
        <v>4</v>
      </c>
      <c r="M97" s="62">
        <f>(1+1)</f>
        <v>2</v>
      </c>
      <c r="N97" s="22" t="s">
        <v>298</v>
      </c>
      <c r="O97" s="35">
        <v>1</v>
      </c>
      <c r="P97" s="28">
        <f t="shared" si="2"/>
        <v>206000</v>
      </c>
      <c r="Q97" s="73">
        <f>(37500+22500)</f>
        <v>60000</v>
      </c>
      <c r="R97" s="69"/>
      <c r="S97" s="69"/>
      <c r="T97" s="69"/>
      <c r="U97" s="69">
        <f>(91250+54750)</f>
        <v>146000</v>
      </c>
      <c r="V97" s="69"/>
      <c r="W97" s="69"/>
      <c r="X97" s="69"/>
      <c r="Y97" s="69"/>
      <c r="Z97" s="69"/>
      <c r="AA97" s="69"/>
      <c r="AB97" s="69"/>
      <c r="AC97" s="69"/>
      <c r="AD97" s="69"/>
      <c r="AE97" s="26" t="s">
        <v>590</v>
      </c>
      <c r="AF97" s="26" t="s">
        <v>364</v>
      </c>
      <c r="AG97" s="26" t="s">
        <v>553</v>
      </c>
      <c r="AH97" s="26" t="s">
        <v>554</v>
      </c>
      <c r="AI97" s="26" t="s">
        <v>585</v>
      </c>
      <c r="AJ97" s="51">
        <v>77250</v>
      </c>
      <c r="AK97" s="26" t="s">
        <v>590</v>
      </c>
      <c r="AL97" s="44"/>
      <c r="AM97" s="44" t="s">
        <v>395</v>
      </c>
      <c r="AN97" s="44" t="s">
        <v>395</v>
      </c>
      <c r="AO97" s="44" t="s">
        <v>395</v>
      </c>
      <c r="AP97" s="44" t="s">
        <v>395</v>
      </c>
      <c r="AQ97" s="44" t="s">
        <v>395</v>
      </c>
      <c r="AR97" s="44" t="s">
        <v>395</v>
      </c>
      <c r="AS97" s="44" t="s">
        <v>395</v>
      </c>
      <c r="AT97" s="44" t="s">
        <v>395</v>
      </c>
      <c r="AU97" s="44" t="s">
        <v>395</v>
      </c>
      <c r="AV97" s="44" t="s">
        <v>395</v>
      </c>
      <c r="AW97" s="44"/>
      <c r="AX97" s="26" t="s">
        <v>363</v>
      </c>
      <c r="AY97" s="26"/>
    </row>
    <row r="98" spans="1:51" ht="165" customHeight="1" x14ac:dyDescent="0.25">
      <c r="A98" s="21" t="s">
        <v>49</v>
      </c>
      <c r="B98" s="21" t="s">
        <v>249</v>
      </c>
      <c r="C98" s="763" t="s">
        <v>299</v>
      </c>
      <c r="D98" s="763" t="s">
        <v>300</v>
      </c>
      <c r="E98" s="763">
        <v>0</v>
      </c>
      <c r="F98" s="21" t="s">
        <v>301</v>
      </c>
      <c r="G98" s="763" t="s">
        <v>302</v>
      </c>
      <c r="H98" s="22" t="s">
        <v>303</v>
      </c>
      <c r="I98" s="22" t="s">
        <v>304</v>
      </c>
      <c r="J98" s="23">
        <v>0</v>
      </c>
      <c r="K98" s="23" t="s">
        <v>323</v>
      </c>
      <c r="L98" s="25">
        <v>4</v>
      </c>
      <c r="M98" s="23" t="s">
        <v>615</v>
      </c>
      <c r="N98" s="22" t="s">
        <v>304</v>
      </c>
      <c r="O98" s="35">
        <v>2</v>
      </c>
      <c r="P98" s="28">
        <f t="shared" si="2"/>
        <v>206000</v>
      </c>
      <c r="Q98" s="73">
        <f>(37500+22500)</f>
        <v>60000</v>
      </c>
      <c r="R98" s="69"/>
      <c r="S98" s="69"/>
      <c r="T98" s="69"/>
      <c r="U98" s="69">
        <f>(91250+54750)</f>
        <v>146000</v>
      </c>
      <c r="V98" s="69"/>
      <c r="W98" s="69"/>
      <c r="X98" s="69"/>
      <c r="Y98" s="69"/>
      <c r="Z98" s="69"/>
      <c r="AA98" s="69"/>
      <c r="AB98" s="69"/>
      <c r="AC98" s="69"/>
      <c r="AD98" s="69"/>
      <c r="AE98" s="26" t="s">
        <v>591</v>
      </c>
      <c r="AF98" s="26" t="s">
        <v>364</v>
      </c>
      <c r="AG98" s="26" t="s">
        <v>553</v>
      </c>
      <c r="AH98" s="26" t="s">
        <v>554</v>
      </c>
      <c r="AI98" s="26" t="s">
        <v>585</v>
      </c>
      <c r="AJ98" s="51">
        <v>77250</v>
      </c>
      <c r="AK98" s="26" t="s">
        <v>591</v>
      </c>
      <c r="AL98" s="44"/>
      <c r="AM98" s="44" t="s">
        <v>395</v>
      </c>
      <c r="AN98" s="44" t="s">
        <v>395</v>
      </c>
      <c r="AO98" s="44" t="s">
        <v>395</v>
      </c>
      <c r="AP98" s="44" t="s">
        <v>395</v>
      </c>
      <c r="AQ98" s="44" t="s">
        <v>395</v>
      </c>
      <c r="AR98" s="44" t="s">
        <v>395</v>
      </c>
      <c r="AS98" s="44" t="s">
        <v>395</v>
      </c>
      <c r="AT98" s="44" t="s">
        <v>395</v>
      </c>
      <c r="AU98" s="44" t="s">
        <v>395</v>
      </c>
      <c r="AV98" s="44" t="s">
        <v>395</v>
      </c>
      <c r="AW98" s="44"/>
      <c r="AX98" s="26" t="s">
        <v>363</v>
      </c>
      <c r="AY98" s="26"/>
    </row>
    <row r="99" spans="1:51" ht="91.5" customHeight="1" x14ac:dyDescent="0.25">
      <c r="A99" s="21" t="s">
        <v>49</v>
      </c>
      <c r="B99" s="21" t="s">
        <v>249</v>
      </c>
      <c r="C99" s="764"/>
      <c r="D99" s="764"/>
      <c r="E99" s="764"/>
      <c r="F99" s="21" t="s">
        <v>301</v>
      </c>
      <c r="G99" s="764"/>
      <c r="H99" s="22" t="s">
        <v>305</v>
      </c>
      <c r="I99" s="22" t="s">
        <v>306</v>
      </c>
      <c r="J99" s="23">
        <v>0</v>
      </c>
      <c r="K99" s="23" t="s">
        <v>323</v>
      </c>
      <c r="L99" s="25">
        <v>2</v>
      </c>
      <c r="M99" s="23">
        <v>1.5</v>
      </c>
      <c r="N99" s="22" t="s">
        <v>306</v>
      </c>
      <c r="O99" s="35">
        <v>1</v>
      </c>
      <c r="P99" s="28">
        <f t="shared" si="2"/>
        <v>206000</v>
      </c>
      <c r="Q99" s="73">
        <f>(37500+22500)</f>
        <v>60000</v>
      </c>
      <c r="R99" s="69"/>
      <c r="S99" s="69"/>
      <c r="T99" s="69"/>
      <c r="U99" s="69">
        <f>(91250+54750)</f>
        <v>146000</v>
      </c>
      <c r="V99" s="69"/>
      <c r="W99" s="69"/>
      <c r="X99" s="69"/>
      <c r="Y99" s="69"/>
      <c r="Z99" s="69"/>
      <c r="AA99" s="69"/>
      <c r="AB99" s="69"/>
      <c r="AC99" s="69"/>
      <c r="AD99" s="69"/>
      <c r="AE99" s="26" t="s">
        <v>414</v>
      </c>
      <c r="AF99" s="26" t="s">
        <v>414</v>
      </c>
      <c r="AG99" s="26" t="s">
        <v>414</v>
      </c>
      <c r="AH99" s="26" t="s">
        <v>414</v>
      </c>
      <c r="AI99" s="26" t="s">
        <v>414</v>
      </c>
      <c r="AJ99" s="26" t="s">
        <v>414</v>
      </c>
      <c r="AK99" s="26" t="s">
        <v>414</v>
      </c>
      <c r="AL99" s="44"/>
      <c r="AM99" s="44" t="s">
        <v>395</v>
      </c>
      <c r="AN99" s="44" t="s">
        <v>395</v>
      </c>
      <c r="AO99" s="44" t="s">
        <v>395</v>
      </c>
      <c r="AP99" s="44" t="s">
        <v>395</v>
      </c>
      <c r="AQ99" s="44" t="s">
        <v>395</v>
      </c>
      <c r="AR99" s="44" t="s">
        <v>395</v>
      </c>
      <c r="AS99" s="44" t="s">
        <v>395</v>
      </c>
      <c r="AT99" s="44" t="s">
        <v>395</v>
      </c>
      <c r="AU99" s="44" t="s">
        <v>395</v>
      </c>
      <c r="AV99" s="44" t="s">
        <v>395</v>
      </c>
      <c r="AW99" s="44"/>
      <c r="AX99" s="26" t="s">
        <v>363</v>
      </c>
      <c r="AY99" s="44"/>
    </row>
    <row r="100" spans="1:51" ht="105" customHeight="1" x14ac:dyDescent="0.25">
      <c r="A100" s="21" t="s">
        <v>49</v>
      </c>
      <c r="B100" s="21" t="s">
        <v>249</v>
      </c>
      <c r="C100" s="764"/>
      <c r="D100" s="764"/>
      <c r="E100" s="764"/>
      <c r="F100" s="21" t="s">
        <v>301</v>
      </c>
      <c r="G100" s="764"/>
      <c r="H100" s="22" t="s">
        <v>307</v>
      </c>
      <c r="I100" s="22" t="s">
        <v>308</v>
      </c>
      <c r="J100" s="23">
        <v>0</v>
      </c>
      <c r="K100" s="23" t="s">
        <v>323</v>
      </c>
      <c r="L100" s="25">
        <v>4</v>
      </c>
      <c r="M100" s="23" t="s">
        <v>615</v>
      </c>
      <c r="N100" s="22" t="s">
        <v>308</v>
      </c>
      <c r="O100" s="35" t="s">
        <v>328</v>
      </c>
      <c r="P100" s="28">
        <f t="shared" si="2"/>
        <v>206000</v>
      </c>
      <c r="Q100" s="73">
        <f>(37500+22500)</f>
        <v>60000</v>
      </c>
      <c r="R100" s="69"/>
      <c r="S100" s="69"/>
      <c r="T100" s="69"/>
      <c r="U100" s="69">
        <f>(91250+54750)</f>
        <v>146000</v>
      </c>
      <c r="V100" s="69"/>
      <c r="W100" s="69"/>
      <c r="X100" s="69"/>
      <c r="Y100" s="69"/>
      <c r="Z100" s="69"/>
      <c r="AA100" s="69"/>
      <c r="AB100" s="69"/>
      <c r="AC100" s="69"/>
      <c r="AD100" s="69"/>
      <c r="AE100" s="26" t="s">
        <v>592</v>
      </c>
      <c r="AF100" s="26" t="s">
        <v>364</v>
      </c>
      <c r="AG100" s="26" t="s">
        <v>553</v>
      </c>
      <c r="AH100" s="26" t="s">
        <v>554</v>
      </c>
      <c r="AI100" s="26" t="s">
        <v>585</v>
      </c>
      <c r="AJ100" s="51">
        <v>77250</v>
      </c>
      <c r="AK100" s="26" t="s">
        <v>593</v>
      </c>
      <c r="AL100" s="44"/>
      <c r="AM100" s="44" t="s">
        <v>395</v>
      </c>
      <c r="AN100" s="44" t="s">
        <v>395</v>
      </c>
      <c r="AO100" s="44" t="s">
        <v>395</v>
      </c>
      <c r="AP100" s="44" t="s">
        <v>395</v>
      </c>
      <c r="AQ100" s="44" t="s">
        <v>395</v>
      </c>
      <c r="AR100" s="44" t="s">
        <v>395</v>
      </c>
      <c r="AS100" s="44" t="s">
        <v>395</v>
      </c>
      <c r="AT100" s="44" t="s">
        <v>395</v>
      </c>
      <c r="AU100" s="44" t="s">
        <v>395</v>
      </c>
      <c r="AV100" s="44" t="s">
        <v>395</v>
      </c>
      <c r="AW100" s="44"/>
      <c r="AX100" s="26" t="s">
        <v>363</v>
      </c>
      <c r="AY100" s="70"/>
    </row>
    <row r="101" spans="1:51" ht="95.25" customHeight="1" x14ac:dyDescent="0.25">
      <c r="A101" s="21" t="s">
        <v>49</v>
      </c>
      <c r="B101" s="21" t="s">
        <v>249</v>
      </c>
      <c r="C101" s="765"/>
      <c r="D101" s="765"/>
      <c r="E101" s="765"/>
      <c r="F101" s="21" t="s">
        <v>301</v>
      </c>
      <c r="G101" s="765"/>
      <c r="H101" s="22" t="s">
        <v>309</v>
      </c>
      <c r="I101" s="22" t="s">
        <v>310</v>
      </c>
      <c r="J101" s="23">
        <v>0</v>
      </c>
      <c r="K101" s="23" t="s">
        <v>323</v>
      </c>
      <c r="L101" s="25">
        <v>2</v>
      </c>
      <c r="M101" s="23">
        <v>0.8</v>
      </c>
      <c r="N101" s="22" t="s">
        <v>310</v>
      </c>
      <c r="O101" s="35" t="s">
        <v>328</v>
      </c>
      <c r="P101" s="28">
        <f t="shared" si="2"/>
        <v>206000</v>
      </c>
      <c r="Q101" s="73">
        <f>(37500+22500)</f>
        <v>60000</v>
      </c>
      <c r="R101" s="69"/>
      <c r="S101" s="69"/>
      <c r="T101" s="69"/>
      <c r="U101" s="69">
        <f>(91250+54750)</f>
        <v>146000</v>
      </c>
      <c r="V101" s="69"/>
      <c r="W101" s="69"/>
      <c r="X101" s="69"/>
      <c r="Y101" s="69"/>
      <c r="Z101" s="69"/>
      <c r="AA101" s="69"/>
      <c r="AB101" s="69"/>
      <c r="AC101" s="69"/>
      <c r="AD101" s="69"/>
      <c r="AE101" s="26" t="s">
        <v>414</v>
      </c>
      <c r="AF101" s="26" t="s">
        <v>414</v>
      </c>
      <c r="AG101" s="26" t="s">
        <v>414</v>
      </c>
      <c r="AH101" s="26" t="s">
        <v>414</v>
      </c>
      <c r="AI101" s="26" t="s">
        <v>414</v>
      </c>
      <c r="AJ101" s="26" t="s">
        <v>414</v>
      </c>
      <c r="AK101" s="26" t="s">
        <v>414</v>
      </c>
      <c r="AL101" s="44"/>
      <c r="AM101" s="44" t="s">
        <v>395</v>
      </c>
      <c r="AN101" s="44" t="s">
        <v>395</v>
      </c>
      <c r="AO101" s="44" t="s">
        <v>395</v>
      </c>
      <c r="AP101" s="44" t="s">
        <v>395</v>
      </c>
      <c r="AQ101" s="44" t="s">
        <v>395</v>
      </c>
      <c r="AR101" s="44" t="s">
        <v>395</v>
      </c>
      <c r="AS101" s="44" t="s">
        <v>395</v>
      </c>
      <c r="AT101" s="44" t="s">
        <v>395</v>
      </c>
      <c r="AU101" s="44" t="s">
        <v>395</v>
      </c>
      <c r="AV101" s="44" t="s">
        <v>395</v>
      </c>
      <c r="AW101" s="44"/>
      <c r="AX101" s="26" t="s">
        <v>363</v>
      </c>
      <c r="AY101" s="79"/>
    </row>
    <row r="102" spans="1:51" ht="20.25" customHeight="1" x14ac:dyDescent="0.25">
      <c r="A102" s="10"/>
      <c r="B102" s="10"/>
      <c r="C102" s="10"/>
      <c r="D102" s="10"/>
      <c r="E102" s="10"/>
      <c r="F102" s="10"/>
      <c r="G102" s="10"/>
      <c r="H102" s="10"/>
      <c r="I102" s="10"/>
      <c r="J102" s="10"/>
      <c r="K102" s="10"/>
      <c r="L102" s="10"/>
      <c r="M102" s="12"/>
      <c r="N102" s="12"/>
      <c r="O102" s="12"/>
      <c r="P102" s="13">
        <f>SUM(P16:P101)</f>
        <v>729526624.45000005</v>
      </c>
      <c r="Q102" s="13">
        <f>SUM(Q16:Q101)</f>
        <v>8043752</v>
      </c>
      <c r="R102" s="13">
        <f t="shared" ref="R102:AD102" si="3">SUM(R16:R101)</f>
        <v>1390445.299875</v>
      </c>
      <c r="S102" s="13">
        <f t="shared" si="3"/>
        <v>0</v>
      </c>
      <c r="T102" s="13">
        <f t="shared" si="3"/>
        <v>638672626</v>
      </c>
      <c r="U102" s="13">
        <f t="shared" si="3"/>
        <v>4943972</v>
      </c>
      <c r="V102" s="13">
        <f t="shared" si="3"/>
        <v>0</v>
      </c>
      <c r="W102" s="13">
        <f t="shared" si="3"/>
        <v>6200000</v>
      </c>
      <c r="X102" s="13">
        <f t="shared" si="3"/>
        <v>455750</v>
      </c>
      <c r="Y102" s="13">
        <f t="shared" si="3"/>
        <v>2525500</v>
      </c>
      <c r="Z102" s="13">
        <f t="shared" si="3"/>
        <v>8260478.9500000002</v>
      </c>
      <c r="AA102" s="13">
        <f t="shared" si="3"/>
        <v>27513954</v>
      </c>
      <c r="AB102" s="13">
        <f t="shared" si="3"/>
        <v>2716500</v>
      </c>
      <c r="AC102" s="13">
        <f t="shared" si="3"/>
        <v>0</v>
      </c>
      <c r="AD102" s="13">
        <f t="shared" si="3"/>
        <v>28843510.5</v>
      </c>
      <c r="AE102" s="12"/>
      <c r="AF102" s="12"/>
      <c r="AG102" s="12"/>
      <c r="AH102" s="12"/>
      <c r="AI102" s="12"/>
      <c r="AJ102" s="12"/>
      <c r="AK102" s="12"/>
      <c r="AL102" s="12"/>
      <c r="AM102" s="12"/>
      <c r="AN102" s="12"/>
      <c r="AO102" s="12"/>
      <c r="AP102" s="12"/>
      <c r="AQ102" s="12"/>
      <c r="AR102" s="12"/>
      <c r="AS102" s="12"/>
      <c r="AT102" s="12"/>
      <c r="AU102" s="12"/>
      <c r="AV102" s="12"/>
      <c r="AW102" s="12"/>
      <c r="AX102" s="12"/>
      <c r="AY102" s="12"/>
    </row>
    <row r="103" spans="1:51" x14ac:dyDescent="0.25">
      <c r="A103" s="785" t="s">
        <v>311</v>
      </c>
      <c r="B103" s="775"/>
      <c r="C103" s="14"/>
      <c r="D103" s="14"/>
      <c r="E103" s="10"/>
      <c r="F103" s="10"/>
      <c r="G103" s="10"/>
      <c r="H103" s="10"/>
      <c r="I103" s="10"/>
      <c r="J103" s="10"/>
      <c r="K103" s="10"/>
      <c r="L103" s="10"/>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row>
    <row r="104" spans="1:51" x14ac:dyDescent="0.25">
      <c r="A104" s="785" t="s">
        <v>312</v>
      </c>
      <c r="B104" s="775"/>
      <c r="C104" s="779" t="s">
        <v>318</v>
      </c>
      <c r="D104" s="775"/>
      <c r="E104" s="10"/>
      <c r="F104" s="10"/>
      <c r="G104" s="10"/>
      <c r="H104" s="10"/>
      <c r="I104" s="10"/>
      <c r="J104" s="10"/>
      <c r="K104" s="10"/>
      <c r="L104" s="10"/>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row>
    <row r="105" spans="1:51" x14ac:dyDescent="0.25">
      <c r="A105" s="785" t="s">
        <v>313</v>
      </c>
      <c r="B105" s="775"/>
      <c r="C105" s="774" t="s">
        <v>319</v>
      </c>
      <c r="D105" s="775"/>
      <c r="E105" s="10"/>
      <c r="F105" s="10"/>
      <c r="G105" s="10"/>
      <c r="H105" s="10"/>
      <c r="I105" s="10"/>
      <c r="J105" s="10"/>
      <c r="K105" s="10"/>
      <c r="L105" s="10"/>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row>
    <row r="106" spans="1:51" x14ac:dyDescent="0.25">
      <c r="A106" s="785" t="s">
        <v>314</v>
      </c>
      <c r="B106" s="775"/>
      <c r="C106" s="774"/>
      <c r="D106" s="775"/>
      <c r="E106" s="10"/>
      <c r="F106" s="10"/>
      <c r="G106" s="10"/>
      <c r="H106" s="10"/>
      <c r="I106" s="10"/>
      <c r="J106" s="10"/>
      <c r="K106" s="10"/>
      <c r="L106" s="10"/>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row>
    <row r="107" spans="1:51" x14ac:dyDescent="0.25">
      <c r="A107" s="785" t="s">
        <v>315</v>
      </c>
      <c r="B107" s="775"/>
      <c r="C107" s="782" t="s">
        <v>603</v>
      </c>
      <c r="D107" s="775"/>
      <c r="E107" s="10"/>
      <c r="F107" s="10"/>
      <c r="G107" s="10"/>
      <c r="H107" s="10"/>
      <c r="I107" s="10"/>
      <c r="J107" s="10"/>
      <c r="K107" s="10"/>
      <c r="L107" s="10"/>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row>
    <row r="108" spans="1:51" x14ac:dyDescent="0.25">
      <c r="A108" s="12"/>
      <c r="B108" s="12"/>
      <c r="C108" s="12"/>
      <c r="D108" s="12"/>
      <c r="E108" s="10"/>
      <c r="F108" s="10"/>
      <c r="G108" s="10"/>
      <c r="H108" s="10"/>
      <c r="I108" s="10"/>
      <c r="J108" s="10"/>
      <c r="K108" s="10"/>
      <c r="L108" s="10"/>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row>
    <row r="109" spans="1:51" x14ac:dyDescent="0.25">
      <c r="A109" s="10"/>
      <c r="B109" s="10"/>
      <c r="C109" s="10"/>
      <c r="D109" s="10"/>
      <c r="E109" s="10"/>
      <c r="F109" s="10"/>
      <c r="G109" s="10"/>
      <c r="H109" s="10"/>
      <c r="I109" s="10"/>
      <c r="J109" s="10"/>
      <c r="K109" s="10"/>
      <c r="L109" s="10"/>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row>
    <row r="110" spans="1:51" x14ac:dyDescent="0.25">
      <c r="A110" s="10"/>
      <c r="B110" s="10"/>
      <c r="C110" s="10"/>
      <c r="D110" s="10"/>
      <c r="E110" s="10"/>
      <c r="F110" s="10"/>
      <c r="G110" s="10"/>
      <c r="H110" s="10"/>
      <c r="I110" s="10"/>
      <c r="J110" s="10"/>
      <c r="K110" s="10"/>
      <c r="L110" s="10"/>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row>
    <row r="111" spans="1:51" x14ac:dyDescent="0.25">
      <c r="A111" s="10"/>
      <c r="B111" s="10"/>
      <c r="C111" s="10"/>
      <c r="D111" s="10"/>
      <c r="E111" s="10"/>
      <c r="F111" s="10"/>
      <c r="G111" s="10"/>
      <c r="H111" s="10"/>
      <c r="I111" s="10"/>
      <c r="J111" s="10"/>
      <c r="K111" s="10"/>
      <c r="L111" s="10"/>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row>
    <row r="112" spans="1:51" x14ac:dyDescent="0.25">
      <c r="A112" s="10"/>
      <c r="B112" s="10"/>
      <c r="C112" s="10"/>
      <c r="D112" s="10"/>
      <c r="E112" s="10"/>
      <c r="F112" s="10"/>
      <c r="G112" s="10"/>
      <c r="H112" s="10"/>
      <c r="I112" s="10"/>
      <c r="J112" s="10"/>
      <c r="K112" s="10"/>
      <c r="L112" s="10"/>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row>
    <row r="113" spans="1:51" x14ac:dyDescent="0.25">
      <c r="A113" s="10"/>
      <c r="B113" s="10"/>
      <c r="C113" s="10"/>
      <c r="D113" s="10"/>
      <c r="E113" s="10"/>
      <c r="F113" s="10"/>
      <c r="G113" s="10"/>
      <c r="H113" s="10"/>
      <c r="I113" s="10"/>
      <c r="J113" s="10"/>
      <c r="K113" s="10"/>
      <c r="L113" s="10"/>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row>
    <row r="114" spans="1:51" x14ac:dyDescent="0.25">
      <c r="A114" s="10"/>
      <c r="B114" s="10"/>
      <c r="C114" s="10"/>
      <c r="D114" s="10"/>
      <c r="E114" s="10"/>
      <c r="F114" s="10"/>
      <c r="G114" s="10"/>
      <c r="H114" s="10"/>
      <c r="I114" s="10"/>
      <c r="J114" s="10"/>
      <c r="K114" s="10"/>
      <c r="L114" s="10"/>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row>
    <row r="115" spans="1:51" x14ac:dyDescent="0.25">
      <c r="A115" s="10"/>
      <c r="B115" s="10"/>
      <c r="C115" s="10"/>
      <c r="D115" s="10"/>
      <c r="E115" s="10"/>
      <c r="F115" s="10"/>
      <c r="G115" s="10"/>
      <c r="H115" s="10"/>
      <c r="I115" s="10"/>
      <c r="J115" s="10"/>
      <c r="K115" s="10"/>
      <c r="L115" s="10"/>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row>
    <row r="116" spans="1:51" x14ac:dyDescent="0.25">
      <c r="A116" s="10"/>
      <c r="B116" s="10"/>
      <c r="C116" s="10"/>
      <c r="D116" s="10"/>
      <c r="E116" s="10"/>
      <c r="F116" s="10"/>
      <c r="G116" s="10"/>
      <c r="H116" s="10"/>
      <c r="I116" s="10"/>
      <c r="J116" s="10"/>
      <c r="K116" s="10"/>
      <c r="L116" s="10"/>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row>
    <row r="117" spans="1:51" x14ac:dyDescent="0.25">
      <c r="A117" s="10"/>
      <c r="B117" s="10"/>
      <c r="C117" s="10"/>
      <c r="D117" s="10"/>
      <c r="E117" s="10"/>
      <c r="F117" s="10"/>
      <c r="G117" s="10"/>
      <c r="H117" s="10"/>
      <c r="I117" s="10"/>
      <c r="J117" s="10"/>
      <c r="K117" s="10"/>
      <c r="L117" s="10"/>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row>
    <row r="118" spans="1:51" x14ac:dyDescent="0.25">
      <c r="A118" s="10"/>
      <c r="B118" s="10"/>
      <c r="C118" s="10"/>
      <c r="D118" s="10"/>
      <c r="E118" s="10"/>
      <c r="F118" s="10"/>
      <c r="G118" s="10"/>
      <c r="H118" s="10"/>
      <c r="I118" s="10"/>
      <c r="J118" s="10"/>
      <c r="K118" s="10"/>
      <c r="L118" s="10"/>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row>
    <row r="119" spans="1:51" x14ac:dyDescent="0.25">
      <c r="A119" s="10"/>
      <c r="B119" s="10"/>
      <c r="C119" s="10"/>
      <c r="D119" s="10"/>
      <c r="E119" s="10"/>
      <c r="F119" s="10"/>
      <c r="G119" s="10"/>
      <c r="H119" s="10"/>
      <c r="I119" s="10"/>
      <c r="J119" s="10"/>
      <c r="K119" s="10"/>
      <c r="L119" s="10"/>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row>
    <row r="120" spans="1:51" x14ac:dyDescent="0.25">
      <c r="A120" s="10"/>
      <c r="B120" s="10"/>
      <c r="C120" s="10"/>
      <c r="D120" s="10"/>
      <c r="E120" s="10"/>
      <c r="F120" s="10"/>
      <c r="G120" s="10"/>
      <c r="H120" s="10"/>
      <c r="I120" s="10"/>
      <c r="J120" s="10"/>
      <c r="K120" s="10"/>
      <c r="L120" s="10"/>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row>
    <row r="121" spans="1:51" x14ac:dyDescent="0.25">
      <c r="A121" s="10"/>
      <c r="B121" s="10"/>
      <c r="C121" s="10"/>
      <c r="D121" s="10"/>
      <c r="E121" s="10"/>
      <c r="F121" s="10"/>
      <c r="G121" s="10"/>
      <c r="H121" s="10"/>
      <c r="I121" s="10"/>
      <c r="J121" s="10"/>
      <c r="K121" s="10"/>
      <c r="L121" s="10"/>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row>
    <row r="122" spans="1:51" x14ac:dyDescent="0.25">
      <c r="A122" s="10"/>
      <c r="B122" s="10"/>
      <c r="C122" s="10"/>
      <c r="D122" s="10"/>
      <c r="E122" s="10"/>
      <c r="F122" s="10"/>
      <c r="G122" s="10"/>
      <c r="H122" s="10"/>
      <c r="I122" s="10"/>
      <c r="J122" s="10"/>
      <c r="K122" s="10"/>
      <c r="L122" s="10"/>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row>
    <row r="123" spans="1:51" x14ac:dyDescent="0.25">
      <c r="A123" s="10"/>
      <c r="B123" s="10"/>
      <c r="C123" s="10"/>
      <c r="D123" s="10"/>
      <c r="E123" s="10"/>
      <c r="F123" s="10"/>
      <c r="G123" s="10"/>
      <c r="H123" s="10"/>
      <c r="I123" s="10"/>
      <c r="J123" s="10"/>
      <c r="K123" s="10"/>
      <c r="L123" s="10"/>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row>
    <row r="124" spans="1:51" x14ac:dyDescent="0.25">
      <c r="A124" s="10"/>
      <c r="B124" s="10"/>
      <c r="C124" s="10"/>
      <c r="D124" s="10"/>
      <c r="E124" s="10"/>
      <c r="F124" s="10"/>
      <c r="G124" s="10"/>
      <c r="H124" s="10"/>
      <c r="I124" s="10"/>
      <c r="J124" s="10"/>
      <c r="K124" s="10"/>
      <c r="L124" s="10"/>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row>
    <row r="125" spans="1:51" x14ac:dyDescent="0.25">
      <c r="A125" s="10"/>
      <c r="B125" s="10"/>
      <c r="C125" s="10"/>
      <c r="D125" s="10"/>
      <c r="E125" s="10"/>
      <c r="F125" s="10"/>
      <c r="G125" s="10"/>
      <c r="H125" s="10"/>
      <c r="I125" s="10"/>
      <c r="J125" s="10"/>
      <c r="K125" s="10"/>
      <c r="L125" s="10"/>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row>
    <row r="126" spans="1:51" x14ac:dyDescent="0.25">
      <c r="A126" s="10"/>
      <c r="B126" s="10"/>
      <c r="C126" s="10"/>
      <c r="D126" s="10"/>
      <c r="E126" s="10"/>
      <c r="F126" s="10"/>
      <c r="G126" s="10"/>
      <c r="H126" s="10"/>
      <c r="I126" s="10"/>
      <c r="J126" s="10"/>
      <c r="K126" s="10"/>
      <c r="L126" s="10"/>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row>
    <row r="127" spans="1:51" x14ac:dyDescent="0.25">
      <c r="A127" s="10"/>
      <c r="B127" s="10"/>
      <c r="C127" s="10"/>
      <c r="D127" s="10"/>
      <c r="E127" s="10"/>
      <c r="F127" s="10"/>
      <c r="G127" s="10"/>
      <c r="H127" s="10"/>
      <c r="I127" s="10"/>
      <c r="J127" s="10"/>
      <c r="K127" s="10"/>
      <c r="L127" s="10"/>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row>
    <row r="128" spans="1:51" x14ac:dyDescent="0.25">
      <c r="A128" s="10"/>
      <c r="B128" s="10"/>
      <c r="C128" s="10"/>
      <c r="D128" s="10"/>
      <c r="E128" s="10"/>
      <c r="F128" s="10"/>
      <c r="G128" s="10"/>
      <c r="H128" s="10"/>
      <c r="I128" s="10"/>
      <c r="J128" s="10"/>
      <c r="K128" s="10"/>
      <c r="L128" s="10"/>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row>
    <row r="129" spans="1:51" x14ac:dyDescent="0.25">
      <c r="A129" s="10"/>
      <c r="B129" s="10"/>
      <c r="C129" s="10"/>
      <c r="D129" s="10"/>
      <c r="E129" s="10"/>
      <c r="F129" s="10"/>
      <c r="G129" s="10"/>
      <c r="H129" s="10"/>
      <c r="I129" s="10"/>
      <c r="J129" s="10"/>
      <c r="K129" s="10"/>
      <c r="L129" s="10"/>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row>
    <row r="130" spans="1:51" ht="99.75" customHeight="1" x14ac:dyDescent="0.25">
      <c r="A130" s="10"/>
      <c r="B130" s="10"/>
      <c r="C130" s="10"/>
      <c r="D130" s="10"/>
      <c r="E130" s="10"/>
      <c r="F130" s="10"/>
      <c r="G130" s="10"/>
      <c r="H130" s="10"/>
      <c r="I130" s="10"/>
      <c r="J130" s="10"/>
      <c r="K130" s="10"/>
      <c r="L130" s="10"/>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row>
    <row r="131" spans="1:51" x14ac:dyDescent="0.25">
      <c r="A131" s="10"/>
      <c r="B131" s="10"/>
      <c r="C131" s="10"/>
      <c r="D131" s="10"/>
      <c r="E131" s="10"/>
      <c r="F131" s="10"/>
      <c r="G131" s="10"/>
      <c r="H131" s="10"/>
      <c r="I131" s="10"/>
      <c r="J131" s="10"/>
      <c r="K131" s="10"/>
      <c r="L131" s="10"/>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row>
    <row r="132" spans="1:51" x14ac:dyDescent="0.25">
      <c r="A132" s="10"/>
      <c r="B132" s="10"/>
      <c r="C132" s="10"/>
      <c r="D132" s="10"/>
      <c r="E132" s="10"/>
      <c r="F132" s="10"/>
      <c r="G132" s="10"/>
      <c r="H132" s="10"/>
      <c r="I132" s="10"/>
      <c r="J132" s="10"/>
      <c r="K132" s="10"/>
      <c r="L132" s="10"/>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row>
    <row r="133" spans="1:51" x14ac:dyDescent="0.25">
      <c r="A133" s="10"/>
      <c r="B133" s="10"/>
      <c r="C133" s="10"/>
      <c r="D133" s="10"/>
      <c r="E133" s="10"/>
      <c r="F133" s="10"/>
      <c r="G133" s="10"/>
      <c r="H133" s="10"/>
      <c r="I133" s="10"/>
      <c r="J133" s="10"/>
      <c r="K133" s="10"/>
      <c r="L133" s="10"/>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row>
    <row r="134" spans="1:51" x14ac:dyDescent="0.25">
      <c r="A134" s="10"/>
      <c r="B134" s="10"/>
      <c r="C134" s="10"/>
      <c r="D134" s="10"/>
      <c r="E134" s="10"/>
      <c r="F134" s="10"/>
      <c r="G134" s="10"/>
      <c r="H134" s="10"/>
      <c r="I134" s="10"/>
      <c r="J134" s="10"/>
      <c r="K134" s="10"/>
      <c r="L134" s="10"/>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row>
    <row r="135" spans="1:51" x14ac:dyDescent="0.25">
      <c r="A135" s="10"/>
      <c r="B135" s="10"/>
      <c r="C135" s="10"/>
      <c r="D135" s="10"/>
      <c r="E135" s="10"/>
      <c r="F135" s="10"/>
      <c r="G135" s="10"/>
      <c r="H135" s="10"/>
      <c r="I135" s="10"/>
      <c r="J135" s="10"/>
      <c r="K135" s="10"/>
      <c r="L135" s="10"/>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row>
    <row r="136" spans="1:51" x14ac:dyDescent="0.25">
      <c r="A136" s="10"/>
      <c r="B136" s="10"/>
      <c r="C136" s="10"/>
      <c r="D136" s="10"/>
      <c r="E136" s="10"/>
      <c r="F136" s="10"/>
      <c r="G136" s="10"/>
      <c r="H136" s="10"/>
      <c r="I136" s="10"/>
      <c r="J136" s="10"/>
      <c r="K136" s="10"/>
      <c r="L136" s="10"/>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row>
    <row r="137" spans="1:51" x14ac:dyDescent="0.25">
      <c r="A137" s="10"/>
      <c r="B137" s="10"/>
      <c r="C137" s="10"/>
      <c r="D137" s="10"/>
      <c r="E137" s="10"/>
      <c r="F137" s="10"/>
      <c r="G137" s="10"/>
      <c r="H137" s="10"/>
      <c r="I137" s="10"/>
      <c r="J137" s="10"/>
      <c r="K137" s="10"/>
      <c r="L137" s="10"/>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row>
    <row r="138" spans="1:51" x14ac:dyDescent="0.25">
      <c r="A138" s="10"/>
      <c r="B138" s="10"/>
      <c r="C138" s="10"/>
      <c r="D138" s="10"/>
      <c r="E138" s="10"/>
      <c r="F138" s="10"/>
      <c r="G138" s="10"/>
      <c r="H138" s="10"/>
      <c r="I138" s="10"/>
      <c r="J138" s="10"/>
      <c r="K138" s="10"/>
      <c r="L138" s="10"/>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row>
    <row r="139" spans="1:51" x14ac:dyDescent="0.25">
      <c r="A139" s="10"/>
      <c r="B139" s="10"/>
      <c r="C139" s="10"/>
      <c r="D139" s="10"/>
      <c r="E139" s="10"/>
      <c r="F139" s="10"/>
      <c r="G139" s="10"/>
      <c r="H139" s="10"/>
      <c r="I139" s="10"/>
      <c r="J139" s="10"/>
      <c r="K139" s="10"/>
      <c r="L139" s="10"/>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row>
    <row r="140" spans="1:51" x14ac:dyDescent="0.25">
      <c r="A140" s="10"/>
      <c r="B140" s="10"/>
      <c r="C140" s="10"/>
      <c r="D140" s="10"/>
      <c r="E140" s="10"/>
      <c r="F140" s="10"/>
      <c r="G140" s="10"/>
      <c r="H140" s="10"/>
      <c r="I140" s="10"/>
      <c r="J140" s="10"/>
      <c r="K140" s="10"/>
      <c r="L140" s="10"/>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row>
    <row r="141" spans="1:51" x14ac:dyDescent="0.25">
      <c r="A141" s="10"/>
      <c r="B141" s="10"/>
      <c r="C141" s="10"/>
      <c r="D141" s="10"/>
      <c r="E141" s="10"/>
      <c r="F141" s="10"/>
      <c r="G141" s="10"/>
      <c r="H141" s="10"/>
      <c r="I141" s="10"/>
      <c r="J141" s="10"/>
      <c r="K141" s="10"/>
      <c r="L141" s="10"/>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row>
    <row r="142" spans="1:51" x14ac:dyDescent="0.25">
      <c r="A142" s="10"/>
      <c r="B142" s="10"/>
      <c r="C142" s="10"/>
      <c r="D142" s="10"/>
      <c r="E142" s="10"/>
      <c r="F142" s="10"/>
      <c r="G142" s="10"/>
      <c r="H142" s="10"/>
      <c r="I142" s="10"/>
      <c r="J142" s="10"/>
      <c r="K142" s="10"/>
      <c r="L142" s="10"/>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row>
    <row r="143" spans="1:51" x14ac:dyDescent="0.25">
      <c r="A143" s="10"/>
      <c r="B143" s="10"/>
      <c r="C143" s="10"/>
      <c r="D143" s="10"/>
      <c r="E143" s="10"/>
      <c r="F143" s="10"/>
      <c r="G143" s="10"/>
      <c r="H143" s="10"/>
      <c r="I143" s="10"/>
      <c r="J143" s="10"/>
      <c r="K143" s="10"/>
      <c r="L143" s="10"/>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row>
    <row r="144" spans="1:51" x14ac:dyDescent="0.25">
      <c r="A144" s="10"/>
      <c r="B144" s="10"/>
      <c r="C144" s="10"/>
      <c r="D144" s="10"/>
      <c r="E144" s="10"/>
      <c r="F144" s="10"/>
      <c r="G144" s="10"/>
      <c r="H144" s="10"/>
      <c r="I144" s="10"/>
      <c r="J144" s="10"/>
      <c r="K144" s="10"/>
      <c r="L144" s="10"/>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row>
    <row r="145" spans="1:51" x14ac:dyDescent="0.25">
      <c r="A145" s="10"/>
      <c r="B145" s="10"/>
      <c r="C145" s="10"/>
      <c r="D145" s="10"/>
      <c r="E145" s="10"/>
      <c r="F145" s="10"/>
      <c r="G145" s="10"/>
      <c r="H145" s="10"/>
      <c r="I145" s="10"/>
      <c r="J145" s="10"/>
      <c r="K145" s="10"/>
      <c r="L145" s="10"/>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row>
    <row r="146" spans="1:51" x14ac:dyDescent="0.25">
      <c r="A146" s="10"/>
      <c r="B146" s="10"/>
      <c r="C146" s="10"/>
      <c r="D146" s="10"/>
      <c r="E146" s="10"/>
      <c r="F146" s="10"/>
      <c r="G146" s="10"/>
      <c r="H146" s="10"/>
      <c r="I146" s="10"/>
      <c r="J146" s="10"/>
      <c r="K146" s="10"/>
      <c r="L146" s="10"/>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row>
    <row r="147" spans="1:51" x14ac:dyDescent="0.25">
      <c r="A147" s="10"/>
      <c r="B147" s="10"/>
      <c r="C147" s="10"/>
      <c r="D147" s="10"/>
      <c r="E147" s="10"/>
      <c r="F147" s="10"/>
      <c r="G147" s="10"/>
      <c r="H147" s="10"/>
      <c r="I147" s="10"/>
      <c r="J147" s="10"/>
      <c r="K147" s="10"/>
      <c r="L147" s="10"/>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row>
    <row r="148" spans="1:51" x14ac:dyDescent="0.25">
      <c r="A148" s="10"/>
      <c r="B148" s="10"/>
      <c r="C148" s="10"/>
      <c r="D148" s="10"/>
      <c r="E148" s="10"/>
      <c r="F148" s="10"/>
      <c r="G148" s="10"/>
      <c r="H148" s="10"/>
      <c r="I148" s="10"/>
      <c r="J148" s="10"/>
      <c r="K148" s="10"/>
      <c r="L148" s="10"/>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row>
    <row r="149" spans="1:51" x14ac:dyDescent="0.25">
      <c r="A149" s="10"/>
      <c r="B149" s="10"/>
      <c r="C149" s="10"/>
      <c r="D149" s="10"/>
      <c r="E149" s="10"/>
      <c r="F149" s="10"/>
      <c r="G149" s="10"/>
      <c r="H149" s="10"/>
      <c r="I149" s="10"/>
      <c r="J149" s="10"/>
      <c r="K149" s="10"/>
      <c r="L149" s="10"/>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row>
    <row r="150" spans="1:51" x14ac:dyDescent="0.25">
      <c r="A150" s="10"/>
      <c r="B150" s="10"/>
      <c r="C150" s="10"/>
      <c r="D150" s="10"/>
      <c r="E150" s="10"/>
      <c r="F150" s="10"/>
      <c r="G150" s="10"/>
      <c r="H150" s="10"/>
      <c r="I150" s="10"/>
      <c r="J150" s="10"/>
      <c r="K150" s="10"/>
      <c r="L150" s="10"/>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row>
    <row r="151" spans="1:51" x14ac:dyDescent="0.25">
      <c r="A151" s="10"/>
      <c r="B151" s="10"/>
      <c r="C151" s="10"/>
      <c r="D151" s="10"/>
      <c r="E151" s="10"/>
      <c r="F151" s="10"/>
      <c r="G151" s="10"/>
      <c r="H151" s="10"/>
      <c r="I151" s="10"/>
      <c r="J151" s="10"/>
      <c r="K151" s="10"/>
      <c r="L151" s="10"/>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row>
    <row r="152" spans="1:51" x14ac:dyDescent="0.25">
      <c r="A152" s="10"/>
      <c r="B152" s="10"/>
      <c r="C152" s="10"/>
      <c r="D152" s="10"/>
      <c r="E152" s="10"/>
      <c r="F152" s="10"/>
      <c r="G152" s="10"/>
      <c r="H152" s="10"/>
      <c r="I152" s="10"/>
      <c r="J152" s="10"/>
      <c r="K152" s="10"/>
      <c r="L152" s="10"/>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row>
    <row r="153" spans="1:51" x14ac:dyDescent="0.25">
      <c r="A153" s="10"/>
      <c r="B153" s="10"/>
      <c r="C153" s="10"/>
      <c r="D153" s="10"/>
      <c r="E153" s="10"/>
      <c r="F153" s="10"/>
      <c r="G153" s="10"/>
      <c r="H153" s="10"/>
      <c r="I153" s="10"/>
      <c r="J153" s="10"/>
      <c r="K153" s="10"/>
      <c r="L153" s="10"/>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row>
    <row r="154" spans="1:51" x14ac:dyDescent="0.25">
      <c r="A154" s="10"/>
      <c r="B154" s="10"/>
      <c r="C154" s="10"/>
      <c r="D154" s="10"/>
      <c r="E154" s="10"/>
      <c r="F154" s="10"/>
      <c r="G154" s="10"/>
      <c r="H154" s="10"/>
      <c r="I154" s="10"/>
      <c r="J154" s="10"/>
      <c r="K154" s="10"/>
      <c r="L154" s="10"/>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row>
    <row r="155" spans="1:51" x14ac:dyDescent="0.25">
      <c r="A155" s="10"/>
      <c r="B155" s="10"/>
      <c r="C155" s="10"/>
      <c r="D155" s="10"/>
      <c r="E155" s="10"/>
      <c r="F155" s="10"/>
      <c r="G155" s="10"/>
      <c r="H155" s="10"/>
      <c r="I155" s="10"/>
      <c r="J155" s="10"/>
      <c r="K155" s="10"/>
      <c r="L155" s="10"/>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row>
    <row r="156" spans="1:51" x14ac:dyDescent="0.25">
      <c r="A156" s="10"/>
      <c r="B156" s="10"/>
      <c r="C156" s="10"/>
      <c r="D156" s="10"/>
      <c r="E156" s="10"/>
      <c r="F156" s="10"/>
      <c r="G156" s="10"/>
      <c r="H156" s="10"/>
      <c r="I156" s="10"/>
      <c r="J156" s="10"/>
      <c r="K156" s="10"/>
      <c r="L156" s="10"/>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row>
    <row r="157" spans="1:51" x14ac:dyDescent="0.25">
      <c r="A157" s="10"/>
      <c r="B157" s="10"/>
      <c r="C157" s="10"/>
      <c r="D157" s="10"/>
      <c r="E157" s="10"/>
      <c r="F157" s="10"/>
      <c r="G157" s="10"/>
      <c r="H157" s="10"/>
      <c r="I157" s="10"/>
      <c r="J157" s="10"/>
      <c r="K157" s="10"/>
      <c r="L157" s="10"/>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row>
    <row r="158" spans="1:51" x14ac:dyDescent="0.25">
      <c r="A158" s="10"/>
      <c r="B158" s="10"/>
      <c r="C158" s="10"/>
      <c r="D158" s="10"/>
      <c r="E158" s="10"/>
      <c r="F158" s="10"/>
      <c r="G158" s="10"/>
      <c r="H158" s="10"/>
      <c r="I158" s="10"/>
      <c r="J158" s="10"/>
      <c r="K158" s="10"/>
      <c r="L158" s="10"/>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row>
    <row r="159" spans="1:51" x14ac:dyDescent="0.25">
      <c r="A159" s="10"/>
      <c r="B159" s="10"/>
      <c r="C159" s="10"/>
      <c r="D159" s="10"/>
      <c r="E159" s="10"/>
      <c r="F159" s="10"/>
      <c r="G159" s="10"/>
      <c r="H159" s="10"/>
      <c r="I159" s="10"/>
      <c r="J159" s="10"/>
      <c r="K159" s="10"/>
      <c r="L159" s="10"/>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row>
    <row r="160" spans="1:51" x14ac:dyDescent="0.25">
      <c r="A160" s="10"/>
      <c r="B160" s="10"/>
      <c r="C160" s="10"/>
      <c r="D160" s="10"/>
      <c r="E160" s="10"/>
      <c r="F160" s="10"/>
      <c r="G160" s="10"/>
      <c r="H160" s="10"/>
      <c r="I160" s="10"/>
      <c r="J160" s="10"/>
      <c r="K160" s="10"/>
      <c r="L160" s="10"/>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row>
    <row r="161" spans="1:51" x14ac:dyDescent="0.25">
      <c r="A161" s="10"/>
      <c r="B161" s="10"/>
      <c r="C161" s="10"/>
      <c r="D161" s="10"/>
      <c r="E161" s="10"/>
      <c r="F161" s="10"/>
      <c r="G161" s="10"/>
      <c r="H161" s="10"/>
      <c r="I161" s="10"/>
      <c r="J161" s="10"/>
      <c r="K161" s="10"/>
      <c r="L161" s="10"/>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row>
    <row r="162" spans="1:51" x14ac:dyDescent="0.25">
      <c r="A162" s="10"/>
      <c r="B162" s="10"/>
      <c r="C162" s="10"/>
      <c r="D162" s="10"/>
      <c r="E162" s="10"/>
      <c r="F162" s="10"/>
      <c r="G162" s="10"/>
      <c r="H162" s="10"/>
      <c r="I162" s="10"/>
      <c r="J162" s="10"/>
      <c r="K162" s="10"/>
      <c r="L162" s="10"/>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row>
    <row r="163" spans="1:51" x14ac:dyDescent="0.25">
      <c r="A163" s="10"/>
      <c r="B163" s="10"/>
      <c r="C163" s="10"/>
      <c r="D163" s="10"/>
      <c r="E163" s="10"/>
      <c r="F163" s="10"/>
      <c r="G163" s="10"/>
      <c r="H163" s="10"/>
      <c r="I163" s="10"/>
      <c r="J163" s="10"/>
      <c r="K163" s="10"/>
      <c r="L163" s="10"/>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row>
    <row r="164" spans="1:51" x14ac:dyDescent="0.25">
      <c r="A164" s="10"/>
      <c r="B164" s="10"/>
      <c r="C164" s="10"/>
      <c r="D164" s="10"/>
      <c r="E164" s="10"/>
      <c r="F164" s="10"/>
      <c r="G164" s="10"/>
      <c r="H164" s="10"/>
      <c r="I164" s="10"/>
      <c r="J164" s="10"/>
      <c r="K164" s="10"/>
      <c r="L164" s="10"/>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row>
    <row r="165" spans="1:51" x14ac:dyDescent="0.25">
      <c r="A165" s="10"/>
      <c r="B165" s="10"/>
      <c r="C165" s="10"/>
      <c r="D165" s="10"/>
      <c r="E165" s="10"/>
      <c r="F165" s="10"/>
      <c r="G165" s="10"/>
      <c r="H165" s="10"/>
      <c r="I165" s="10"/>
      <c r="J165" s="10"/>
      <c r="K165" s="10"/>
      <c r="L165" s="10"/>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row>
    <row r="166" spans="1:51" x14ac:dyDescent="0.25">
      <c r="A166" s="10"/>
      <c r="B166" s="10"/>
      <c r="C166" s="10"/>
      <c r="D166" s="10"/>
      <c r="E166" s="10"/>
      <c r="F166" s="10"/>
      <c r="G166" s="10"/>
      <c r="H166" s="10"/>
      <c r="I166" s="10"/>
      <c r="J166" s="10"/>
      <c r="K166" s="10"/>
      <c r="L166" s="10"/>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row>
    <row r="167" spans="1:51" x14ac:dyDescent="0.25">
      <c r="A167" s="10"/>
      <c r="B167" s="10"/>
      <c r="C167" s="10"/>
      <c r="D167" s="10"/>
      <c r="E167" s="10"/>
      <c r="F167" s="10"/>
      <c r="G167" s="10"/>
      <c r="H167" s="10"/>
      <c r="I167" s="10"/>
      <c r="J167" s="10"/>
      <c r="K167" s="10"/>
      <c r="L167" s="10"/>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row>
    <row r="168" spans="1:51" x14ac:dyDescent="0.25">
      <c r="A168" s="10"/>
      <c r="B168" s="10"/>
      <c r="C168" s="10"/>
      <c r="D168" s="10"/>
      <c r="E168" s="10"/>
      <c r="F168" s="10"/>
      <c r="G168" s="10"/>
      <c r="H168" s="10"/>
      <c r="I168" s="10"/>
      <c r="J168" s="10"/>
      <c r="K168" s="10"/>
      <c r="L168" s="10"/>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row>
    <row r="169" spans="1:51" x14ac:dyDescent="0.25">
      <c r="A169" s="10"/>
      <c r="B169" s="10"/>
      <c r="C169" s="10"/>
      <c r="D169" s="10"/>
      <c r="E169" s="10"/>
      <c r="F169" s="10"/>
      <c r="G169" s="10"/>
      <c r="H169" s="10"/>
      <c r="I169" s="10"/>
      <c r="J169" s="10"/>
      <c r="K169" s="10"/>
      <c r="L169" s="10"/>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row>
    <row r="170" spans="1:51" x14ac:dyDescent="0.25">
      <c r="A170" s="10"/>
      <c r="B170" s="10"/>
      <c r="C170" s="10"/>
      <c r="D170" s="10"/>
      <c r="E170" s="10"/>
      <c r="F170" s="10"/>
      <c r="G170" s="10"/>
      <c r="H170" s="10"/>
      <c r="I170" s="10"/>
      <c r="J170" s="10"/>
      <c r="K170" s="10"/>
      <c r="L170" s="10"/>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row>
    <row r="171" spans="1:51" x14ac:dyDescent="0.25">
      <c r="A171" s="10"/>
      <c r="B171" s="10"/>
      <c r="C171" s="10"/>
      <c r="D171" s="10"/>
      <c r="E171" s="10"/>
      <c r="F171" s="10"/>
      <c r="G171" s="10"/>
      <c r="H171" s="10"/>
      <c r="I171" s="10"/>
      <c r="J171" s="10"/>
      <c r="K171" s="10"/>
      <c r="L171" s="10"/>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row>
    <row r="172" spans="1:51" x14ac:dyDescent="0.25">
      <c r="A172" s="10"/>
      <c r="B172" s="10"/>
      <c r="C172" s="10"/>
      <c r="D172" s="10"/>
      <c r="E172" s="10"/>
      <c r="F172" s="10"/>
      <c r="G172" s="10"/>
      <c r="H172" s="10"/>
      <c r="I172" s="10"/>
      <c r="J172" s="10"/>
      <c r="K172" s="10"/>
      <c r="L172" s="10"/>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row>
    <row r="173" spans="1:51" x14ac:dyDescent="0.25">
      <c r="A173" s="10"/>
      <c r="B173" s="10"/>
      <c r="C173" s="10"/>
      <c r="D173" s="10"/>
      <c r="E173" s="10"/>
      <c r="F173" s="10"/>
      <c r="G173" s="10"/>
      <c r="H173" s="10"/>
      <c r="I173" s="10"/>
      <c r="J173" s="10"/>
      <c r="K173" s="10"/>
      <c r="L173" s="10"/>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row>
    <row r="174" spans="1:51" x14ac:dyDescent="0.25">
      <c r="A174" s="10"/>
      <c r="B174" s="10"/>
      <c r="C174" s="10"/>
      <c r="D174" s="10"/>
      <c r="E174" s="10"/>
      <c r="F174" s="10"/>
      <c r="G174" s="10"/>
      <c r="H174" s="10"/>
      <c r="I174" s="10"/>
      <c r="J174" s="10"/>
      <c r="K174" s="10"/>
      <c r="L174" s="10"/>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row>
    <row r="175" spans="1:51" x14ac:dyDescent="0.25">
      <c r="A175" s="10"/>
      <c r="B175" s="10"/>
      <c r="C175" s="10"/>
      <c r="D175" s="10"/>
      <c r="E175" s="10"/>
      <c r="F175" s="10"/>
      <c r="G175" s="10"/>
      <c r="H175" s="10"/>
      <c r="I175" s="10"/>
      <c r="J175" s="10"/>
      <c r="K175" s="10"/>
      <c r="L175" s="10"/>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row>
    <row r="176" spans="1:51" x14ac:dyDescent="0.25">
      <c r="A176" s="10"/>
      <c r="B176" s="10"/>
      <c r="C176" s="10"/>
      <c r="D176" s="10"/>
      <c r="E176" s="10"/>
      <c r="F176" s="10"/>
      <c r="G176" s="10"/>
      <c r="H176" s="10"/>
      <c r="I176" s="10"/>
      <c r="J176" s="10"/>
      <c r="K176" s="10"/>
      <c r="L176" s="10"/>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row>
    <row r="177" spans="1:51" x14ac:dyDescent="0.25">
      <c r="A177" s="10"/>
      <c r="B177" s="10"/>
      <c r="C177" s="10"/>
      <c r="D177" s="10"/>
      <c r="E177" s="10"/>
      <c r="F177" s="10"/>
      <c r="G177" s="10"/>
      <c r="H177" s="10"/>
      <c r="I177" s="10"/>
      <c r="J177" s="10"/>
      <c r="K177" s="10"/>
      <c r="L177" s="10"/>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row>
    <row r="178" spans="1:51" x14ac:dyDescent="0.25">
      <c r="A178" s="10"/>
      <c r="B178" s="10"/>
      <c r="C178" s="10"/>
      <c r="D178" s="10"/>
      <c r="E178" s="10"/>
      <c r="F178" s="10"/>
      <c r="G178" s="10"/>
      <c r="H178" s="10"/>
      <c r="I178" s="10"/>
      <c r="J178" s="10"/>
      <c r="K178" s="10"/>
      <c r="L178" s="10"/>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row>
    <row r="179" spans="1:51" x14ac:dyDescent="0.25">
      <c r="A179" s="10"/>
      <c r="B179" s="10"/>
      <c r="C179" s="10"/>
      <c r="D179" s="10"/>
      <c r="E179" s="10"/>
      <c r="F179" s="10"/>
      <c r="G179" s="10"/>
      <c r="H179" s="10"/>
      <c r="I179" s="10"/>
      <c r="J179" s="10"/>
      <c r="K179" s="10"/>
      <c r="L179" s="10"/>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row>
    <row r="180" spans="1:51" x14ac:dyDescent="0.25">
      <c r="A180" s="10"/>
      <c r="B180" s="10"/>
      <c r="C180" s="10"/>
      <c r="D180" s="10"/>
      <c r="E180" s="10"/>
      <c r="F180" s="10"/>
      <c r="G180" s="10"/>
      <c r="H180" s="10"/>
      <c r="I180" s="10"/>
      <c r="J180" s="10"/>
      <c r="K180" s="10"/>
      <c r="L180" s="10"/>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row>
    <row r="181" spans="1:51" x14ac:dyDescent="0.25">
      <c r="A181" s="10"/>
      <c r="B181" s="10"/>
      <c r="C181" s="10"/>
      <c r="D181" s="10"/>
      <c r="E181" s="10"/>
      <c r="F181" s="10"/>
      <c r="G181" s="10"/>
      <c r="H181" s="10"/>
      <c r="I181" s="10"/>
      <c r="J181" s="10"/>
      <c r="K181" s="10"/>
      <c r="L181" s="10"/>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row>
    <row r="182" spans="1:51" x14ac:dyDescent="0.25">
      <c r="A182" s="10"/>
      <c r="B182" s="10"/>
      <c r="C182" s="10"/>
      <c r="D182" s="10"/>
      <c r="E182" s="10"/>
      <c r="F182" s="10"/>
      <c r="G182" s="10"/>
      <c r="H182" s="10"/>
      <c r="I182" s="10"/>
      <c r="J182" s="10"/>
      <c r="K182" s="10"/>
      <c r="L182" s="10"/>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row>
    <row r="183" spans="1:51" x14ac:dyDescent="0.25">
      <c r="A183" s="10"/>
      <c r="B183" s="10"/>
      <c r="C183" s="10"/>
      <c r="D183" s="10"/>
      <c r="E183" s="10"/>
      <c r="F183" s="10"/>
      <c r="G183" s="10"/>
      <c r="H183" s="10"/>
      <c r="I183" s="10"/>
      <c r="J183" s="10"/>
      <c r="K183" s="10"/>
      <c r="L183" s="10"/>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row>
    <row r="184" spans="1:51" x14ac:dyDescent="0.25">
      <c r="A184" s="10"/>
      <c r="B184" s="10"/>
      <c r="C184" s="10"/>
      <c r="D184" s="10"/>
      <c r="E184" s="10"/>
      <c r="F184" s="10"/>
      <c r="G184" s="10"/>
      <c r="H184" s="10"/>
      <c r="I184" s="10"/>
      <c r="J184" s="10"/>
      <c r="K184" s="10"/>
      <c r="L184" s="10"/>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row>
    <row r="185" spans="1:51" x14ac:dyDescent="0.25">
      <c r="A185" s="10"/>
      <c r="B185" s="10"/>
      <c r="C185" s="10"/>
      <c r="D185" s="10"/>
      <c r="E185" s="10"/>
      <c r="F185" s="10"/>
      <c r="G185" s="10"/>
      <c r="H185" s="10"/>
      <c r="I185" s="10"/>
      <c r="J185" s="10"/>
      <c r="K185" s="10"/>
      <c r="L185" s="10"/>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row>
    <row r="186" spans="1:51" x14ac:dyDescent="0.25">
      <c r="A186" s="10"/>
      <c r="B186" s="10"/>
      <c r="C186" s="10"/>
      <c r="D186" s="10"/>
      <c r="E186" s="10"/>
      <c r="F186" s="10"/>
      <c r="G186" s="10"/>
      <c r="H186" s="10"/>
      <c r="I186" s="10"/>
      <c r="J186" s="10"/>
      <c r="K186" s="10"/>
      <c r="L186" s="10"/>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row>
    <row r="187" spans="1:51" x14ac:dyDescent="0.25">
      <c r="A187" s="10"/>
      <c r="B187" s="10"/>
      <c r="C187" s="10"/>
      <c r="D187" s="10"/>
      <c r="E187" s="10"/>
      <c r="F187" s="10"/>
      <c r="G187" s="10"/>
      <c r="H187" s="10"/>
      <c r="I187" s="10"/>
      <c r="J187" s="10"/>
      <c r="K187" s="10"/>
      <c r="L187" s="10"/>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row>
    <row r="188" spans="1:51" x14ac:dyDescent="0.25">
      <c r="A188" s="10"/>
      <c r="B188" s="10"/>
      <c r="C188" s="10"/>
      <c r="D188" s="10"/>
      <c r="E188" s="10"/>
      <c r="F188" s="10"/>
      <c r="G188" s="10"/>
      <c r="H188" s="10"/>
      <c r="I188" s="10"/>
      <c r="J188" s="10"/>
      <c r="K188" s="10"/>
      <c r="L188" s="10"/>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row>
    <row r="189" spans="1:51" x14ac:dyDescent="0.25">
      <c r="A189" s="10"/>
      <c r="B189" s="10"/>
      <c r="C189" s="10"/>
      <c r="D189" s="10"/>
      <c r="E189" s="10"/>
      <c r="F189" s="10"/>
      <c r="G189" s="10"/>
      <c r="H189" s="10"/>
      <c r="I189" s="10"/>
      <c r="J189" s="10"/>
      <c r="K189" s="10"/>
      <c r="L189" s="10"/>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row>
    <row r="190" spans="1:51" x14ac:dyDescent="0.25">
      <c r="A190" s="10"/>
      <c r="B190" s="10"/>
      <c r="C190" s="10"/>
      <c r="D190" s="10"/>
      <c r="E190" s="10"/>
      <c r="F190" s="10"/>
      <c r="G190" s="10"/>
      <c r="H190" s="10"/>
      <c r="I190" s="10"/>
      <c r="J190" s="10"/>
      <c r="K190" s="10"/>
      <c r="L190" s="10"/>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row>
    <row r="191" spans="1:51" x14ac:dyDescent="0.25">
      <c r="A191" s="1"/>
      <c r="B191" s="1"/>
      <c r="C191" s="1"/>
      <c r="D191" s="1"/>
      <c r="E191" s="1"/>
      <c r="F191" s="1"/>
      <c r="G191" s="1"/>
      <c r="H191" s="1"/>
      <c r="I191" s="1"/>
      <c r="J191" s="1"/>
      <c r="K191" s="1"/>
      <c r="L191" s="1"/>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row>
    <row r="192" spans="1:51" x14ac:dyDescent="0.25">
      <c r="A192" s="1"/>
      <c r="B192" s="1"/>
      <c r="C192" s="1"/>
      <c r="D192" s="1"/>
      <c r="E192" s="1"/>
      <c r="F192" s="1"/>
      <c r="G192" s="1"/>
      <c r="H192" s="1"/>
      <c r="I192" s="1"/>
      <c r="J192" s="1"/>
      <c r="K192" s="1"/>
      <c r="L192" s="1"/>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row>
    <row r="193" spans="1:51" x14ac:dyDescent="0.25">
      <c r="A193" s="1"/>
      <c r="B193" s="1"/>
      <c r="C193" s="1"/>
      <c r="D193" s="1"/>
      <c r="E193" s="1"/>
      <c r="F193" s="1"/>
      <c r="G193" s="1"/>
      <c r="H193" s="1"/>
      <c r="I193" s="1"/>
      <c r="J193" s="1"/>
      <c r="K193" s="1"/>
      <c r="L193" s="1"/>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row>
    <row r="194" spans="1:51" x14ac:dyDescent="0.25">
      <c r="A194" s="1"/>
      <c r="B194" s="1"/>
      <c r="C194" s="1"/>
      <c r="D194" s="1"/>
      <c r="E194" s="1"/>
      <c r="F194" s="1"/>
      <c r="G194" s="1"/>
      <c r="H194" s="1"/>
      <c r="I194" s="1"/>
      <c r="J194" s="1"/>
      <c r="K194" s="1"/>
      <c r="L194" s="1"/>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row>
    <row r="195" spans="1:51" x14ac:dyDescent="0.25">
      <c r="A195" s="1"/>
      <c r="B195" s="1"/>
      <c r="C195" s="1"/>
      <c r="D195" s="1"/>
      <c r="E195" s="1"/>
      <c r="F195" s="1"/>
      <c r="G195" s="1"/>
      <c r="H195" s="1"/>
      <c r="I195" s="1"/>
      <c r="J195" s="1"/>
      <c r="K195" s="1"/>
      <c r="L195" s="1"/>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row>
    <row r="196" spans="1:51" x14ac:dyDescent="0.25">
      <c r="A196" s="1"/>
      <c r="B196" s="1"/>
      <c r="C196" s="1"/>
      <c r="D196" s="1"/>
      <c r="E196" s="1"/>
      <c r="F196" s="1"/>
      <c r="G196" s="1"/>
      <c r="H196" s="1"/>
      <c r="I196" s="1"/>
      <c r="J196" s="1"/>
      <c r="K196" s="1"/>
      <c r="L196" s="1"/>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row>
    <row r="197" spans="1:51" x14ac:dyDescent="0.25">
      <c r="A197" s="1"/>
      <c r="B197" s="1"/>
      <c r="C197" s="1"/>
      <c r="D197" s="1"/>
      <c r="E197" s="1"/>
      <c r="F197" s="1"/>
      <c r="G197" s="1"/>
      <c r="H197" s="1"/>
      <c r="I197" s="1"/>
      <c r="J197" s="1"/>
      <c r="K197" s="1"/>
      <c r="L197" s="1"/>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row>
    <row r="198" spans="1:51" x14ac:dyDescent="0.25">
      <c r="A198" s="1"/>
      <c r="B198" s="1"/>
      <c r="C198" s="1"/>
      <c r="D198" s="1"/>
      <c r="E198" s="1"/>
      <c r="F198" s="1"/>
      <c r="G198" s="1"/>
      <c r="H198" s="1"/>
      <c r="I198" s="1"/>
      <c r="J198" s="1"/>
      <c r="K198" s="1"/>
      <c r="L198" s="1"/>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row>
    <row r="199" spans="1:51" x14ac:dyDescent="0.25">
      <c r="A199" s="1"/>
      <c r="B199" s="1"/>
      <c r="C199" s="1"/>
      <c r="D199" s="1"/>
      <c r="E199" s="1"/>
      <c r="F199" s="1"/>
      <c r="G199" s="1"/>
      <c r="H199" s="1"/>
      <c r="I199" s="1"/>
      <c r="J199" s="1"/>
      <c r="K199" s="1"/>
      <c r="L199" s="1"/>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row>
    <row r="200" spans="1:51" x14ac:dyDescent="0.25">
      <c r="A200" s="1"/>
      <c r="B200" s="1"/>
      <c r="C200" s="1"/>
      <c r="D200" s="1"/>
      <c r="E200" s="1"/>
      <c r="F200" s="1"/>
      <c r="G200" s="1"/>
      <c r="H200" s="1"/>
      <c r="I200" s="1"/>
      <c r="J200" s="1"/>
      <c r="K200" s="1"/>
      <c r="L200" s="1"/>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row>
    <row r="201" spans="1:51" x14ac:dyDescent="0.25">
      <c r="A201" s="1"/>
      <c r="B201" s="1"/>
      <c r="C201" s="1"/>
      <c r="D201" s="1"/>
      <c r="E201" s="1"/>
      <c r="F201" s="1"/>
      <c r="G201" s="1"/>
      <c r="H201" s="1"/>
      <c r="I201" s="1"/>
      <c r="J201" s="1"/>
      <c r="K201" s="1"/>
      <c r="L201" s="1"/>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row>
    <row r="202" spans="1:51" x14ac:dyDescent="0.25">
      <c r="A202" s="1"/>
      <c r="B202" s="1"/>
      <c r="C202" s="1"/>
      <c r="D202" s="1"/>
      <c r="E202" s="1"/>
      <c r="F202" s="1"/>
      <c r="G202" s="1"/>
      <c r="H202" s="1"/>
      <c r="I202" s="1"/>
      <c r="J202" s="1"/>
      <c r="K202" s="1"/>
      <c r="L202" s="1"/>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row>
    <row r="203" spans="1:51" x14ac:dyDescent="0.25">
      <c r="A203" s="1"/>
      <c r="B203" s="1"/>
      <c r="C203" s="1"/>
      <c r="D203" s="1"/>
      <c r="E203" s="1"/>
      <c r="F203" s="1"/>
      <c r="G203" s="1"/>
      <c r="H203" s="1"/>
      <c r="I203" s="1"/>
      <c r="J203" s="1"/>
      <c r="K203" s="1"/>
      <c r="L203" s="1"/>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row>
    <row r="204" spans="1:51" x14ac:dyDescent="0.25">
      <c r="A204" s="1"/>
      <c r="B204" s="1"/>
      <c r="C204" s="1"/>
      <c r="D204" s="1"/>
      <c r="E204" s="1"/>
      <c r="F204" s="1"/>
      <c r="G204" s="1"/>
      <c r="H204" s="1"/>
      <c r="I204" s="1"/>
      <c r="J204" s="1"/>
      <c r="K204" s="1"/>
      <c r="L204" s="1"/>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row>
    <row r="205" spans="1:51" x14ac:dyDescent="0.25">
      <c r="A205" s="1"/>
      <c r="B205" s="1"/>
      <c r="C205" s="1"/>
      <c r="D205" s="1"/>
      <c r="E205" s="1"/>
      <c r="F205" s="1"/>
      <c r="G205" s="1"/>
      <c r="H205" s="1"/>
      <c r="I205" s="1"/>
      <c r="J205" s="1"/>
      <c r="K205" s="1"/>
      <c r="L205" s="1"/>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row>
    <row r="206" spans="1:51" x14ac:dyDescent="0.25">
      <c r="A206" s="1"/>
      <c r="B206" s="1"/>
      <c r="C206" s="1"/>
      <c r="D206" s="1"/>
      <c r="E206" s="1"/>
      <c r="F206" s="1"/>
      <c r="G206" s="1"/>
      <c r="H206" s="1"/>
      <c r="I206" s="1"/>
      <c r="J206" s="1"/>
      <c r="K206" s="1"/>
      <c r="L206" s="1"/>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row>
    <row r="207" spans="1:51" x14ac:dyDescent="0.25">
      <c r="A207" s="1"/>
      <c r="B207" s="1"/>
      <c r="C207" s="1"/>
      <c r="D207" s="1"/>
      <c r="E207" s="1"/>
      <c r="F207" s="1"/>
      <c r="G207" s="1"/>
      <c r="H207" s="1"/>
      <c r="I207" s="1"/>
      <c r="J207" s="1"/>
      <c r="K207" s="1"/>
      <c r="L207" s="1"/>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row>
    <row r="208" spans="1:51" x14ac:dyDescent="0.25">
      <c r="A208" s="1"/>
      <c r="B208" s="1"/>
      <c r="C208" s="1"/>
      <c r="D208" s="1"/>
      <c r="E208" s="1"/>
      <c r="F208" s="1"/>
      <c r="G208" s="1"/>
      <c r="H208" s="1"/>
      <c r="I208" s="1"/>
      <c r="J208" s="1"/>
      <c r="K208" s="1"/>
      <c r="L208" s="1"/>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row>
    <row r="209" spans="1:51" x14ac:dyDescent="0.25">
      <c r="A209" s="1"/>
      <c r="B209" s="1"/>
      <c r="C209" s="1"/>
      <c r="D209" s="1"/>
      <c r="E209" s="1"/>
      <c r="F209" s="1"/>
      <c r="G209" s="1"/>
      <c r="H209" s="1"/>
      <c r="I209" s="1"/>
      <c r="J209" s="1"/>
      <c r="K209" s="1"/>
      <c r="L209" s="1"/>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row>
    <row r="210" spans="1:51" x14ac:dyDescent="0.25">
      <c r="A210" s="1"/>
      <c r="B210" s="1"/>
      <c r="C210" s="1"/>
      <c r="D210" s="1"/>
      <c r="E210" s="1"/>
      <c r="F210" s="1"/>
      <c r="G210" s="1"/>
      <c r="H210" s="1"/>
      <c r="I210" s="1"/>
      <c r="J210" s="1"/>
      <c r="K210" s="1"/>
      <c r="L210" s="1"/>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row>
    <row r="211" spans="1:51" x14ac:dyDescent="0.25">
      <c r="A211" s="1"/>
      <c r="B211" s="1"/>
      <c r="C211" s="1"/>
      <c r="D211" s="1"/>
      <c r="E211" s="1"/>
      <c r="F211" s="1"/>
      <c r="G211" s="1"/>
      <c r="H211" s="1"/>
      <c r="I211" s="1"/>
      <c r="J211" s="1"/>
      <c r="K211" s="1"/>
      <c r="L211" s="1"/>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row>
    <row r="212" spans="1:51" x14ac:dyDescent="0.25">
      <c r="A212" s="1"/>
      <c r="B212" s="1"/>
      <c r="C212" s="1"/>
      <c r="D212" s="1"/>
      <c r="E212" s="1"/>
      <c r="F212" s="1"/>
      <c r="G212" s="1"/>
      <c r="H212" s="1"/>
      <c r="I212" s="1"/>
      <c r="J212" s="1"/>
      <c r="K212" s="1"/>
      <c r="L212" s="1"/>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row>
    <row r="213" spans="1:51" x14ac:dyDescent="0.25">
      <c r="A213" s="1"/>
      <c r="B213" s="1"/>
      <c r="C213" s="1"/>
      <c r="D213" s="1"/>
      <c r="E213" s="1"/>
      <c r="F213" s="1"/>
      <c r="G213" s="1"/>
      <c r="H213" s="1"/>
      <c r="I213" s="1"/>
      <c r="J213" s="1"/>
      <c r="K213" s="1"/>
      <c r="L213" s="1"/>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row>
    <row r="214" spans="1:51" x14ac:dyDescent="0.25">
      <c r="A214" s="1"/>
      <c r="B214" s="1"/>
      <c r="C214" s="1"/>
      <c r="D214" s="1"/>
      <c r="E214" s="1"/>
      <c r="F214" s="1"/>
      <c r="G214" s="1"/>
      <c r="H214" s="1"/>
      <c r="I214" s="1"/>
      <c r="J214" s="1"/>
      <c r="K214" s="1"/>
      <c r="L214" s="1"/>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row>
    <row r="215" spans="1:51" x14ac:dyDescent="0.25">
      <c r="A215" s="1"/>
      <c r="B215" s="1"/>
      <c r="C215" s="1"/>
      <c r="D215" s="1"/>
      <c r="E215" s="1"/>
      <c r="F215" s="1"/>
      <c r="G215" s="1"/>
      <c r="H215" s="1"/>
      <c r="I215" s="1"/>
      <c r="J215" s="1"/>
      <c r="K215" s="1"/>
      <c r="L215" s="1"/>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row>
    <row r="216" spans="1:51" x14ac:dyDescent="0.25">
      <c r="A216" s="1"/>
      <c r="B216" s="1"/>
      <c r="C216" s="1"/>
      <c r="D216" s="1"/>
      <c r="E216" s="1"/>
      <c r="F216" s="1"/>
      <c r="G216" s="1"/>
      <c r="H216" s="1"/>
      <c r="I216" s="1"/>
      <c r="J216" s="1"/>
      <c r="K216" s="1"/>
      <c r="L216" s="1"/>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row>
    <row r="217" spans="1:51" x14ac:dyDescent="0.25">
      <c r="A217" s="1"/>
      <c r="B217" s="1"/>
      <c r="C217" s="1"/>
      <c r="D217" s="1"/>
      <c r="E217" s="1"/>
      <c r="F217" s="1"/>
      <c r="G217" s="1"/>
      <c r="H217" s="1"/>
      <c r="I217" s="1"/>
      <c r="J217" s="1"/>
      <c r="K217" s="1"/>
      <c r="L217" s="1"/>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row>
    <row r="218" spans="1:51" x14ac:dyDescent="0.25">
      <c r="A218" s="1"/>
      <c r="B218" s="1"/>
      <c r="C218" s="1"/>
      <c r="D218" s="1"/>
      <c r="E218" s="1"/>
      <c r="F218" s="1"/>
      <c r="G218" s="1"/>
      <c r="H218" s="1"/>
      <c r="I218" s="1"/>
      <c r="J218" s="1"/>
      <c r="K218" s="1"/>
      <c r="L218" s="1"/>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row>
    <row r="219" spans="1:51" x14ac:dyDescent="0.25">
      <c r="A219" s="1"/>
      <c r="B219" s="1"/>
      <c r="C219" s="1"/>
      <c r="D219" s="1"/>
      <c r="E219" s="1"/>
      <c r="F219" s="1"/>
      <c r="G219" s="1"/>
      <c r="H219" s="1"/>
      <c r="I219" s="1"/>
      <c r="J219" s="1"/>
      <c r="K219" s="1"/>
      <c r="L219" s="1"/>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row>
    <row r="220" spans="1:51" x14ac:dyDescent="0.25">
      <c r="A220" s="1"/>
      <c r="B220" s="1"/>
      <c r="C220" s="1"/>
      <c r="D220" s="1"/>
      <c r="E220" s="1"/>
      <c r="F220" s="1"/>
      <c r="G220" s="1"/>
      <c r="H220" s="1"/>
      <c r="I220" s="1"/>
      <c r="J220" s="1"/>
      <c r="K220" s="1"/>
      <c r="L220" s="1"/>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row>
    <row r="221" spans="1:51" x14ac:dyDescent="0.25">
      <c r="A221" s="1"/>
      <c r="B221" s="1"/>
      <c r="C221" s="1"/>
      <c r="D221" s="1"/>
      <c r="E221" s="1"/>
      <c r="F221" s="1"/>
      <c r="G221" s="1"/>
      <c r="H221" s="1"/>
      <c r="I221" s="1"/>
      <c r="J221" s="1"/>
      <c r="K221" s="1"/>
      <c r="L221" s="1"/>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row>
    <row r="222" spans="1:51" x14ac:dyDescent="0.25">
      <c r="A222" s="1"/>
      <c r="B222" s="1"/>
      <c r="C222" s="1"/>
      <c r="D222" s="1"/>
      <c r="E222" s="1"/>
      <c r="F222" s="1"/>
      <c r="G222" s="1"/>
      <c r="H222" s="1"/>
      <c r="I222" s="1"/>
      <c r="J222" s="1"/>
      <c r="K222" s="1"/>
      <c r="L222" s="1"/>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row>
    <row r="223" spans="1:51" x14ac:dyDescent="0.25">
      <c r="A223" s="1"/>
      <c r="B223" s="1"/>
      <c r="C223" s="1"/>
      <c r="D223" s="1"/>
      <c r="E223" s="1"/>
      <c r="F223" s="1"/>
      <c r="G223" s="1"/>
      <c r="H223" s="1"/>
      <c r="I223" s="1"/>
      <c r="J223" s="1"/>
      <c r="K223" s="1"/>
      <c r="L223" s="1"/>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row>
    <row r="224" spans="1:51" x14ac:dyDescent="0.25">
      <c r="A224" s="1"/>
      <c r="B224" s="1"/>
      <c r="C224" s="1"/>
      <c r="D224" s="1"/>
      <c r="E224" s="1"/>
      <c r="F224" s="1"/>
      <c r="G224" s="1"/>
      <c r="H224" s="1"/>
      <c r="I224" s="1"/>
      <c r="J224" s="1"/>
      <c r="K224" s="1"/>
      <c r="L224" s="1"/>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row>
    <row r="225" spans="1:51" x14ac:dyDescent="0.25">
      <c r="A225" s="1"/>
      <c r="B225" s="1"/>
      <c r="C225" s="1"/>
      <c r="D225" s="1"/>
      <c r="E225" s="1"/>
      <c r="F225" s="1"/>
      <c r="G225" s="1"/>
      <c r="H225" s="1"/>
      <c r="I225" s="1"/>
      <c r="J225" s="1"/>
      <c r="K225" s="1"/>
      <c r="L225" s="1"/>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row>
    <row r="226" spans="1:51" x14ac:dyDescent="0.25">
      <c r="A226" s="1"/>
      <c r="B226" s="1"/>
      <c r="C226" s="1"/>
      <c r="D226" s="1"/>
      <c r="E226" s="1"/>
      <c r="F226" s="1"/>
      <c r="G226" s="1"/>
      <c r="H226" s="1"/>
      <c r="I226" s="1"/>
      <c r="J226" s="1"/>
      <c r="K226" s="1"/>
      <c r="L226" s="1"/>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row>
    <row r="227" spans="1:51" x14ac:dyDescent="0.25">
      <c r="A227" s="1"/>
      <c r="B227" s="1"/>
      <c r="C227" s="1"/>
      <c r="D227" s="1"/>
      <c r="E227" s="1"/>
      <c r="F227" s="1"/>
      <c r="G227" s="1"/>
      <c r="H227" s="1"/>
      <c r="I227" s="1"/>
      <c r="J227" s="1"/>
      <c r="K227" s="1"/>
      <c r="L227" s="1"/>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row>
    <row r="228" spans="1:51" x14ac:dyDescent="0.25">
      <c r="A228" s="1"/>
      <c r="B228" s="1"/>
      <c r="C228" s="1"/>
      <c r="D228" s="1"/>
      <c r="E228" s="1"/>
      <c r="F228" s="1"/>
      <c r="G228" s="1"/>
      <c r="H228" s="1"/>
      <c r="I228" s="1"/>
      <c r="J228" s="1"/>
      <c r="K228" s="1"/>
      <c r="L228" s="1"/>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row>
    <row r="229" spans="1:51" x14ac:dyDescent="0.25">
      <c r="A229" s="1"/>
      <c r="B229" s="1"/>
      <c r="C229" s="1"/>
      <c r="D229" s="1"/>
      <c r="E229" s="1"/>
      <c r="F229" s="1"/>
      <c r="G229" s="1"/>
      <c r="H229" s="1"/>
      <c r="I229" s="1"/>
      <c r="J229" s="1"/>
      <c r="K229" s="1"/>
      <c r="L229" s="1"/>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row>
    <row r="230" spans="1:51" x14ac:dyDescent="0.25">
      <c r="A230" s="1"/>
      <c r="B230" s="1"/>
      <c r="C230" s="1"/>
      <c r="D230" s="1"/>
      <c r="E230" s="1"/>
      <c r="F230" s="1"/>
      <c r="G230" s="1"/>
      <c r="H230" s="1"/>
      <c r="I230" s="1"/>
      <c r="J230" s="1"/>
      <c r="K230" s="1"/>
      <c r="L230" s="1"/>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row>
    <row r="231" spans="1:51" x14ac:dyDescent="0.25">
      <c r="A231" s="1"/>
      <c r="B231" s="1"/>
      <c r="C231" s="1"/>
      <c r="D231" s="1"/>
      <c r="E231" s="1"/>
      <c r="F231" s="1"/>
      <c r="G231" s="1"/>
      <c r="H231" s="1"/>
      <c r="I231" s="1"/>
      <c r="J231" s="1"/>
      <c r="K231" s="1"/>
      <c r="L231" s="1"/>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row>
    <row r="232" spans="1:51" x14ac:dyDescent="0.25">
      <c r="A232" s="1"/>
      <c r="B232" s="1"/>
      <c r="C232" s="1"/>
      <c r="D232" s="1"/>
      <c r="E232" s="1"/>
      <c r="F232" s="1"/>
      <c r="G232" s="1"/>
      <c r="H232" s="1"/>
      <c r="I232" s="1"/>
      <c r="J232" s="1"/>
      <c r="K232" s="1"/>
      <c r="L232" s="1"/>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row>
    <row r="233" spans="1:51" x14ac:dyDescent="0.25">
      <c r="A233" s="1"/>
      <c r="B233" s="1"/>
      <c r="C233" s="1"/>
      <c r="D233" s="1"/>
      <c r="E233" s="1"/>
      <c r="F233" s="1"/>
      <c r="G233" s="1"/>
      <c r="H233" s="1"/>
      <c r="I233" s="1"/>
      <c r="J233" s="1"/>
      <c r="K233" s="1"/>
      <c r="L233" s="1"/>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row>
    <row r="234" spans="1:51" x14ac:dyDescent="0.25">
      <c r="A234" s="1"/>
      <c r="B234" s="1"/>
      <c r="C234" s="1"/>
      <c r="D234" s="1"/>
      <c r="E234" s="1"/>
      <c r="F234" s="1"/>
      <c r="G234" s="1"/>
      <c r="H234" s="1"/>
      <c r="I234" s="1"/>
      <c r="J234" s="1"/>
      <c r="K234" s="1"/>
      <c r="L234" s="1"/>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row>
    <row r="235" spans="1:51" x14ac:dyDescent="0.25">
      <c r="A235" s="1"/>
      <c r="B235" s="1"/>
      <c r="C235" s="1"/>
      <c r="D235" s="1"/>
      <c r="E235" s="1"/>
      <c r="F235" s="1"/>
      <c r="G235" s="1"/>
      <c r="H235" s="1"/>
      <c r="I235" s="1"/>
      <c r="J235" s="1"/>
      <c r="K235" s="1"/>
      <c r="L235" s="1"/>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row>
    <row r="236" spans="1:51" x14ac:dyDescent="0.25">
      <c r="A236" s="1"/>
      <c r="B236" s="1"/>
      <c r="C236" s="1"/>
      <c r="D236" s="1"/>
      <c r="E236" s="1"/>
      <c r="F236" s="1"/>
      <c r="G236" s="1"/>
      <c r="H236" s="1"/>
      <c r="I236" s="1"/>
      <c r="J236" s="1"/>
      <c r="K236" s="1"/>
      <c r="L236" s="1"/>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row>
    <row r="237" spans="1:51" x14ac:dyDescent="0.25">
      <c r="A237" s="1"/>
      <c r="B237" s="1"/>
      <c r="C237" s="1"/>
      <c r="D237" s="1"/>
      <c r="E237" s="1"/>
      <c r="F237" s="1"/>
      <c r="G237" s="1"/>
      <c r="H237" s="1"/>
      <c r="I237" s="1"/>
      <c r="J237" s="1"/>
      <c r="K237" s="1"/>
      <c r="L237" s="1"/>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row>
    <row r="238" spans="1:51" x14ac:dyDescent="0.25">
      <c r="A238" s="1"/>
      <c r="B238" s="1"/>
      <c r="C238" s="1"/>
      <c r="D238" s="1"/>
      <c r="E238" s="1"/>
      <c r="F238" s="1"/>
      <c r="G238" s="1"/>
      <c r="H238" s="1"/>
      <c r="I238" s="1"/>
      <c r="J238" s="1"/>
      <c r="K238" s="1"/>
      <c r="L238" s="1"/>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row>
    <row r="239" spans="1:51" x14ac:dyDescent="0.25">
      <c r="A239" s="1"/>
      <c r="B239" s="1"/>
      <c r="C239" s="1"/>
      <c r="D239" s="1"/>
      <c r="E239" s="1"/>
      <c r="F239" s="1"/>
      <c r="G239" s="1"/>
      <c r="H239" s="1"/>
      <c r="I239" s="1"/>
      <c r="J239" s="1"/>
      <c r="K239" s="1"/>
      <c r="L239" s="1"/>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row>
    <row r="240" spans="1:51" x14ac:dyDescent="0.25">
      <c r="A240" s="1"/>
      <c r="B240" s="1"/>
      <c r="C240" s="1"/>
      <c r="D240" s="1"/>
      <c r="E240" s="1"/>
      <c r="F240" s="1"/>
      <c r="G240" s="1"/>
      <c r="H240" s="1"/>
      <c r="I240" s="1"/>
      <c r="J240" s="1"/>
      <c r="K240" s="1"/>
      <c r="L240" s="1"/>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row>
    <row r="241" spans="1:51" x14ac:dyDescent="0.25">
      <c r="A241" s="1"/>
      <c r="B241" s="1"/>
      <c r="C241" s="1"/>
      <c r="D241" s="1"/>
      <c r="E241" s="1"/>
      <c r="F241" s="1"/>
      <c r="G241" s="1"/>
      <c r="H241" s="1"/>
      <c r="I241" s="1"/>
      <c r="J241" s="1"/>
      <c r="K241" s="1"/>
      <c r="L241" s="1"/>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row>
    <row r="242" spans="1:51" x14ac:dyDescent="0.25">
      <c r="A242" s="1"/>
      <c r="B242" s="1"/>
      <c r="C242" s="1"/>
      <c r="D242" s="1"/>
      <c r="E242" s="1"/>
      <c r="F242" s="1"/>
      <c r="G242" s="1"/>
      <c r="H242" s="1"/>
      <c r="I242" s="1"/>
      <c r="J242" s="1"/>
      <c r="K242" s="1"/>
      <c r="L242" s="1"/>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row>
    <row r="243" spans="1:51" x14ac:dyDescent="0.25">
      <c r="A243" s="1"/>
      <c r="B243" s="1"/>
      <c r="C243" s="1"/>
      <c r="D243" s="1"/>
      <c r="E243" s="1"/>
      <c r="F243" s="1"/>
      <c r="G243" s="1"/>
      <c r="H243" s="1"/>
      <c r="I243" s="1"/>
      <c r="J243" s="1"/>
      <c r="K243" s="1"/>
      <c r="L243" s="1"/>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row>
    <row r="244" spans="1:51" x14ac:dyDescent="0.25">
      <c r="A244" s="1"/>
      <c r="B244" s="1"/>
      <c r="C244" s="1"/>
      <c r="D244" s="1"/>
      <c r="E244" s="1"/>
      <c r="F244" s="1"/>
      <c r="G244" s="1"/>
      <c r="H244" s="1"/>
      <c r="I244" s="1"/>
      <c r="J244" s="1"/>
      <c r="K244" s="1"/>
      <c r="L244" s="1"/>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row>
    <row r="245" spans="1:51" x14ac:dyDescent="0.25">
      <c r="A245" s="1"/>
      <c r="B245" s="1"/>
      <c r="C245" s="1"/>
      <c r="D245" s="1"/>
      <c r="E245" s="1"/>
      <c r="F245" s="1"/>
      <c r="G245" s="1"/>
      <c r="H245" s="1"/>
      <c r="I245" s="1"/>
      <c r="J245" s="1"/>
      <c r="K245" s="1"/>
      <c r="L245" s="1"/>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row>
    <row r="246" spans="1:51" x14ac:dyDescent="0.25">
      <c r="A246" s="1"/>
      <c r="B246" s="1"/>
      <c r="C246" s="1"/>
      <c r="D246" s="1"/>
      <c r="E246" s="1"/>
      <c r="F246" s="1"/>
      <c r="G246" s="1"/>
      <c r="H246" s="1"/>
      <c r="I246" s="1"/>
      <c r="J246" s="1"/>
      <c r="K246" s="1"/>
      <c r="L246" s="1"/>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row>
    <row r="247" spans="1:51" x14ac:dyDescent="0.25">
      <c r="A247" s="1"/>
      <c r="B247" s="1"/>
      <c r="C247" s="1"/>
      <c r="D247" s="1"/>
      <c r="E247" s="1"/>
      <c r="F247" s="1"/>
      <c r="G247" s="1"/>
      <c r="H247" s="1"/>
      <c r="I247" s="1"/>
      <c r="J247" s="1"/>
      <c r="K247" s="1"/>
      <c r="L247" s="1"/>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row>
    <row r="248" spans="1:51" x14ac:dyDescent="0.25">
      <c r="A248" s="1"/>
      <c r="B248" s="1"/>
      <c r="C248" s="1"/>
      <c r="D248" s="1"/>
      <c r="E248" s="1"/>
      <c r="F248" s="1"/>
      <c r="G248" s="1"/>
      <c r="H248" s="1"/>
      <c r="I248" s="1"/>
      <c r="J248" s="1"/>
      <c r="K248" s="1"/>
      <c r="L248" s="1"/>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row>
    <row r="249" spans="1:51" x14ac:dyDescent="0.25">
      <c r="A249" s="1"/>
      <c r="B249" s="1"/>
      <c r="C249" s="1"/>
      <c r="D249" s="1"/>
      <c r="E249" s="1"/>
      <c r="F249" s="1"/>
      <c r="G249" s="1"/>
      <c r="H249" s="1"/>
      <c r="I249" s="1"/>
      <c r="J249" s="1"/>
      <c r="K249" s="1"/>
      <c r="L249" s="1"/>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row>
    <row r="250" spans="1:51" x14ac:dyDescent="0.25">
      <c r="A250" s="1"/>
      <c r="B250" s="1"/>
      <c r="C250" s="1"/>
      <c r="D250" s="1"/>
      <c r="E250" s="1"/>
      <c r="F250" s="1"/>
      <c r="G250" s="1"/>
      <c r="H250" s="1"/>
      <c r="I250" s="1"/>
      <c r="J250" s="1"/>
      <c r="K250" s="1"/>
      <c r="L250" s="1"/>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row>
    <row r="251" spans="1:51" x14ac:dyDescent="0.25">
      <c r="A251" s="1"/>
      <c r="B251" s="1"/>
      <c r="C251" s="1"/>
      <c r="D251" s="1"/>
      <c r="E251" s="1"/>
      <c r="F251" s="1"/>
      <c r="G251" s="1"/>
      <c r="H251" s="1"/>
      <c r="I251" s="1"/>
      <c r="J251" s="1"/>
      <c r="K251" s="1"/>
      <c r="L251" s="1"/>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row>
    <row r="252" spans="1:51" x14ac:dyDescent="0.25">
      <c r="A252" s="1"/>
      <c r="B252" s="1"/>
      <c r="C252" s="1"/>
      <c r="D252" s="1"/>
      <c r="E252" s="1"/>
      <c r="F252" s="1"/>
      <c r="G252" s="1"/>
      <c r="H252" s="1"/>
      <c r="I252" s="1"/>
      <c r="J252" s="1"/>
      <c r="K252" s="1"/>
      <c r="L252" s="1"/>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row>
    <row r="253" spans="1:51" x14ac:dyDescent="0.25">
      <c r="A253" s="1"/>
      <c r="B253" s="1"/>
      <c r="C253" s="1"/>
      <c r="D253" s="1"/>
      <c r="E253" s="1"/>
      <c r="F253" s="1"/>
      <c r="G253" s="1"/>
      <c r="H253" s="1"/>
      <c r="I253" s="1"/>
      <c r="J253" s="1"/>
      <c r="K253" s="1"/>
      <c r="L253" s="1"/>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row>
    <row r="254" spans="1:51" x14ac:dyDescent="0.25">
      <c r="A254" s="1"/>
      <c r="B254" s="1"/>
      <c r="C254" s="1"/>
      <c r="D254" s="1"/>
      <c r="E254" s="1"/>
      <c r="F254" s="1"/>
      <c r="G254" s="1"/>
      <c r="H254" s="1"/>
      <c r="I254" s="1"/>
      <c r="J254" s="1"/>
      <c r="K254" s="1"/>
      <c r="L254" s="1"/>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row>
    <row r="255" spans="1:51" x14ac:dyDescent="0.25">
      <c r="A255" s="1"/>
      <c r="B255" s="1"/>
      <c r="C255" s="1"/>
      <c r="D255" s="1"/>
      <c r="E255" s="1"/>
      <c r="F255" s="1"/>
      <c r="G255" s="1"/>
      <c r="H255" s="1"/>
      <c r="I255" s="1"/>
      <c r="J255" s="1"/>
      <c r="K255" s="1"/>
      <c r="L255" s="1"/>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row>
    <row r="256" spans="1:51" x14ac:dyDescent="0.25">
      <c r="A256" s="1"/>
      <c r="B256" s="1"/>
      <c r="C256" s="1"/>
      <c r="D256" s="1"/>
      <c r="E256" s="1"/>
      <c r="F256" s="1"/>
      <c r="G256" s="1"/>
      <c r="H256" s="1"/>
      <c r="I256" s="1"/>
      <c r="J256" s="1"/>
      <c r="K256" s="1"/>
      <c r="L256" s="1"/>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row>
    <row r="257" spans="1:51" x14ac:dyDescent="0.25">
      <c r="A257" s="1"/>
      <c r="B257" s="1"/>
      <c r="C257" s="1"/>
      <c r="D257" s="1"/>
      <c r="E257" s="1"/>
      <c r="F257" s="1"/>
      <c r="G257" s="1"/>
      <c r="H257" s="1"/>
      <c r="I257" s="1"/>
      <c r="J257" s="1"/>
      <c r="K257" s="1"/>
      <c r="L257" s="1"/>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row>
    <row r="258" spans="1:51" x14ac:dyDescent="0.25">
      <c r="A258" s="1"/>
      <c r="B258" s="1"/>
      <c r="C258" s="1"/>
      <c r="D258" s="1"/>
      <c r="E258" s="1"/>
      <c r="F258" s="1"/>
      <c r="G258" s="1"/>
      <c r="H258" s="1"/>
      <c r="I258" s="1"/>
      <c r="J258" s="1"/>
      <c r="K258" s="1"/>
      <c r="L258" s="1"/>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row>
    <row r="259" spans="1:51" x14ac:dyDescent="0.25">
      <c r="A259" s="1"/>
      <c r="B259" s="1"/>
      <c r="C259" s="1"/>
      <c r="D259" s="1"/>
      <c r="E259" s="1"/>
      <c r="F259" s="1"/>
      <c r="G259" s="1"/>
      <c r="H259" s="1"/>
      <c r="I259" s="1"/>
      <c r="J259" s="1"/>
      <c r="K259" s="1"/>
      <c r="L259" s="1"/>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row>
    <row r="260" spans="1:51" x14ac:dyDescent="0.25">
      <c r="A260" s="1"/>
      <c r="B260" s="1"/>
      <c r="C260" s="1"/>
      <c r="D260" s="1"/>
      <c r="E260" s="1"/>
      <c r="F260" s="1"/>
      <c r="G260" s="1"/>
      <c r="H260" s="1"/>
      <c r="I260" s="1"/>
      <c r="J260" s="1"/>
      <c r="K260" s="1"/>
      <c r="L260" s="1"/>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row>
    <row r="261" spans="1:51" x14ac:dyDescent="0.25">
      <c r="A261" s="1"/>
      <c r="B261" s="1"/>
      <c r="C261" s="1"/>
      <c r="D261" s="1"/>
      <c r="E261" s="1"/>
      <c r="F261" s="1"/>
      <c r="G261" s="1"/>
      <c r="H261" s="1"/>
      <c r="I261" s="1"/>
      <c r="J261" s="1"/>
      <c r="K261" s="1"/>
      <c r="L261" s="1"/>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row>
    <row r="262" spans="1:51" x14ac:dyDescent="0.25">
      <c r="A262" s="1"/>
      <c r="B262" s="1"/>
      <c r="C262" s="1"/>
      <c r="D262" s="1"/>
      <c r="E262" s="1"/>
      <c r="F262" s="1"/>
      <c r="G262" s="1"/>
      <c r="H262" s="1"/>
      <c r="I262" s="1"/>
      <c r="J262" s="1"/>
      <c r="K262" s="1"/>
      <c r="L262" s="1"/>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row>
    <row r="263" spans="1:51" x14ac:dyDescent="0.25">
      <c r="A263" s="1"/>
      <c r="B263" s="1"/>
      <c r="C263" s="1"/>
      <c r="D263" s="1"/>
      <c r="E263" s="1"/>
      <c r="F263" s="1"/>
      <c r="G263" s="1"/>
      <c r="H263" s="1"/>
      <c r="I263" s="1"/>
      <c r="J263" s="1"/>
      <c r="K263" s="1"/>
      <c r="L263" s="1"/>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row>
    <row r="264" spans="1:51" x14ac:dyDescent="0.25">
      <c r="A264" s="1"/>
      <c r="B264" s="1"/>
      <c r="C264" s="1"/>
      <c r="D264" s="1"/>
      <c r="E264" s="1"/>
      <c r="F264" s="1"/>
      <c r="G264" s="1"/>
      <c r="H264" s="1"/>
      <c r="I264" s="1"/>
      <c r="J264" s="1"/>
      <c r="K264" s="1"/>
      <c r="L264" s="1"/>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row>
    <row r="265" spans="1:51" x14ac:dyDescent="0.25">
      <c r="A265" s="1"/>
      <c r="B265" s="1"/>
      <c r="C265" s="1"/>
      <c r="D265" s="1"/>
      <c r="E265" s="1"/>
      <c r="F265" s="1"/>
      <c r="G265" s="1"/>
      <c r="H265" s="1"/>
      <c r="I265" s="1"/>
      <c r="J265" s="1"/>
      <c r="K265" s="1"/>
      <c r="L265" s="1"/>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row>
    <row r="266" spans="1:51" x14ac:dyDescent="0.25">
      <c r="A266" s="1"/>
      <c r="B266" s="1"/>
      <c r="C266" s="1"/>
      <c r="D266" s="1"/>
      <c r="E266" s="1"/>
      <c r="F266" s="1"/>
      <c r="G266" s="1"/>
      <c r="H266" s="1"/>
      <c r="I266" s="1"/>
      <c r="J266" s="1"/>
      <c r="K266" s="1"/>
      <c r="L266" s="1"/>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row>
    <row r="267" spans="1:51" x14ac:dyDescent="0.25">
      <c r="A267" s="1"/>
      <c r="B267" s="1"/>
      <c r="C267" s="1"/>
      <c r="D267" s="1"/>
      <c r="E267" s="1"/>
      <c r="F267" s="1"/>
      <c r="G267" s="1"/>
      <c r="H267" s="1"/>
      <c r="I267" s="1"/>
      <c r="J267" s="1"/>
      <c r="K267" s="1"/>
      <c r="L267" s="1"/>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row>
    <row r="268" spans="1:51" x14ac:dyDescent="0.25">
      <c r="A268" s="1"/>
      <c r="B268" s="1"/>
      <c r="C268" s="1"/>
      <c r="D268" s="1"/>
      <c r="E268" s="1"/>
      <c r="F268" s="1"/>
      <c r="G268" s="1"/>
      <c r="H268" s="1"/>
      <c r="I268" s="1"/>
      <c r="J268" s="1"/>
      <c r="K268" s="1"/>
      <c r="L268" s="1"/>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row>
    <row r="269" spans="1:51" x14ac:dyDescent="0.25">
      <c r="A269" s="1"/>
      <c r="B269" s="1"/>
      <c r="C269" s="1"/>
      <c r="D269" s="1"/>
      <c r="E269" s="1"/>
      <c r="F269" s="1"/>
      <c r="G269" s="1"/>
      <c r="H269" s="1"/>
      <c r="I269" s="1"/>
      <c r="J269" s="1"/>
      <c r="K269" s="1"/>
      <c r="L269" s="1"/>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row>
    <row r="270" spans="1:51" x14ac:dyDescent="0.25">
      <c r="A270" s="1"/>
      <c r="B270" s="1"/>
      <c r="C270" s="1"/>
      <c r="D270" s="1"/>
      <c r="E270" s="1"/>
      <c r="F270" s="1"/>
      <c r="G270" s="1"/>
      <c r="H270" s="1"/>
      <c r="I270" s="1"/>
      <c r="J270" s="1"/>
      <c r="K270" s="1"/>
      <c r="L270" s="1"/>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row>
    <row r="271" spans="1:51" x14ac:dyDescent="0.25">
      <c r="A271" s="1"/>
      <c r="B271" s="1"/>
      <c r="C271" s="1"/>
      <c r="D271" s="1"/>
      <c r="E271" s="1"/>
      <c r="F271" s="1"/>
      <c r="G271" s="1"/>
      <c r="H271" s="1"/>
      <c r="I271" s="1"/>
      <c r="J271" s="1"/>
      <c r="K271" s="1"/>
      <c r="L271" s="1"/>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row>
    <row r="272" spans="1:51" x14ac:dyDescent="0.25">
      <c r="A272" s="1"/>
      <c r="B272" s="1"/>
      <c r="C272" s="1"/>
      <c r="D272" s="1"/>
      <c r="E272" s="1"/>
      <c r="F272" s="1"/>
      <c r="G272" s="1"/>
      <c r="H272" s="1"/>
      <c r="I272" s="1"/>
      <c r="J272" s="1"/>
      <c r="K272" s="1"/>
      <c r="L272" s="1"/>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row>
    <row r="273" spans="1:51" x14ac:dyDescent="0.25">
      <c r="A273" s="1"/>
      <c r="B273" s="1"/>
      <c r="C273" s="1"/>
      <c r="D273" s="1"/>
      <c r="E273" s="1"/>
      <c r="F273" s="1"/>
      <c r="G273" s="1"/>
      <c r="H273" s="1"/>
      <c r="I273" s="1"/>
      <c r="J273" s="1"/>
      <c r="K273" s="1"/>
      <c r="L273" s="1"/>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row>
    <row r="274" spans="1:51" x14ac:dyDescent="0.25">
      <c r="A274" s="1"/>
      <c r="B274" s="1"/>
      <c r="C274" s="1"/>
      <c r="D274" s="1"/>
      <c r="E274" s="1"/>
      <c r="F274" s="1"/>
      <c r="G274" s="1"/>
      <c r="H274" s="1"/>
      <c r="I274" s="1"/>
      <c r="J274" s="1"/>
      <c r="K274" s="1"/>
      <c r="L274" s="1"/>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row>
    <row r="275" spans="1:51" x14ac:dyDescent="0.25">
      <c r="A275" s="1"/>
      <c r="B275" s="1"/>
      <c r="C275" s="1"/>
      <c r="D275" s="1"/>
      <c r="E275" s="1"/>
      <c r="F275" s="1"/>
      <c r="G275" s="1"/>
      <c r="H275" s="1"/>
      <c r="I275" s="1"/>
      <c r="J275" s="1"/>
      <c r="K275" s="1"/>
      <c r="L275" s="1"/>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row>
    <row r="276" spans="1:51" x14ac:dyDescent="0.25">
      <c r="A276" s="1"/>
      <c r="B276" s="1"/>
      <c r="C276" s="1"/>
      <c r="D276" s="1"/>
      <c r="E276" s="1"/>
      <c r="F276" s="1"/>
      <c r="G276" s="1"/>
      <c r="H276" s="1"/>
      <c r="I276" s="1"/>
      <c r="J276" s="1"/>
      <c r="K276" s="1"/>
      <c r="L276" s="1"/>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row>
    <row r="277" spans="1:51" x14ac:dyDescent="0.25">
      <c r="A277" s="1"/>
      <c r="B277" s="1"/>
      <c r="C277" s="1"/>
      <c r="D277" s="1"/>
      <c r="E277" s="1"/>
      <c r="F277" s="1"/>
      <c r="G277" s="1"/>
      <c r="H277" s="1"/>
      <c r="I277" s="1"/>
      <c r="J277" s="1"/>
      <c r="K277" s="1"/>
      <c r="L277" s="1"/>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row>
    <row r="278" spans="1:51" x14ac:dyDescent="0.25">
      <c r="A278" s="1"/>
      <c r="B278" s="1"/>
      <c r="C278" s="1"/>
      <c r="D278" s="1"/>
      <c r="E278" s="1"/>
      <c r="F278" s="1"/>
      <c r="G278" s="1"/>
      <c r="H278" s="1"/>
      <c r="I278" s="1"/>
      <c r="J278" s="1"/>
      <c r="K278" s="1"/>
      <c r="L278" s="1"/>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row>
    <row r="279" spans="1:51" x14ac:dyDescent="0.25">
      <c r="A279" s="1"/>
      <c r="B279" s="1"/>
      <c r="C279" s="1"/>
      <c r="D279" s="1"/>
      <c r="E279" s="1"/>
      <c r="F279" s="1"/>
      <c r="G279" s="1"/>
      <c r="H279" s="1"/>
      <c r="I279" s="1"/>
      <c r="J279" s="1"/>
      <c r="K279" s="1"/>
      <c r="L279" s="1"/>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row>
    <row r="280" spans="1:51" x14ac:dyDescent="0.25">
      <c r="A280" s="1"/>
      <c r="B280" s="1"/>
      <c r="C280" s="1"/>
      <c r="D280" s="1"/>
      <c r="E280" s="1"/>
      <c r="F280" s="1"/>
      <c r="G280" s="1"/>
      <c r="H280" s="1"/>
      <c r="I280" s="1"/>
      <c r="J280" s="1"/>
      <c r="K280" s="1"/>
      <c r="L280" s="1"/>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row>
    <row r="281" spans="1:51" x14ac:dyDescent="0.25">
      <c r="A281" s="1"/>
      <c r="B281" s="1"/>
      <c r="C281" s="1"/>
      <c r="D281" s="1"/>
      <c r="E281" s="1"/>
      <c r="F281" s="1"/>
      <c r="G281" s="1"/>
      <c r="H281" s="1"/>
      <c r="I281" s="1"/>
      <c r="J281" s="1"/>
      <c r="K281" s="1"/>
      <c r="L281" s="1"/>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row>
    <row r="282" spans="1:51" x14ac:dyDescent="0.25">
      <c r="A282" s="1"/>
      <c r="B282" s="1"/>
      <c r="C282" s="1"/>
      <c r="D282" s="1"/>
      <c r="E282" s="1"/>
      <c r="F282" s="1"/>
      <c r="G282" s="1"/>
      <c r="H282" s="1"/>
      <c r="I282" s="1"/>
      <c r="J282" s="1"/>
      <c r="K282" s="1"/>
      <c r="L282" s="1"/>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row>
    <row r="283" spans="1:51" x14ac:dyDescent="0.25">
      <c r="A283" s="1"/>
      <c r="B283" s="1"/>
      <c r="C283" s="1"/>
      <c r="D283" s="1"/>
      <c r="E283" s="1"/>
      <c r="F283" s="1"/>
      <c r="G283" s="1"/>
      <c r="H283" s="1"/>
      <c r="I283" s="1"/>
      <c r="J283" s="1"/>
      <c r="K283" s="1"/>
      <c r="L283" s="1"/>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row>
    <row r="284" spans="1:51" x14ac:dyDescent="0.25">
      <c r="A284" s="1"/>
      <c r="B284" s="1"/>
      <c r="C284" s="1"/>
      <c r="D284" s="1"/>
      <c r="E284" s="1"/>
      <c r="F284" s="1"/>
      <c r="G284" s="1"/>
      <c r="H284" s="1"/>
      <c r="I284" s="1"/>
      <c r="J284" s="1"/>
      <c r="K284" s="1"/>
      <c r="L284" s="1"/>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row>
    <row r="285" spans="1:51" x14ac:dyDescent="0.25">
      <c r="A285" s="1"/>
      <c r="B285" s="1"/>
      <c r="C285" s="1"/>
      <c r="D285" s="1"/>
      <c r="E285" s="1"/>
      <c r="F285" s="1"/>
      <c r="G285" s="1"/>
      <c r="H285" s="1"/>
      <c r="I285" s="1"/>
      <c r="J285" s="1"/>
      <c r="K285" s="1"/>
      <c r="L285" s="1"/>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row>
    <row r="286" spans="1:51" x14ac:dyDescent="0.25">
      <c r="A286" s="1"/>
      <c r="B286" s="1"/>
      <c r="C286" s="1"/>
      <c r="D286" s="1"/>
      <c r="E286" s="1"/>
      <c r="F286" s="1"/>
      <c r="G286" s="1"/>
      <c r="H286" s="1"/>
      <c r="I286" s="1"/>
      <c r="J286" s="1"/>
      <c r="K286" s="1"/>
      <c r="L286" s="1"/>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row>
    <row r="287" spans="1:51" x14ac:dyDescent="0.25">
      <c r="A287" s="1"/>
      <c r="B287" s="1"/>
      <c r="C287" s="1"/>
      <c r="D287" s="1"/>
      <c r="E287" s="1"/>
      <c r="F287" s="1"/>
      <c r="G287" s="1"/>
      <c r="H287" s="1"/>
      <c r="I287" s="1"/>
      <c r="J287" s="1"/>
      <c r="K287" s="1"/>
      <c r="L287" s="1"/>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row>
    <row r="288" spans="1:51" x14ac:dyDescent="0.25">
      <c r="A288" s="1"/>
      <c r="B288" s="1"/>
      <c r="C288" s="1"/>
      <c r="D288" s="1"/>
      <c r="E288" s="1"/>
      <c r="F288" s="1"/>
      <c r="G288" s="1"/>
      <c r="H288" s="1"/>
      <c r="I288" s="1"/>
      <c r="J288" s="1"/>
      <c r="K288" s="1"/>
      <c r="L288" s="1"/>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row>
    <row r="289" spans="1:51" x14ac:dyDescent="0.25">
      <c r="A289" s="1"/>
      <c r="B289" s="1"/>
      <c r="C289" s="1"/>
      <c r="D289" s="1"/>
      <c r="E289" s="1"/>
      <c r="F289" s="1"/>
      <c r="G289" s="1"/>
      <c r="H289" s="1"/>
      <c r="I289" s="1"/>
      <c r="J289" s="1"/>
      <c r="K289" s="1"/>
      <c r="L289" s="1"/>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row>
    <row r="290" spans="1:51" x14ac:dyDescent="0.25">
      <c r="A290" s="1"/>
      <c r="B290" s="1"/>
      <c r="C290" s="1"/>
      <c r="D290" s="1"/>
      <c r="E290" s="1"/>
      <c r="F290" s="1"/>
      <c r="G290" s="1"/>
      <c r="H290" s="1"/>
      <c r="I290" s="1"/>
      <c r="J290" s="1"/>
      <c r="K290" s="1"/>
      <c r="L290" s="1"/>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row>
    <row r="291" spans="1:51" x14ac:dyDescent="0.25">
      <c r="A291" s="1"/>
      <c r="B291" s="1"/>
      <c r="C291" s="1"/>
      <c r="D291" s="1"/>
      <c r="E291" s="1"/>
      <c r="F291" s="1"/>
      <c r="G291" s="1"/>
      <c r="H291" s="1"/>
      <c r="I291" s="1"/>
      <c r="J291" s="1"/>
      <c r="K291" s="1"/>
      <c r="L291" s="1"/>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row>
    <row r="292" spans="1:51" x14ac:dyDescent="0.25">
      <c r="A292" s="1"/>
      <c r="B292" s="1"/>
      <c r="C292" s="1"/>
      <c r="D292" s="1"/>
      <c r="E292" s="1"/>
      <c r="F292" s="1"/>
      <c r="G292" s="1"/>
      <c r="H292" s="1"/>
      <c r="I292" s="1"/>
      <c r="J292" s="1"/>
      <c r="K292" s="1"/>
      <c r="L292" s="1"/>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row>
    <row r="293" spans="1:51" x14ac:dyDescent="0.25">
      <c r="A293" s="1"/>
      <c r="B293" s="1"/>
      <c r="C293" s="1"/>
      <c r="D293" s="1"/>
      <c r="E293" s="1"/>
      <c r="F293" s="1"/>
      <c r="G293" s="1"/>
      <c r="H293" s="1"/>
      <c r="I293" s="1"/>
      <c r="J293" s="1"/>
      <c r="K293" s="1"/>
      <c r="L293" s="1"/>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row>
    <row r="294" spans="1:51" x14ac:dyDescent="0.25">
      <c r="A294" s="1"/>
      <c r="B294" s="1"/>
      <c r="C294" s="1"/>
      <c r="D294" s="1"/>
      <c r="E294" s="1"/>
      <c r="F294" s="1"/>
      <c r="G294" s="1"/>
      <c r="H294" s="1"/>
      <c r="I294" s="1"/>
      <c r="J294" s="1"/>
      <c r="K294" s="1"/>
      <c r="L294" s="1"/>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row>
    <row r="295" spans="1:51" x14ac:dyDescent="0.25">
      <c r="A295" s="1"/>
      <c r="B295" s="1"/>
      <c r="C295" s="1"/>
      <c r="D295" s="1"/>
      <c r="E295" s="1"/>
      <c r="F295" s="1"/>
      <c r="G295" s="1"/>
      <c r="H295" s="1"/>
      <c r="I295" s="1"/>
      <c r="J295" s="1"/>
      <c r="K295" s="1"/>
      <c r="L295" s="1"/>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row>
    <row r="296" spans="1:51" x14ac:dyDescent="0.25">
      <c r="A296" s="1"/>
      <c r="B296" s="1"/>
      <c r="C296" s="1"/>
      <c r="D296" s="1"/>
      <c r="E296" s="1"/>
      <c r="F296" s="1"/>
      <c r="G296" s="1"/>
      <c r="H296" s="1"/>
      <c r="I296" s="1"/>
      <c r="J296" s="1"/>
      <c r="K296" s="1"/>
      <c r="L296" s="1"/>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row>
    <row r="297" spans="1:51" x14ac:dyDescent="0.25">
      <c r="A297" s="1"/>
      <c r="B297" s="1"/>
      <c r="C297" s="1"/>
      <c r="D297" s="1"/>
      <c r="E297" s="1"/>
      <c r="F297" s="1"/>
      <c r="G297" s="1"/>
      <c r="H297" s="1"/>
      <c r="I297" s="1"/>
      <c r="J297" s="1"/>
      <c r="K297" s="1"/>
      <c r="L297" s="1"/>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x14ac:dyDescent="0.25">
      <c r="A298" s="1"/>
      <c r="B298" s="1"/>
      <c r="C298" s="1"/>
      <c r="D298" s="1"/>
      <c r="E298" s="1"/>
      <c r="F298" s="1"/>
      <c r="G298" s="1"/>
      <c r="H298" s="1"/>
      <c r="I298" s="1"/>
      <c r="J298" s="1"/>
      <c r="K298" s="1"/>
      <c r="L298" s="1"/>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row>
    <row r="299" spans="1:51" x14ac:dyDescent="0.25">
      <c r="A299" s="1"/>
      <c r="B299" s="1"/>
      <c r="C299" s="1"/>
      <c r="D299" s="1"/>
      <c r="E299" s="1"/>
      <c r="F299" s="1"/>
      <c r="G299" s="1"/>
      <c r="H299" s="1"/>
      <c r="I299" s="1"/>
      <c r="J299" s="1"/>
      <c r="K299" s="1"/>
      <c r="L299" s="1"/>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row>
    <row r="300" spans="1:51" x14ac:dyDescent="0.25">
      <c r="A300" s="1"/>
      <c r="B300" s="1"/>
      <c r="C300" s="1"/>
      <c r="D300" s="1"/>
      <c r="E300" s="1"/>
      <c r="F300" s="1"/>
      <c r="G300" s="1"/>
      <c r="H300" s="1"/>
      <c r="I300" s="1"/>
      <c r="J300" s="1"/>
      <c r="K300" s="1"/>
      <c r="L300" s="1"/>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row>
    <row r="301" spans="1:51" x14ac:dyDescent="0.25">
      <c r="A301" s="1"/>
      <c r="B301" s="1"/>
      <c r="C301" s="1"/>
      <c r="D301" s="1"/>
      <c r="E301" s="1"/>
      <c r="F301" s="1"/>
      <c r="G301" s="1"/>
      <c r="H301" s="1"/>
      <c r="I301" s="1"/>
      <c r="J301" s="1"/>
      <c r="K301" s="1"/>
      <c r="L301" s="1"/>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row>
    <row r="302" spans="1:51" x14ac:dyDescent="0.25">
      <c r="A302" s="1"/>
      <c r="B302" s="1"/>
      <c r="C302" s="1"/>
      <c r="D302" s="1"/>
      <c r="E302" s="1"/>
      <c r="F302" s="1"/>
      <c r="G302" s="1"/>
      <c r="H302" s="1"/>
      <c r="I302" s="1"/>
      <c r="J302" s="1"/>
      <c r="K302" s="1"/>
      <c r="L302" s="1"/>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row>
    <row r="303" spans="1:51" x14ac:dyDescent="0.25">
      <c r="A303" s="1"/>
      <c r="B303" s="1"/>
      <c r="C303" s="1"/>
      <c r="D303" s="1"/>
      <c r="E303" s="1"/>
      <c r="F303" s="1"/>
      <c r="G303" s="1"/>
      <c r="H303" s="1"/>
      <c r="I303" s="1"/>
      <c r="J303" s="1"/>
      <c r="K303" s="1"/>
      <c r="L303" s="1"/>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row>
    <row r="304" spans="1:51" x14ac:dyDescent="0.25">
      <c r="A304" s="1"/>
      <c r="B304" s="1"/>
      <c r="C304" s="1"/>
      <c r="D304" s="1"/>
      <c r="E304" s="1"/>
      <c r="F304" s="1"/>
      <c r="G304" s="1"/>
      <c r="H304" s="1"/>
      <c r="I304" s="1"/>
      <c r="J304" s="1"/>
      <c r="K304" s="1"/>
      <c r="L304" s="1"/>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51" x14ac:dyDescent="0.25">
      <c r="A305" s="1"/>
      <c r="B305" s="1"/>
      <c r="C305" s="1"/>
      <c r="D305" s="1"/>
      <c r="E305" s="1"/>
      <c r="F305" s="1"/>
      <c r="G305" s="1"/>
      <c r="H305" s="1"/>
      <c r="I305" s="1"/>
      <c r="J305" s="1"/>
      <c r="K305" s="1"/>
      <c r="L305" s="1"/>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row>
    <row r="306" spans="1:51" x14ac:dyDescent="0.25">
      <c r="A306" s="1"/>
      <c r="B306" s="1"/>
      <c r="C306" s="1"/>
      <c r="D306" s="1"/>
      <c r="E306" s="1"/>
      <c r="F306" s="1"/>
      <c r="G306" s="1"/>
      <c r="H306" s="1"/>
      <c r="I306" s="1"/>
      <c r="J306" s="1"/>
      <c r="K306" s="1"/>
      <c r="L306" s="1"/>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row>
    <row r="307" spans="1:51" x14ac:dyDescent="0.25">
      <c r="A307" s="1"/>
      <c r="B307" s="1"/>
      <c r="C307" s="1"/>
      <c r="D307" s="1"/>
      <c r="E307" s="1"/>
      <c r="F307" s="1"/>
      <c r="G307" s="1"/>
      <c r="H307" s="1"/>
      <c r="I307" s="1"/>
      <c r="J307" s="1"/>
      <c r="K307" s="1"/>
      <c r="L307" s="1"/>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row>
    <row r="308" spans="1:51" x14ac:dyDescent="0.25">
      <c r="A308" s="1"/>
      <c r="B308" s="1"/>
      <c r="C308" s="1"/>
      <c r="D308" s="1"/>
      <c r="E308" s="1"/>
      <c r="F308" s="1"/>
      <c r="G308" s="1"/>
      <c r="H308" s="1"/>
      <c r="I308" s="1"/>
      <c r="J308" s="1"/>
      <c r="K308" s="1"/>
      <c r="L308" s="1"/>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row>
    <row r="309" spans="1:51" x14ac:dyDescent="0.25">
      <c r="A309" s="1"/>
      <c r="B309" s="1"/>
      <c r="C309" s="1"/>
      <c r="D309" s="1"/>
      <c r="E309" s="1"/>
      <c r="F309" s="1"/>
      <c r="G309" s="1"/>
      <c r="H309" s="1"/>
      <c r="I309" s="1"/>
      <c r="J309" s="1"/>
      <c r="K309" s="1"/>
      <c r="L309" s="1"/>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row>
    <row r="310" spans="1:51" x14ac:dyDescent="0.25">
      <c r="A310" s="1"/>
      <c r="B310" s="1"/>
      <c r="C310" s="1"/>
      <c r="D310" s="1"/>
      <c r="E310" s="1"/>
      <c r="F310" s="1"/>
      <c r="G310" s="1"/>
      <c r="H310" s="1"/>
      <c r="I310" s="1"/>
      <c r="J310" s="1"/>
      <c r="K310" s="1"/>
      <c r="L310" s="1"/>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row>
    <row r="311" spans="1:51" x14ac:dyDescent="0.25">
      <c r="A311" s="1"/>
      <c r="B311" s="1"/>
      <c r="C311" s="1"/>
      <c r="D311" s="1"/>
      <c r="E311" s="1"/>
      <c r="F311" s="1"/>
      <c r="G311" s="1"/>
      <c r="H311" s="1"/>
      <c r="I311" s="1"/>
      <c r="J311" s="1"/>
      <c r="K311" s="1"/>
      <c r="L311" s="1"/>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row>
    <row r="312" spans="1:51" x14ac:dyDescent="0.25">
      <c r="A312" s="1"/>
      <c r="B312" s="1"/>
      <c r="C312" s="1"/>
      <c r="D312" s="1"/>
      <c r="E312" s="1"/>
      <c r="F312" s="1"/>
      <c r="G312" s="1"/>
      <c r="H312" s="1"/>
      <c r="I312" s="1"/>
      <c r="J312" s="1"/>
      <c r="K312" s="1"/>
      <c r="L312" s="1"/>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row>
    <row r="313" spans="1:51" x14ac:dyDescent="0.25">
      <c r="A313" s="1"/>
      <c r="B313" s="1"/>
      <c r="C313" s="1"/>
      <c r="D313" s="1"/>
      <c r="E313" s="1"/>
      <c r="F313" s="1"/>
      <c r="G313" s="1"/>
      <c r="H313" s="1"/>
      <c r="I313" s="1"/>
      <c r="J313" s="1"/>
      <c r="K313" s="1"/>
      <c r="L313" s="1"/>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row>
    <row r="314" spans="1:51" x14ac:dyDescent="0.25">
      <c r="A314" s="1"/>
      <c r="B314" s="1"/>
      <c r="C314" s="1"/>
      <c r="D314" s="1"/>
      <c r="E314" s="1"/>
      <c r="F314" s="1"/>
      <c r="G314" s="1"/>
      <c r="H314" s="1"/>
      <c r="I314" s="1"/>
      <c r="J314" s="1"/>
      <c r="K314" s="1"/>
      <c r="L314" s="1"/>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row>
    <row r="315" spans="1:51" x14ac:dyDescent="0.25">
      <c r="A315" s="1"/>
      <c r="B315" s="1"/>
      <c r="C315" s="1"/>
      <c r="D315" s="1"/>
      <c r="E315" s="1"/>
      <c r="F315" s="1"/>
      <c r="G315" s="1"/>
      <c r="H315" s="1"/>
      <c r="I315" s="1"/>
      <c r="J315" s="1"/>
      <c r="K315" s="1"/>
      <c r="L315" s="1"/>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row>
    <row r="316" spans="1:51" x14ac:dyDescent="0.25">
      <c r="A316" s="1"/>
      <c r="B316" s="1"/>
      <c r="C316" s="1"/>
      <c r="D316" s="1"/>
      <c r="E316" s="1"/>
      <c r="F316" s="1"/>
      <c r="G316" s="1"/>
      <c r="H316" s="1"/>
      <c r="I316" s="1"/>
      <c r="J316" s="1"/>
      <c r="K316" s="1"/>
      <c r="L316" s="1"/>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row>
    <row r="317" spans="1:51" x14ac:dyDescent="0.25">
      <c r="A317" s="1"/>
      <c r="B317" s="1"/>
      <c r="C317" s="1"/>
      <c r="D317" s="1"/>
      <c r="E317" s="1"/>
      <c r="F317" s="1"/>
      <c r="G317" s="1"/>
      <c r="H317" s="1"/>
      <c r="I317" s="1"/>
      <c r="J317" s="1"/>
      <c r="K317" s="1"/>
      <c r="L317" s="1"/>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row>
    <row r="318" spans="1:51" x14ac:dyDescent="0.25">
      <c r="A318" s="1"/>
      <c r="B318" s="1"/>
      <c r="C318" s="1"/>
      <c r="D318" s="1"/>
      <c r="E318" s="1"/>
      <c r="F318" s="1"/>
      <c r="G318" s="1"/>
      <c r="H318" s="1"/>
      <c r="I318" s="1"/>
      <c r="J318" s="1"/>
      <c r="K318" s="1"/>
      <c r="L318" s="1"/>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row>
    <row r="319" spans="1:51" x14ac:dyDescent="0.25">
      <c r="A319" s="1"/>
      <c r="B319" s="1"/>
      <c r="C319" s="1"/>
      <c r="D319" s="1"/>
      <c r="E319" s="1"/>
      <c r="F319" s="1"/>
      <c r="G319" s="1"/>
      <c r="H319" s="1"/>
      <c r="I319" s="1"/>
      <c r="J319" s="1"/>
      <c r="K319" s="1"/>
      <c r="L319" s="1"/>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row>
    <row r="320" spans="1:51" x14ac:dyDescent="0.25">
      <c r="A320" s="1"/>
      <c r="B320" s="1"/>
      <c r="C320" s="1"/>
      <c r="D320" s="1"/>
      <c r="E320" s="1"/>
      <c r="F320" s="1"/>
      <c r="G320" s="1"/>
      <c r="H320" s="1"/>
      <c r="I320" s="1"/>
      <c r="J320" s="1"/>
      <c r="K320" s="1"/>
      <c r="L320" s="1"/>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row>
    <row r="321" spans="1:51" x14ac:dyDescent="0.25">
      <c r="A321" s="1"/>
      <c r="B321" s="1"/>
      <c r="C321" s="1"/>
      <c r="D321" s="1"/>
      <c r="E321" s="1"/>
      <c r="F321" s="1"/>
      <c r="G321" s="1"/>
      <c r="H321" s="1"/>
      <c r="I321" s="1"/>
      <c r="J321" s="1"/>
      <c r="K321" s="1"/>
      <c r="L321" s="1"/>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row>
    <row r="322" spans="1:51" x14ac:dyDescent="0.25">
      <c r="A322" s="1"/>
      <c r="B322" s="1"/>
      <c r="C322" s="1"/>
      <c r="D322" s="1"/>
      <c r="E322" s="1"/>
      <c r="F322" s="1"/>
      <c r="G322" s="1"/>
      <c r="H322" s="1"/>
      <c r="I322" s="1"/>
      <c r="J322" s="1"/>
      <c r="K322" s="1"/>
      <c r="L322" s="1"/>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row>
    <row r="323" spans="1:51" x14ac:dyDescent="0.25">
      <c r="A323" s="1"/>
      <c r="B323" s="1"/>
      <c r="C323" s="1"/>
      <c r="D323" s="1"/>
      <c r="E323" s="1"/>
      <c r="F323" s="1"/>
      <c r="G323" s="1"/>
      <c r="H323" s="1"/>
      <c r="I323" s="1"/>
      <c r="J323" s="1"/>
      <c r="K323" s="1"/>
      <c r="L323" s="1"/>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row>
    <row r="324" spans="1:51" x14ac:dyDescent="0.25">
      <c r="A324" s="1"/>
      <c r="B324" s="1"/>
      <c r="C324" s="1"/>
      <c r="D324" s="1"/>
      <c r="E324" s="1"/>
      <c r="F324" s="1"/>
      <c r="G324" s="1"/>
      <c r="H324" s="1"/>
      <c r="I324" s="1"/>
      <c r="J324" s="1"/>
      <c r="K324" s="1"/>
      <c r="L324" s="1"/>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row>
    <row r="325" spans="1:51" x14ac:dyDescent="0.25">
      <c r="A325" s="1"/>
      <c r="B325" s="1"/>
      <c r="C325" s="1"/>
      <c r="D325" s="1"/>
      <c r="E325" s="1"/>
      <c r="F325" s="1"/>
      <c r="G325" s="1"/>
      <c r="H325" s="1"/>
      <c r="I325" s="1"/>
      <c r="J325" s="1"/>
      <c r="K325" s="1"/>
      <c r="L325" s="1"/>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row>
    <row r="326" spans="1:51" x14ac:dyDescent="0.25">
      <c r="A326" s="1"/>
      <c r="B326" s="1"/>
      <c r="C326" s="1"/>
      <c r="D326" s="1"/>
      <c r="E326" s="1"/>
      <c r="F326" s="1"/>
      <c r="G326" s="1"/>
      <c r="H326" s="1"/>
      <c r="I326" s="1"/>
      <c r="J326" s="1"/>
      <c r="K326" s="1"/>
      <c r="L326" s="1"/>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row>
    <row r="327" spans="1:51" x14ac:dyDescent="0.25">
      <c r="A327" s="1"/>
      <c r="B327" s="1"/>
      <c r="C327" s="1"/>
      <c r="D327" s="1"/>
      <c r="E327" s="1"/>
      <c r="F327" s="1"/>
      <c r="G327" s="1"/>
      <c r="H327" s="1"/>
      <c r="I327" s="1"/>
      <c r="J327" s="1"/>
      <c r="K327" s="1"/>
      <c r="L327" s="1"/>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row>
    <row r="328" spans="1:51" x14ac:dyDescent="0.25">
      <c r="A328" s="1"/>
      <c r="B328" s="1"/>
      <c r="C328" s="1"/>
      <c r="D328" s="1"/>
      <c r="E328" s="1"/>
      <c r="F328" s="1"/>
      <c r="G328" s="1"/>
      <c r="H328" s="1"/>
      <c r="I328" s="1"/>
      <c r="J328" s="1"/>
      <c r="K328" s="1"/>
      <c r="L328" s="1"/>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row>
    <row r="329" spans="1:51" x14ac:dyDescent="0.25">
      <c r="A329" s="1"/>
      <c r="B329" s="1"/>
      <c r="C329" s="1"/>
      <c r="D329" s="1"/>
      <c r="E329" s="1"/>
      <c r="F329" s="1"/>
      <c r="G329" s="1"/>
      <c r="H329" s="1"/>
      <c r="I329" s="1"/>
      <c r="J329" s="1"/>
      <c r="K329" s="1"/>
      <c r="L329" s="1"/>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row>
    <row r="330" spans="1:51" x14ac:dyDescent="0.25">
      <c r="A330" s="1"/>
      <c r="B330" s="1"/>
      <c r="C330" s="1"/>
      <c r="D330" s="1"/>
      <c r="E330" s="1"/>
      <c r="F330" s="1"/>
      <c r="G330" s="1"/>
      <c r="H330" s="1"/>
      <c r="I330" s="1"/>
      <c r="J330" s="1"/>
      <c r="K330" s="1"/>
      <c r="L330" s="1"/>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row>
    <row r="331" spans="1:51" x14ac:dyDescent="0.25">
      <c r="A331" s="1"/>
      <c r="B331" s="1"/>
      <c r="C331" s="1"/>
      <c r="D331" s="1"/>
      <c r="E331" s="1"/>
      <c r="F331" s="1"/>
      <c r="G331" s="1"/>
      <c r="H331" s="1"/>
      <c r="I331" s="1"/>
      <c r="J331" s="1"/>
      <c r="K331" s="1"/>
      <c r="L331" s="1"/>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row>
    <row r="332" spans="1:51" x14ac:dyDescent="0.25">
      <c r="A332" s="1"/>
      <c r="B332" s="1"/>
      <c r="C332" s="1"/>
      <c r="D332" s="1"/>
      <c r="E332" s="1"/>
      <c r="F332" s="1"/>
      <c r="G332" s="1"/>
      <c r="H332" s="1"/>
      <c r="I332" s="1"/>
      <c r="J332" s="1"/>
      <c r="K332" s="1"/>
      <c r="L332" s="1"/>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row>
    <row r="333" spans="1:51" x14ac:dyDescent="0.25">
      <c r="A333" s="1"/>
      <c r="B333" s="1"/>
      <c r="C333" s="1"/>
      <c r="D333" s="1"/>
      <c r="E333" s="1"/>
      <c r="F333" s="1"/>
      <c r="G333" s="1"/>
      <c r="H333" s="1"/>
      <c r="I333" s="1"/>
      <c r="J333" s="1"/>
      <c r="K333" s="1"/>
      <c r="L333" s="1"/>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row>
    <row r="334" spans="1:51" x14ac:dyDescent="0.25">
      <c r="A334" s="1"/>
      <c r="B334" s="1"/>
      <c r="C334" s="1"/>
      <c r="D334" s="1"/>
      <c r="E334" s="1"/>
      <c r="F334" s="1"/>
      <c r="G334" s="1"/>
      <c r="H334" s="1"/>
      <c r="I334" s="1"/>
      <c r="J334" s="1"/>
      <c r="K334" s="1"/>
      <c r="L334" s="1"/>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row>
    <row r="335" spans="1:51" x14ac:dyDescent="0.25">
      <c r="A335" s="1"/>
      <c r="B335" s="1"/>
      <c r="C335" s="1"/>
      <c r="D335" s="1"/>
      <c r="E335" s="1"/>
      <c r="F335" s="1"/>
      <c r="G335" s="1"/>
      <c r="H335" s="1"/>
      <c r="I335" s="1"/>
      <c r="J335" s="1"/>
      <c r="K335" s="1"/>
      <c r="L335" s="1"/>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row>
    <row r="336" spans="1:51" x14ac:dyDescent="0.25">
      <c r="A336" s="1"/>
      <c r="B336" s="1"/>
      <c r="C336" s="1"/>
      <c r="D336" s="1"/>
      <c r="E336" s="1"/>
      <c r="F336" s="1"/>
      <c r="G336" s="1"/>
      <c r="H336" s="1"/>
      <c r="I336" s="1"/>
      <c r="J336" s="1"/>
      <c r="K336" s="1"/>
      <c r="L336" s="1"/>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row>
    <row r="337" spans="1:51" x14ac:dyDescent="0.25">
      <c r="A337" s="1"/>
      <c r="B337" s="1"/>
      <c r="C337" s="1"/>
      <c r="D337" s="1"/>
      <c r="E337" s="1"/>
      <c r="F337" s="1"/>
      <c r="G337" s="1"/>
      <c r="H337" s="1"/>
      <c r="I337" s="1"/>
      <c r="J337" s="1"/>
      <c r="K337" s="1"/>
      <c r="L337" s="1"/>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row>
    <row r="338" spans="1:51" x14ac:dyDescent="0.25">
      <c r="A338" s="1"/>
      <c r="B338" s="1"/>
      <c r="C338" s="1"/>
      <c r="D338" s="1"/>
      <c r="E338" s="1"/>
      <c r="F338" s="1"/>
      <c r="G338" s="1"/>
      <c r="H338" s="1"/>
      <c r="I338" s="1"/>
      <c r="J338" s="1"/>
      <c r="K338" s="1"/>
      <c r="L338" s="1"/>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row>
    <row r="339" spans="1:51" x14ac:dyDescent="0.25">
      <c r="A339" s="1"/>
      <c r="B339" s="1"/>
      <c r="C339" s="1"/>
      <c r="D339" s="1"/>
      <c r="E339" s="1"/>
      <c r="F339" s="1"/>
      <c r="G339" s="1"/>
      <c r="H339" s="1"/>
      <c r="I339" s="1"/>
      <c r="J339" s="1"/>
      <c r="K339" s="1"/>
      <c r="L339" s="1"/>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row>
    <row r="340" spans="1:51" x14ac:dyDescent="0.25">
      <c r="A340" s="1"/>
      <c r="B340" s="1"/>
      <c r="C340" s="1"/>
      <c r="D340" s="1"/>
      <c r="E340" s="1"/>
      <c r="F340" s="1"/>
      <c r="G340" s="1"/>
      <c r="H340" s="1"/>
      <c r="I340" s="1"/>
      <c r="J340" s="1"/>
      <c r="K340" s="1"/>
      <c r="L340" s="1"/>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row>
    <row r="341" spans="1:51" x14ac:dyDescent="0.25">
      <c r="A341" s="1"/>
      <c r="B341" s="1"/>
      <c r="C341" s="1"/>
      <c r="D341" s="1"/>
      <c r="E341" s="1"/>
      <c r="F341" s="1"/>
      <c r="G341" s="1"/>
      <c r="H341" s="1"/>
      <c r="I341" s="1"/>
      <c r="J341" s="1"/>
      <c r="K341" s="1"/>
      <c r="L341" s="1"/>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row>
    <row r="342" spans="1:51" x14ac:dyDescent="0.25">
      <c r="A342" s="1"/>
      <c r="B342" s="1"/>
      <c r="C342" s="1"/>
      <c r="D342" s="1"/>
      <c r="E342" s="1"/>
      <c r="F342" s="1"/>
      <c r="G342" s="1"/>
      <c r="H342" s="1"/>
      <c r="I342" s="1"/>
      <c r="J342" s="1"/>
      <c r="K342" s="1"/>
      <c r="L342" s="1"/>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row>
    <row r="343" spans="1:51" x14ac:dyDescent="0.25">
      <c r="A343" s="1"/>
      <c r="B343" s="1"/>
      <c r="C343" s="1"/>
      <c r="D343" s="1"/>
      <c r="E343" s="1"/>
      <c r="F343" s="1"/>
      <c r="G343" s="1"/>
      <c r="H343" s="1"/>
      <c r="I343" s="1"/>
      <c r="J343" s="1"/>
      <c r="K343" s="1"/>
      <c r="L343" s="1"/>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row>
    <row r="344" spans="1:51" x14ac:dyDescent="0.25">
      <c r="A344" s="1"/>
      <c r="B344" s="1"/>
      <c r="C344" s="1"/>
      <c r="D344" s="1"/>
      <c r="E344" s="1"/>
      <c r="F344" s="1"/>
      <c r="G344" s="1"/>
      <c r="H344" s="1"/>
      <c r="I344" s="1"/>
      <c r="J344" s="1"/>
      <c r="K344" s="1"/>
      <c r="L344" s="1"/>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row>
    <row r="345" spans="1:51" x14ac:dyDescent="0.25">
      <c r="A345" s="1"/>
      <c r="B345" s="1"/>
      <c r="C345" s="1"/>
      <c r="D345" s="1"/>
      <c r="E345" s="1"/>
      <c r="F345" s="1"/>
      <c r="G345" s="1"/>
      <c r="H345" s="1"/>
      <c r="I345" s="1"/>
      <c r="J345" s="1"/>
      <c r="K345" s="1"/>
      <c r="L345" s="1"/>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row>
    <row r="346" spans="1:51" x14ac:dyDescent="0.25">
      <c r="A346" s="1"/>
      <c r="B346" s="1"/>
      <c r="C346" s="1"/>
      <c r="D346" s="1"/>
      <c r="E346" s="1"/>
      <c r="F346" s="1"/>
      <c r="G346" s="1"/>
      <c r="H346" s="1"/>
      <c r="I346" s="1"/>
      <c r="J346" s="1"/>
      <c r="K346" s="1"/>
      <c r="L346" s="1"/>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row>
    <row r="347" spans="1:51" x14ac:dyDescent="0.25">
      <c r="A347" s="1"/>
      <c r="B347" s="1"/>
      <c r="C347" s="1"/>
      <c r="D347" s="1"/>
      <c r="E347" s="1"/>
      <c r="F347" s="1"/>
      <c r="G347" s="1"/>
      <c r="H347" s="1"/>
      <c r="I347" s="1"/>
      <c r="J347" s="1"/>
      <c r="K347" s="1"/>
      <c r="L347" s="1"/>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row>
    <row r="348" spans="1:51" x14ac:dyDescent="0.25">
      <c r="A348" s="1"/>
      <c r="B348" s="1"/>
      <c r="C348" s="1"/>
      <c r="D348" s="1"/>
      <c r="E348" s="1"/>
      <c r="F348" s="1"/>
      <c r="G348" s="1"/>
      <c r="H348" s="1"/>
      <c r="I348" s="1"/>
      <c r="J348" s="1"/>
      <c r="K348" s="1"/>
      <c r="L348" s="1"/>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row>
    <row r="349" spans="1:51" x14ac:dyDescent="0.25">
      <c r="A349" s="1"/>
      <c r="B349" s="1"/>
      <c r="C349" s="1"/>
      <c r="D349" s="1"/>
      <c r="E349" s="1"/>
      <c r="F349" s="1"/>
      <c r="G349" s="1"/>
      <c r="H349" s="1"/>
      <c r="I349" s="1"/>
      <c r="J349" s="1"/>
      <c r="K349" s="1"/>
      <c r="L349" s="1"/>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row>
    <row r="350" spans="1:51" x14ac:dyDescent="0.25">
      <c r="A350" s="1"/>
      <c r="B350" s="1"/>
      <c r="C350" s="1"/>
      <c r="D350" s="1"/>
      <c r="E350" s="1"/>
      <c r="F350" s="1"/>
      <c r="G350" s="1"/>
      <c r="H350" s="1"/>
      <c r="I350" s="1"/>
      <c r="J350" s="1"/>
      <c r="K350" s="1"/>
      <c r="L350" s="1"/>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row>
    <row r="351" spans="1:51" x14ac:dyDescent="0.25">
      <c r="A351" s="1"/>
      <c r="B351" s="1"/>
      <c r="C351" s="1"/>
      <c r="D351" s="1"/>
      <c r="E351" s="1"/>
      <c r="F351" s="1"/>
      <c r="G351" s="1"/>
      <c r="H351" s="1"/>
      <c r="I351" s="1"/>
      <c r="J351" s="1"/>
      <c r="K351" s="1"/>
      <c r="L351" s="1"/>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row>
    <row r="352" spans="1:51" x14ac:dyDescent="0.25">
      <c r="A352" s="1"/>
      <c r="B352" s="1"/>
      <c r="C352" s="1"/>
      <c r="D352" s="1"/>
      <c r="E352" s="1"/>
      <c r="F352" s="1"/>
      <c r="G352" s="1"/>
      <c r="H352" s="1"/>
      <c r="I352" s="1"/>
      <c r="J352" s="1"/>
      <c r="K352" s="1"/>
      <c r="L352" s="1"/>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row>
    <row r="353" spans="1:51" x14ac:dyDescent="0.25">
      <c r="A353" s="1"/>
      <c r="B353" s="1"/>
      <c r="C353" s="1"/>
      <c r="D353" s="1"/>
      <c r="E353" s="1"/>
      <c r="F353" s="1"/>
      <c r="G353" s="1"/>
      <c r="H353" s="1"/>
      <c r="I353" s="1"/>
      <c r="J353" s="1"/>
      <c r="K353" s="1"/>
      <c r="L353" s="1"/>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row>
    <row r="354" spans="1:51" x14ac:dyDescent="0.25">
      <c r="A354" s="1"/>
      <c r="B354" s="1"/>
      <c r="C354" s="1"/>
      <c r="D354" s="1"/>
      <c r="E354" s="1"/>
      <c r="F354" s="1"/>
      <c r="G354" s="1"/>
      <c r="H354" s="1"/>
      <c r="I354" s="1"/>
      <c r="J354" s="1"/>
      <c r="K354" s="1"/>
      <c r="L354" s="1"/>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row>
    <row r="355" spans="1:51" x14ac:dyDescent="0.25">
      <c r="A355" s="1"/>
      <c r="B355" s="1"/>
      <c r="C355" s="1"/>
      <c r="D355" s="1"/>
      <c r="E355" s="1"/>
      <c r="F355" s="1"/>
      <c r="G355" s="1"/>
      <c r="H355" s="1"/>
      <c r="I355" s="1"/>
      <c r="J355" s="1"/>
      <c r="K355" s="1"/>
      <c r="L355" s="1"/>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row>
    <row r="356" spans="1:51" x14ac:dyDescent="0.25">
      <c r="A356" s="1"/>
      <c r="B356" s="1"/>
      <c r="C356" s="1"/>
      <c r="D356" s="1"/>
      <c r="E356" s="1"/>
      <c r="F356" s="1"/>
      <c r="G356" s="1"/>
      <c r="H356" s="1"/>
      <c r="I356" s="1"/>
      <c r="J356" s="1"/>
      <c r="K356" s="1"/>
      <c r="L356" s="1"/>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row>
    <row r="357" spans="1:51" x14ac:dyDescent="0.25">
      <c r="A357" s="1"/>
      <c r="B357" s="1"/>
      <c r="C357" s="1"/>
      <c r="D357" s="1"/>
      <c r="E357" s="1"/>
      <c r="F357" s="1"/>
      <c r="G357" s="1"/>
      <c r="H357" s="1"/>
      <c r="I357" s="1"/>
      <c r="J357" s="1"/>
      <c r="K357" s="1"/>
      <c r="L357" s="1"/>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row>
    <row r="358" spans="1:51" x14ac:dyDescent="0.25">
      <c r="A358" s="1"/>
      <c r="B358" s="1"/>
      <c r="C358" s="1"/>
      <c r="D358" s="1"/>
      <c r="E358" s="1"/>
      <c r="F358" s="1"/>
      <c r="G358" s="1"/>
      <c r="H358" s="1"/>
      <c r="I358" s="1"/>
      <c r="J358" s="1"/>
      <c r="K358" s="1"/>
      <c r="L358" s="1"/>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row>
    <row r="359" spans="1:51" x14ac:dyDescent="0.25">
      <c r="A359" s="1"/>
      <c r="B359" s="1"/>
      <c r="C359" s="1"/>
      <c r="D359" s="1"/>
      <c r="E359" s="1"/>
      <c r="F359" s="1"/>
      <c r="G359" s="1"/>
      <c r="H359" s="1"/>
      <c r="I359" s="1"/>
      <c r="J359" s="1"/>
      <c r="K359" s="1"/>
      <c r="L359" s="1"/>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row>
    <row r="360" spans="1:51" x14ac:dyDescent="0.25">
      <c r="A360" s="1"/>
      <c r="B360" s="1"/>
      <c r="C360" s="1"/>
      <c r="D360" s="1"/>
      <c r="E360" s="1"/>
      <c r="F360" s="1"/>
      <c r="G360" s="1"/>
      <c r="H360" s="1"/>
      <c r="I360" s="1"/>
      <c r="J360" s="1"/>
      <c r="K360" s="1"/>
      <c r="L360" s="1"/>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row>
    <row r="361" spans="1:51" x14ac:dyDescent="0.25">
      <c r="A361" s="1"/>
      <c r="B361" s="1"/>
      <c r="C361" s="1"/>
      <c r="D361" s="1"/>
      <c r="E361" s="1"/>
      <c r="F361" s="1"/>
      <c r="G361" s="1"/>
      <c r="H361" s="1"/>
      <c r="I361" s="1"/>
      <c r="J361" s="1"/>
      <c r="K361" s="1"/>
      <c r="L361" s="1"/>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row>
    <row r="362" spans="1:51" x14ac:dyDescent="0.25">
      <c r="A362" s="1"/>
      <c r="B362" s="1"/>
      <c r="C362" s="1"/>
      <c r="D362" s="1"/>
      <c r="E362" s="1"/>
      <c r="F362" s="1"/>
      <c r="G362" s="1"/>
      <c r="H362" s="1"/>
      <c r="I362" s="1"/>
      <c r="J362" s="1"/>
      <c r="K362" s="1"/>
      <c r="L362" s="1"/>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row>
    <row r="363" spans="1:51" x14ac:dyDescent="0.25">
      <c r="A363" s="1"/>
      <c r="B363" s="1"/>
      <c r="C363" s="1"/>
      <c r="D363" s="1"/>
      <c r="E363" s="1"/>
      <c r="F363" s="1"/>
      <c r="G363" s="1"/>
      <c r="H363" s="1"/>
      <c r="I363" s="1"/>
      <c r="J363" s="1"/>
      <c r="K363" s="1"/>
      <c r="L363" s="1"/>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row>
    <row r="364" spans="1:51" x14ac:dyDescent="0.25">
      <c r="A364" s="1"/>
      <c r="B364" s="1"/>
      <c r="C364" s="1"/>
      <c r="D364" s="1"/>
      <c r="E364" s="1"/>
      <c r="F364" s="1"/>
      <c r="G364" s="1"/>
      <c r="H364" s="1"/>
      <c r="I364" s="1"/>
      <c r="J364" s="1"/>
      <c r="K364" s="1"/>
      <c r="L364" s="1"/>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row>
    <row r="365" spans="1:51" x14ac:dyDescent="0.25">
      <c r="A365" s="1"/>
      <c r="B365" s="1"/>
      <c r="C365" s="1"/>
      <c r="D365" s="1"/>
      <c r="E365" s="1"/>
      <c r="F365" s="1"/>
      <c r="G365" s="1"/>
      <c r="H365" s="1"/>
      <c r="I365" s="1"/>
      <c r="J365" s="1"/>
      <c r="K365" s="1"/>
      <c r="L365" s="1"/>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row>
    <row r="366" spans="1:51" x14ac:dyDescent="0.25">
      <c r="A366" s="1"/>
      <c r="B366" s="1"/>
      <c r="C366" s="1"/>
      <c r="D366" s="1"/>
      <c r="E366" s="1"/>
      <c r="F366" s="1"/>
      <c r="G366" s="1"/>
      <c r="H366" s="1"/>
      <c r="I366" s="1"/>
      <c r="J366" s="1"/>
      <c r="K366" s="1"/>
      <c r="L366" s="1"/>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row>
    <row r="367" spans="1:51" x14ac:dyDescent="0.25">
      <c r="A367" s="1"/>
      <c r="B367" s="1"/>
      <c r="C367" s="1"/>
      <c r="D367" s="1"/>
      <c r="E367" s="1"/>
      <c r="F367" s="1"/>
      <c r="G367" s="1"/>
      <c r="H367" s="1"/>
      <c r="I367" s="1"/>
      <c r="J367" s="1"/>
      <c r="K367" s="1"/>
      <c r="L367" s="1"/>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row>
    <row r="368" spans="1:51" x14ac:dyDescent="0.25">
      <c r="A368" s="1"/>
      <c r="B368" s="1"/>
      <c r="C368" s="1"/>
      <c r="D368" s="1"/>
      <c r="E368" s="1"/>
      <c r="F368" s="1"/>
      <c r="G368" s="1"/>
      <c r="H368" s="1"/>
      <c r="I368" s="1"/>
      <c r="J368" s="1"/>
      <c r="K368" s="1"/>
      <c r="L368" s="1"/>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row>
    <row r="369" spans="1:51" x14ac:dyDescent="0.25">
      <c r="A369" s="1"/>
      <c r="B369" s="1"/>
      <c r="C369" s="1"/>
      <c r="D369" s="1"/>
      <c r="E369" s="1"/>
      <c r="F369" s="1"/>
      <c r="G369" s="1"/>
      <c r="H369" s="1"/>
      <c r="I369" s="1"/>
      <c r="J369" s="1"/>
      <c r="K369" s="1"/>
      <c r="L369" s="1"/>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row>
    <row r="370" spans="1:51" x14ac:dyDescent="0.25">
      <c r="A370" s="1"/>
      <c r="B370" s="1"/>
      <c r="C370" s="1"/>
      <c r="D370" s="1"/>
      <c r="E370" s="1"/>
      <c r="F370" s="1"/>
      <c r="G370" s="1"/>
      <c r="H370" s="1"/>
      <c r="I370" s="1"/>
      <c r="J370" s="1"/>
      <c r="K370" s="1"/>
      <c r="L370" s="1"/>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row>
    <row r="371" spans="1:51" x14ac:dyDescent="0.25">
      <c r="A371" s="1"/>
      <c r="B371" s="1"/>
      <c r="C371" s="1"/>
      <c r="D371" s="1"/>
      <c r="E371" s="1"/>
      <c r="F371" s="1"/>
      <c r="G371" s="1"/>
      <c r="H371" s="1"/>
      <c r="I371" s="1"/>
      <c r="J371" s="1"/>
      <c r="K371" s="1"/>
      <c r="L371" s="1"/>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row>
    <row r="372" spans="1:51" x14ac:dyDescent="0.25">
      <c r="A372" s="1"/>
      <c r="B372" s="1"/>
      <c r="C372" s="1"/>
      <c r="D372" s="1"/>
      <c r="E372" s="1"/>
      <c r="F372" s="1"/>
      <c r="G372" s="1"/>
      <c r="H372" s="1"/>
      <c r="I372" s="1"/>
      <c r="J372" s="1"/>
      <c r="K372" s="1"/>
      <c r="L372" s="1"/>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row>
    <row r="373" spans="1:51" x14ac:dyDescent="0.25">
      <c r="A373" s="1"/>
      <c r="B373" s="1"/>
      <c r="C373" s="1"/>
      <c r="D373" s="1"/>
      <c r="E373" s="1"/>
      <c r="F373" s="1"/>
      <c r="G373" s="1"/>
      <c r="H373" s="1"/>
      <c r="I373" s="1"/>
      <c r="J373" s="1"/>
      <c r="K373" s="1"/>
      <c r="L373" s="1"/>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row>
    <row r="374" spans="1:51" x14ac:dyDescent="0.25">
      <c r="A374" s="1"/>
      <c r="B374" s="1"/>
      <c r="C374" s="1"/>
      <c r="D374" s="1"/>
      <c r="E374" s="1"/>
      <c r="F374" s="1"/>
      <c r="G374" s="1"/>
      <c r="H374" s="1"/>
      <c r="I374" s="1"/>
      <c r="J374" s="1"/>
      <c r="K374" s="1"/>
      <c r="L374" s="1"/>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row>
    <row r="375" spans="1:51" x14ac:dyDescent="0.25">
      <c r="A375" s="1"/>
      <c r="B375" s="1"/>
      <c r="C375" s="1"/>
      <c r="D375" s="1"/>
      <c r="E375" s="1"/>
      <c r="F375" s="1"/>
      <c r="G375" s="1"/>
      <c r="H375" s="1"/>
      <c r="I375" s="1"/>
      <c r="J375" s="1"/>
      <c r="K375" s="1"/>
      <c r="L375" s="1"/>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row>
    <row r="376" spans="1:51" x14ac:dyDescent="0.25">
      <c r="A376" s="1"/>
      <c r="B376" s="1"/>
      <c r="C376" s="1"/>
      <c r="D376" s="1"/>
      <c r="E376" s="1"/>
      <c r="F376" s="1"/>
      <c r="G376" s="1"/>
      <c r="H376" s="1"/>
      <c r="I376" s="1"/>
      <c r="J376" s="1"/>
      <c r="K376" s="1"/>
      <c r="L376" s="1"/>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row>
    <row r="377" spans="1:51" x14ac:dyDescent="0.25">
      <c r="A377" s="1"/>
      <c r="B377" s="1"/>
      <c r="C377" s="1"/>
      <c r="D377" s="1"/>
      <c r="E377" s="1"/>
      <c r="F377" s="1"/>
      <c r="G377" s="1"/>
      <c r="H377" s="1"/>
      <c r="I377" s="1"/>
      <c r="J377" s="1"/>
      <c r="K377" s="1"/>
      <c r="L377" s="1"/>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row>
    <row r="378" spans="1:51" x14ac:dyDescent="0.25">
      <c r="A378" s="1"/>
      <c r="B378" s="1"/>
      <c r="C378" s="1"/>
      <c r="D378" s="1"/>
      <c r="E378" s="1"/>
      <c r="F378" s="1"/>
      <c r="G378" s="1"/>
      <c r="H378" s="1"/>
      <c r="I378" s="1"/>
      <c r="J378" s="1"/>
      <c r="K378" s="1"/>
      <c r="L378" s="1"/>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row>
    <row r="379" spans="1:51" x14ac:dyDescent="0.25">
      <c r="A379" s="1"/>
      <c r="B379" s="1"/>
      <c r="C379" s="1"/>
      <c r="D379" s="1"/>
      <c r="E379" s="1"/>
      <c r="F379" s="1"/>
      <c r="G379" s="1"/>
      <c r="H379" s="1"/>
      <c r="I379" s="1"/>
      <c r="J379" s="1"/>
      <c r="K379" s="1"/>
      <c r="L379" s="1"/>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row>
    <row r="380" spans="1:51" x14ac:dyDescent="0.25">
      <c r="A380" s="1"/>
      <c r="B380" s="1"/>
      <c r="C380" s="1"/>
      <c r="D380" s="1"/>
      <c r="E380" s="1"/>
      <c r="F380" s="1"/>
      <c r="G380" s="1"/>
      <c r="H380" s="1"/>
      <c r="I380" s="1"/>
      <c r="J380" s="1"/>
      <c r="K380" s="1"/>
      <c r="L380" s="1"/>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row>
    <row r="381" spans="1:51" x14ac:dyDescent="0.25">
      <c r="A381" s="1"/>
      <c r="B381" s="1"/>
      <c r="C381" s="1"/>
      <c r="D381" s="1"/>
      <c r="E381" s="1"/>
      <c r="F381" s="1"/>
      <c r="G381" s="1"/>
      <c r="H381" s="1"/>
      <c r="I381" s="1"/>
      <c r="J381" s="1"/>
      <c r="K381" s="1"/>
      <c r="L381" s="1"/>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row>
    <row r="382" spans="1:51" x14ac:dyDescent="0.25">
      <c r="A382" s="1"/>
      <c r="B382" s="1"/>
      <c r="C382" s="1"/>
      <c r="D382" s="1"/>
      <c r="E382" s="1"/>
      <c r="F382" s="1"/>
      <c r="G382" s="1"/>
      <c r="H382" s="1"/>
      <c r="I382" s="1"/>
      <c r="J382" s="1"/>
      <c r="K382" s="1"/>
      <c r="L382" s="1"/>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row>
    <row r="383" spans="1:51" x14ac:dyDescent="0.25">
      <c r="A383" s="1"/>
      <c r="B383" s="1"/>
      <c r="C383" s="1"/>
      <c r="D383" s="1"/>
      <c r="E383" s="1"/>
      <c r="F383" s="1"/>
      <c r="G383" s="1"/>
      <c r="H383" s="1"/>
      <c r="I383" s="1"/>
      <c r="J383" s="1"/>
      <c r="K383" s="1"/>
      <c r="L383" s="1"/>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row>
    <row r="384" spans="1:51" x14ac:dyDescent="0.25">
      <c r="A384" s="1"/>
      <c r="B384" s="1"/>
      <c r="C384" s="1"/>
      <c r="D384" s="1"/>
      <c r="E384" s="1"/>
      <c r="F384" s="1"/>
      <c r="G384" s="1"/>
      <c r="H384" s="1"/>
      <c r="I384" s="1"/>
      <c r="J384" s="1"/>
      <c r="K384" s="1"/>
      <c r="L384" s="1"/>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row>
    <row r="385" spans="1:51" x14ac:dyDescent="0.25">
      <c r="A385" s="1"/>
      <c r="B385" s="1"/>
      <c r="C385" s="1"/>
      <c r="D385" s="1"/>
      <c r="E385" s="1"/>
      <c r="F385" s="1"/>
      <c r="G385" s="1"/>
      <c r="H385" s="1"/>
      <c r="I385" s="1"/>
      <c r="J385" s="1"/>
      <c r="K385" s="1"/>
      <c r="L385" s="1"/>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row>
    <row r="386" spans="1:51" x14ac:dyDescent="0.25">
      <c r="A386" s="1"/>
      <c r="B386" s="1"/>
      <c r="C386" s="1"/>
      <c r="D386" s="1"/>
      <c r="E386" s="1"/>
      <c r="F386" s="1"/>
      <c r="G386" s="1"/>
      <c r="H386" s="1"/>
      <c r="I386" s="1"/>
      <c r="J386" s="1"/>
      <c r="K386" s="1"/>
      <c r="L386" s="1"/>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row>
    <row r="387" spans="1:51" x14ac:dyDescent="0.25">
      <c r="A387" s="1"/>
      <c r="B387" s="1"/>
      <c r="C387" s="1"/>
      <c r="D387" s="1"/>
      <c r="E387" s="1"/>
      <c r="F387" s="1"/>
      <c r="G387" s="1"/>
      <c r="H387" s="1"/>
      <c r="I387" s="1"/>
      <c r="J387" s="1"/>
      <c r="K387" s="1"/>
      <c r="L387" s="1"/>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row>
    <row r="388" spans="1:51" x14ac:dyDescent="0.25">
      <c r="A388" s="1"/>
      <c r="B388" s="1"/>
      <c r="C388" s="1"/>
      <c r="D388" s="1"/>
      <c r="E388" s="1"/>
      <c r="F388" s="1"/>
      <c r="G388" s="1"/>
      <c r="H388" s="1"/>
      <c r="I388" s="1"/>
      <c r="J388" s="1"/>
      <c r="K388" s="1"/>
      <c r="L388" s="1"/>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row>
    <row r="389" spans="1:51" x14ac:dyDescent="0.25">
      <c r="A389" s="1"/>
      <c r="B389" s="1"/>
      <c r="C389" s="1"/>
      <c r="D389" s="1"/>
      <c r="E389" s="1"/>
      <c r="F389" s="1"/>
      <c r="G389" s="1"/>
      <c r="H389" s="1"/>
      <c r="I389" s="1"/>
      <c r="J389" s="1"/>
      <c r="K389" s="1"/>
      <c r="L389" s="1"/>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row>
    <row r="390" spans="1:51" x14ac:dyDescent="0.25">
      <c r="A390" s="1"/>
      <c r="B390" s="1"/>
      <c r="C390" s="1"/>
      <c r="D390" s="1"/>
      <c r="E390" s="1"/>
      <c r="F390" s="1"/>
      <c r="G390" s="1"/>
      <c r="H390" s="1"/>
      <c r="I390" s="1"/>
      <c r="J390" s="1"/>
      <c r="K390" s="1"/>
      <c r="L390" s="1"/>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row>
    <row r="391" spans="1:51" x14ac:dyDescent="0.25">
      <c r="A391" s="1"/>
      <c r="B391" s="1"/>
      <c r="C391" s="1"/>
      <c r="D391" s="1"/>
      <c r="E391" s="1"/>
      <c r="F391" s="1"/>
      <c r="G391" s="1"/>
      <c r="H391" s="1"/>
      <c r="I391" s="1"/>
      <c r="J391" s="1"/>
      <c r="K391" s="1"/>
      <c r="L391" s="1"/>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row>
    <row r="392" spans="1:51" x14ac:dyDescent="0.25">
      <c r="A392" s="1"/>
      <c r="B392" s="1"/>
      <c r="C392" s="1"/>
      <c r="D392" s="1"/>
      <c r="E392" s="1"/>
      <c r="F392" s="1"/>
      <c r="G392" s="1"/>
      <c r="H392" s="1"/>
      <c r="I392" s="1"/>
      <c r="J392" s="1"/>
      <c r="K392" s="1"/>
      <c r="L392" s="1"/>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row>
    <row r="393" spans="1:51" x14ac:dyDescent="0.25">
      <c r="A393" s="1"/>
      <c r="B393" s="1"/>
      <c r="C393" s="1"/>
      <c r="D393" s="1"/>
      <c r="E393" s="1"/>
      <c r="F393" s="1"/>
      <c r="G393" s="1"/>
      <c r="H393" s="1"/>
      <c r="I393" s="1"/>
      <c r="J393" s="1"/>
      <c r="K393" s="1"/>
      <c r="L393" s="1"/>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row>
    <row r="394" spans="1:51" x14ac:dyDescent="0.25">
      <c r="A394" s="1"/>
      <c r="B394" s="1"/>
      <c r="C394" s="1"/>
      <c r="D394" s="1"/>
      <c r="E394" s="1"/>
      <c r="F394" s="1"/>
      <c r="G394" s="1"/>
      <c r="H394" s="1"/>
      <c r="I394" s="1"/>
      <c r="J394" s="1"/>
      <c r="K394" s="1"/>
      <c r="L394" s="1"/>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row>
    <row r="395" spans="1:51" x14ac:dyDescent="0.25">
      <c r="A395" s="1"/>
      <c r="B395" s="1"/>
      <c r="C395" s="1"/>
      <c r="D395" s="1"/>
      <c r="E395" s="1"/>
      <c r="F395" s="1"/>
      <c r="G395" s="1"/>
      <c r="H395" s="1"/>
      <c r="I395" s="1"/>
      <c r="J395" s="1"/>
      <c r="K395" s="1"/>
      <c r="L395" s="1"/>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row>
    <row r="396" spans="1:51" x14ac:dyDescent="0.25">
      <c r="A396" s="1"/>
      <c r="B396" s="1"/>
      <c r="C396" s="1"/>
      <c r="D396" s="1"/>
      <c r="E396" s="1"/>
      <c r="F396" s="1"/>
      <c r="G396" s="1"/>
      <c r="H396" s="1"/>
      <c r="I396" s="1"/>
      <c r="J396" s="1"/>
      <c r="K396" s="1"/>
      <c r="L396" s="1"/>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row>
    <row r="397" spans="1:51" x14ac:dyDescent="0.25">
      <c r="A397" s="1"/>
      <c r="B397" s="1"/>
      <c r="C397" s="1"/>
      <c r="D397" s="1"/>
      <c r="E397" s="1"/>
      <c r="F397" s="1"/>
      <c r="G397" s="1"/>
      <c r="H397" s="1"/>
      <c r="I397" s="1"/>
      <c r="J397" s="1"/>
      <c r="K397" s="1"/>
      <c r="L397" s="1"/>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row>
    <row r="398" spans="1:51" x14ac:dyDescent="0.25">
      <c r="A398" s="1"/>
      <c r="B398" s="1"/>
      <c r="C398" s="1"/>
      <c r="D398" s="1"/>
      <c r="E398" s="1"/>
      <c r="F398" s="1"/>
      <c r="G398" s="1"/>
      <c r="H398" s="1"/>
      <c r="I398" s="1"/>
      <c r="J398" s="1"/>
      <c r="K398" s="1"/>
      <c r="L398" s="1"/>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row>
    <row r="399" spans="1:51" x14ac:dyDescent="0.25">
      <c r="A399" s="1"/>
      <c r="B399" s="1"/>
      <c r="C399" s="1"/>
      <c r="D399" s="1"/>
      <c r="E399" s="1"/>
      <c r="F399" s="1"/>
      <c r="G399" s="1"/>
      <c r="H399" s="1"/>
      <c r="I399" s="1"/>
      <c r="J399" s="1"/>
      <c r="K399" s="1"/>
      <c r="L399" s="1"/>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row>
    <row r="400" spans="1:51" x14ac:dyDescent="0.25">
      <c r="A400" s="1"/>
      <c r="B400" s="1"/>
      <c r="C400" s="1"/>
      <c r="D400" s="1"/>
      <c r="E400" s="1"/>
      <c r="F400" s="1"/>
      <c r="G400" s="1"/>
      <c r="H400" s="1"/>
      <c r="I400" s="1"/>
      <c r="J400" s="1"/>
      <c r="K400" s="1"/>
      <c r="L400" s="1"/>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row>
    <row r="401" spans="1:51" x14ac:dyDescent="0.25">
      <c r="A401" s="1"/>
      <c r="B401" s="1"/>
      <c r="C401" s="1"/>
      <c r="D401" s="1"/>
      <c r="E401" s="1"/>
      <c r="F401" s="1"/>
      <c r="G401" s="1"/>
      <c r="H401" s="1"/>
      <c r="I401" s="1"/>
      <c r="J401" s="1"/>
      <c r="K401" s="1"/>
      <c r="L401" s="1"/>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row>
    <row r="402" spans="1:51" x14ac:dyDescent="0.25">
      <c r="A402" s="1"/>
      <c r="B402" s="1"/>
      <c r="C402" s="1"/>
      <c r="D402" s="1"/>
      <c r="E402" s="1"/>
      <c r="F402" s="1"/>
      <c r="G402" s="1"/>
      <c r="H402" s="1"/>
      <c r="I402" s="1"/>
      <c r="J402" s="1"/>
      <c r="K402" s="1"/>
      <c r="L402" s="1"/>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row>
    <row r="403" spans="1:51" x14ac:dyDescent="0.25">
      <c r="A403" s="1"/>
      <c r="B403" s="1"/>
      <c r="C403" s="1"/>
      <c r="D403" s="1"/>
      <c r="E403" s="1"/>
      <c r="F403" s="1"/>
      <c r="G403" s="1"/>
      <c r="H403" s="1"/>
      <c r="I403" s="1"/>
      <c r="J403" s="1"/>
      <c r="K403" s="1"/>
      <c r="L403" s="1"/>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row>
    <row r="404" spans="1:51" x14ac:dyDescent="0.25">
      <c r="A404" s="1"/>
      <c r="B404" s="1"/>
      <c r="C404" s="1"/>
      <c r="D404" s="1"/>
      <c r="E404" s="1"/>
      <c r="F404" s="1"/>
      <c r="G404" s="1"/>
      <c r="H404" s="1"/>
      <c r="I404" s="1"/>
      <c r="J404" s="1"/>
      <c r="K404" s="1"/>
      <c r="L404" s="1"/>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row>
    <row r="405" spans="1:51" x14ac:dyDescent="0.25">
      <c r="A405" s="1"/>
      <c r="B405" s="1"/>
      <c r="C405" s="1"/>
      <c r="D405" s="1"/>
      <c r="E405" s="1"/>
      <c r="F405" s="1"/>
      <c r="G405" s="1"/>
      <c r="H405" s="1"/>
      <c r="I405" s="1"/>
      <c r="J405" s="1"/>
      <c r="K405" s="1"/>
      <c r="L405" s="1"/>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row>
    <row r="406" spans="1:51" x14ac:dyDescent="0.25">
      <c r="A406" s="1"/>
      <c r="B406" s="1"/>
      <c r="C406" s="1"/>
      <c r="D406" s="1"/>
      <c r="E406" s="1"/>
      <c r="F406" s="1"/>
      <c r="G406" s="1"/>
      <c r="H406" s="1"/>
      <c r="I406" s="1"/>
      <c r="J406" s="1"/>
      <c r="K406" s="1"/>
      <c r="L406" s="1"/>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row>
    <row r="407" spans="1:51" x14ac:dyDescent="0.25">
      <c r="A407" s="1"/>
      <c r="B407" s="1"/>
      <c r="C407" s="1"/>
      <c r="D407" s="1"/>
      <c r="E407" s="1"/>
      <c r="F407" s="1"/>
      <c r="G407" s="1"/>
      <c r="H407" s="1"/>
      <c r="I407" s="1"/>
      <c r="J407" s="1"/>
      <c r="K407" s="1"/>
      <c r="L407" s="1"/>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row>
    <row r="408" spans="1:51" x14ac:dyDescent="0.25">
      <c r="A408" s="1"/>
      <c r="B408" s="1"/>
      <c r="C408" s="1"/>
      <c r="D408" s="1"/>
      <c r="E408" s="1"/>
      <c r="F408" s="1"/>
      <c r="G408" s="1"/>
      <c r="H408" s="1"/>
      <c r="I408" s="1"/>
      <c r="J408" s="1"/>
      <c r="K408" s="1"/>
      <c r="L408" s="1"/>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row>
    <row r="409" spans="1:51" x14ac:dyDescent="0.25">
      <c r="A409" s="1"/>
      <c r="B409" s="1"/>
      <c r="C409" s="1"/>
      <c r="D409" s="1"/>
      <c r="E409" s="1"/>
      <c r="F409" s="1"/>
      <c r="G409" s="1"/>
      <c r="H409" s="1"/>
      <c r="I409" s="1"/>
      <c r="J409" s="1"/>
      <c r="K409" s="1"/>
      <c r="L409" s="1"/>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row>
    <row r="410" spans="1:51" x14ac:dyDescent="0.25">
      <c r="A410" s="1"/>
      <c r="B410" s="1"/>
      <c r="C410" s="1"/>
      <c r="D410" s="1"/>
      <c r="E410" s="1"/>
      <c r="F410" s="1"/>
      <c r="G410" s="1"/>
      <c r="H410" s="1"/>
      <c r="I410" s="1"/>
      <c r="J410" s="1"/>
      <c r="K410" s="1"/>
      <c r="L410" s="1"/>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row>
    <row r="411" spans="1:51" x14ac:dyDescent="0.25">
      <c r="A411" s="1"/>
      <c r="B411" s="1"/>
      <c r="C411" s="1"/>
      <c r="D411" s="1"/>
      <c r="E411" s="1"/>
      <c r="F411" s="1"/>
      <c r="G411" s="1"/>
      <c r="H411" s="1"/>
      <c r="I411" s="1"/>
      <c r="J411" s="1"/>
      <c r="K411" s="1"/>
      <c r="L411" s="1"/>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row>
    <row r="412" spans="1:51" x14ac:dyDescent="0.25">
      <c r="A412" s="1"/>
      <c r="B412" s="1"/>
      <c r="C412" s="1"/>
      <c r="D412" s="1"/>
      <c r="E412" s="1"/>
      <c r="F412" s="1"/>
      <c r="G412" s="1"/>
      <c r="H412" s="1"/>
      <c r="I412" s="1"/>
      <c r="J412" s="1"/>
      <c r="K412" s="1"/>
      <c r="L412" s="1"/>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row>
    <row r="413" spans="1:51" x14ac:dyDescent="0.25">
      <c r="A413" s="1"/>
      <c r="B413" s="1"/>
      <c r="C413" s="1"/>
      <c r="D413" s="1"/>
      <c r="E413" s="1"/>
      <c r="F413" s="1"/>
      <c r="G413" s="1"/>
      <c r="H413" s="1"/>
      <c r="I413" s="1"/>
      <c r="J413" s="1"/>
      <c r="K413" s="1"/>
      <c r="L413" s="1"/>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row>
    <row r="414" spans="1:51" x14ac:dyDescent="0.25">
      <c r="A414" s="1"/>
      <c r="B414" s="1"/>
      <c r="C414" s="1"/>
      <c r="D414" s="1"/>
      <c r="E414" s="1"/>
      <c r="F414" s="1"/>
      <c r="G414" s="1"/>
      <c r="H414" s="1"/>
      <c r="I414" s="1"/>
      <c r="J414" s="1"/>
      <c r="K414" s="1"/>
      <c r="L414" s="1"/>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row>
    <row r="415" spans="1:51" x14ac:dyDescent="0.25">
      <c r="A415" s="1"/>
      <c r="B415" s="1"/>
      <c r="C415" s="1"/>
      <c r="D415" s="1"/>
      <c r="E415" s="1"/>
      <c r="F415" s="1"/>
      <c r="G415" s="1"/>
      <c r="H415" s="1"/>
      <c r="I415" s="1"/>
      <c r="J415" s="1"/>
      <c r="K415" s="1"/>
      <c r="L415" s="1"/>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row>
    <row r="416" spans="1:51" x14ac:dyDescent="0.25">
      <c r="A416" s="1"/>
      <c r="B416" s="1"/>
      <c r="C416" s="1"/>
      <c r="D416" s="1"/>
      <c r="E416" s="1"/>
      <c r="F416" s="1"/>
      <c r="G416" s="1"/>
      <c r="H416" s="1"/>
      <c r="I416" s="1"/>
      <c r="J416" s="1"/>
      <c r="K416" s="1"/>
      <c r="L416" s="1"/>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row>
    <row r="417" spans="1:51" x14ac:dyDescent="0.25">
      <c r="A417" s="1"/>
      <c r="B417" s="1"/>
      <c r="C417" s="1"/>
      <c r="D417" s="1"/>
      <c r="E417" s="1"/>
      <c r="F417" s="1"/>
      <c r="G417" s="1"/>
      <c r="H417" s="1"/>
      <c r="I417" s="1"/>
      <c r="J417" s="1"/>
      <c r="K417" s="1"/>
      <c r="L417" s="1"/>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row>
    <row r="418" spans="1:51" x14ac:dyDescent="0.25">
      <c r="A418" s="1"/>
      <c r="B418" s="1"/>
      <c r="C418" s="1"/>
      <c r="D418" s="1"/>
      <c r="E418" s="1"/>
      <c r="F418" s="1"/>
      <c r="G418" s="1"/>
      <c r="H418" s="1"/>
      <c r="I418" s="1"/>
      <c r="J418" s="1"/>
      <c r="K418" s="1"/>
      <c r="L418" s="1"/>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row>
    <row r="419" spans="1:51" x14ac:dyDescent="0.25">
      <c r="A419" s="1"/>
      <c r="B419" s="1"/>
      <c r="C419" s="1"/>
      <c r="D419" s="1"/>
      <c r="E419" s="1"/>
      <c r="F419" s="1"/>
      <c r="G419" s="1"/>
      <c r="H419" s="1"/>
      <c r="I419" s="1"/>
      <c r="J419" s="1"/>
      <c r="K419" s="1"/>
      <c r="L419" s="1"/>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row>
    <row r="420" spans="1:51" x14ac:dyDescent="0.25">
      <c r="A420" s="1"/>
      <c r="B420" s="1"/>
      <c r="C420" s="1"/>
      <c r="D420" s="1"/>
      <c r="E420" s="1"/>
      <c r="F420" s="1"/>
      <c r="G420" s="1"/>
      <c r="H420" s="1"/>
      <c r="I420" s="1"/>
      <c r="J420" s="1"/>
      <c r="K420" s="1"/>
      <c r="L420" s="1"/>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row>
    <row r="421" spans="1:51" x14ac:dyDescent="0.25">
      <c r="A421" s="1"/>
      <c r="B421" s="1"/>
      <c r="C421" s="1"/>
      <c r="D421" s="1"/>
      <c r="E421" s="1"/>
      <c r="F421" s="1"/>
      <c r="G421" s="1"/>
      <c r="H421" s="1"/>
      <c r="I421" s="1"/>
      <c r="J421" s="1"/>
      <c r="K421" s="1"/>
      <c r="L421" s="1"/>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row>
    <row r="422" spans="1:51" x14ac:dyDescent="0.25">
      <c r="A422" s="1"/>
      <c r="B422" s="1"/>
      <c r="C422" s="1"/>
      <c r="D422" s="1"/>
      <c r="E422" s="1"/>
      <c r="F422" s="1"/>
      <c r="G422" s="1"/>
      <c r="H422" s="1"/>
      <c r="I422" s="1"/>
      <c r="J422" s="1"/>
      <c r="K422" s="1"/>
      <c r="L422" s="1"/>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row>
    <row r="423" spans="1:51" x14ac:dyDescent="0.25">
      <c r="A423" s="1"/>
      <c r="B423" s="1"/>
      <c r="C423" s="1"/>
      <c r="D423" s="1"/>
      <c r="E423" s="1"/>
      <c r="F423" s="1"/>
      <c r="G423" s="1"/>
      <c r="H423" s="1"/>
      <c r="I423" s="1"/>
      <c r="J423" s="1"/>
      <c r="K423" s="1"/>
      <c r="L423" s="1"/>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row>
    <row r="424" spans="1:51" x14ac:dyDescent="0.25">
      <c r="A424" s="1"/>
      <c r="B424" s="1"/>
      <c r="C424" s="1"/>
      <c r="D424" s="1"/>
      <c r="E424" s="1"/>
      <c r="F424" s="1"/>
      <c r="G424" s="1"/>
      <c r="H424" s="1"/>
      <c r="I424" s="1"/>
      <c r="J424" s="1"/>
      <c r="K424" s="1"/>
      <c r="L424" s="1"/>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row>
    <row r="425" spans="1:51" x14ac:dyDescent="0.25">
      <c r="A425" s="1"/>
      <c r="B425" s="1"/>
      <c r="C425" s="1"/>
      <c r="D425" s="1"/>
      <c r="E425" s="1"/>
      <c r="F425" s="1"/>
      <c r="G425" s="1"/>
      <c r="H425" s="1"/>
      <c r="I425" s="1"/>
      <c r="J425" s="1"/>
      <c r="K425" s="1"/>
      <c r="L425" s="1"/>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row>
    <row r="426" spans="1:51" x14ac:dyDescent="0.25">
      <c r="A426" s="1"/>
      <c r="B426" s="1"/>
      <c r="C426" s="1"/>
      <c r="D426" s="1"/>
      <c r="E426" s="1"/>
      <c r="F426" s="1"/>
      <c r="G426" s="1"/>
      <c r="H426" s="1"/>
      <c r="I426" s="1"/>
      <c r="J426" s="1"/>
      <c r="K426" s="1"/>
      <c r="L426" s="1"/>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row>
    <row r="427" spans="1:51" x14ac:dyDescent="0.25">
      <c r="A427" s="1"/>
      <c r="B427" s="1"/>
      <c r="C427" s="1"/>
      <c r="D427" s="1"/>
      <c r="E427" s="1"/>
      <c r="F427" s="1"/>
      <c r="G427" s="1"/>
      <c r="H427" s="1"/>
      <c r="I427" s="1"/>
      <c r="J427" s="1"/>
      <c r="K427" s="1"/>
      <c r="L427" s="1"/>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row>
    <row r="428" spans="1:51" x14ac:dyDescent="0.25">
      <c r="A428" s="1"/>
      <c r="B428" s="1"/>
      <c r="C428" s="1"/>
      <c r="D428" s="1"/>
      <c r="E428" s="1"/>
      <c r="F428" s="1"/>
      <c r="G428" s="1"/>
      <c r="H428" s="1"/>
      <c r="I428" s="1"/>
      <c r="J428" s="1"/>
      <c r="K428" s="1"/>
      <c r="L428" s="1"/>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row>
    <row r="429" spans="1:51" x14ac:dyDescent="0.25">
      <c r="A429" s="1"/>
      <c r="B429" s="1"/>
      <c r="C429" s="1"/>
      <c r="D429" s="1"/>
      <c r="E429" s="1"/>
      <c r="F429" s="1"/>
      <c r="G429" s="1"/>
      <c r="H429" s="1"/>
      <c r="I429" s="1"/>
      <c r="J429" s="1"/>
      <c r="K429" s="1"/>
      <c r="L429" s="1"/>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row>
    <row r="430" spans="1:51" x14ac:dyDescent="0.25">
      <c r="A430" s="1"/>
      <c r="B430" s="1"/>
      <c r="C430" s="1"/>
      <c r="D430" s="1"/>
      <c r="E430" s="1"/>
      <c r="F430" s="1"/>
      <c r="G430" s="1"/>
      <c r="H430" s="1"/>
      <c r="I430" s="1"/>
      <c r="J430" s="1"/>
      <c r="K430" s="1"/>
      <c r="L430" s="1"/>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row>
    <row r="431" spans="1:51" x14ac:dyDescent="0.25">
      <c r="A431" s="1"/>
      <c r="B431" s="1"/>
      <c r="C431" s="1"/>
      <c r="D431" s="1"/>
      <c r="E431" s="1"/>
      <c r="F431" s="1"/>
      <c r="G431" s="1"/>
      <c r="H431" s="1"/>
      <c r="I431" s="1"/>
      <c r="J431" s="1"/>
      <c r="K431" s="1"/>
      <c r="L431" s="1"/>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row>
    <row r="432" spans="1:51" x14ac:dyDescent="0.25">
      <c r="A432" s="1"/>
      <c r="B432" s="1"/>
      <c r="C432" s="1"/>
      <c r="D432" s="1"/>
      <c r="E432" s="1"/>
      <c r="F432" s="1"/>
      <c r="G432" s="1"/>
      <c r="H432" s="1"/>
      <c r="I432" s="1"/>
      <c r="J432" s="1"/>
      <c r="K432" s="1"/>
      <c r="L432" s="1"/>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row>
    <row r="433" spans="1:51" x14ac:dyDescent="0.25">
      <c r="A433" s="1"/>
      <c r="B433" s="1"/>
      <c r="C433" s="1"/>
      <c r="D433" s="1"/>
      <c r="E433" s="1"/>
      <c r="F433" s="1"/>
      <c r="G433" s="1"/>
      <c r="H433" s="1"/>
      <c r="I433" s="1"/>
      <c r="J433" s="1"/>
      <c r="K433" s="1"/>
      <c r="L433" s="1"/>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row>
    <row r="434" spans="1:51" x14ac:dyDescent="0.25">
      <c r="A434" s="1"/>
      <c r="B434" s="1"/>
      <c r="C434" s="1"/>
      <c r="D434" s="1"/>
      <c r="E434" s="1"/>
      <c r="F434" s="1"/>
      <c r="G434" s="1"/>
      <c r="H434" s="1"/>
      <c r="I434" s="1"/>
      <c r="J434" s="1"/>
      <c r="K434" s="1"/>
      <c r="L434" s="1"/>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row>
    <row r="435" spans="1:51" x14ac:dyDescent="0.25">
      <c r="A435" s="1"/>
      <c r="B435" s="1"/>
      <c r="C435" s="1"/>
      <c r="D435" s="1"/>
      <c r="E435" s="1"/>
      <c r="F435" s="1"/>
      <c r="G435" s="1"/>
      <c r="H435" s="1"/>
      <c r="I435" s="1"/>
      <c r="J435" s="1"/>
      <c r="K435" s="1"/>
      <c r="L435" s="1"/>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row>
    <row r="436" spans="1:51" x14ac:dyDescent="0.25">
      <c r="A436" s="1"/>
      <c r="B436" s="1"/>
      <c r="C436" s="1"/>
      <c r="D436" s="1"/>
      <c r="E436" s="1"/>
      <c r="F436" s="1"/>
      <c r="G436" s="1"/>
      <c r="H436" s="1"/>
      <c r="I436" s="1"/>
      <c r="J436" s="1"/>
      <c r="K436" s="1"/>
      <c r="L436" s="1"/>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row>
    <row r="437" spans="1:51" x14ac:dyDescent="0.25">
      <c r="A437" s="1"/>
      <c r="B437" s="1"/>
      <c r="C437" s="1"/>
      <c r="D437" s="1"/>
      <c r="E437" s="1"/>
      <c r="F437" s="1"/>
      <c r="G437" s="1"/>
      <c r="H437" s="1"/>
      <c r="I437" s="1"/>
      <c r="J437" s="1"/>
      <c r="K437" s="1"/>
      <c r="L437" s="1"/>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row>
    <row r="438" spans="1:51" x14ac:dyDescent="0.25">
      <c r="A438" s="1"/>
      <c r="B438" s="1"/>
      <c r="C438" s="1"/>
      <c r="D438" s="1"/>
      <c r="E438" s="1"/>
      <c r="F438" s="1"/>
      <c r="G438" s="1"/>
      <c r="H438" s="1"/>
      <c r="I438" s="1"/>
      <c r="J438" s="1"/>
      <c r="K438" s="1"/>
      <c r="L438" s="1"/>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row>
    <row r="439" spans="1:51" x14ac:dyDescent="0.25">
      <c r="A439" s="1"/>
      <c r="B439" s="1"/>
      <c r="C439" s="1"/>
      <c r="D439" s="1"/>
      <c r="E439" s="1"/>
      <c r="F439" s="1"/>
      <c r="G439" s="1"/>
      <c r="H439" s="1"/>
      <c r="I439" s="1"/>
      <c r="J439" s="1"/>
      <c r="K439" s="1"/>
      <c r="L439" s="1"/>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row>
    <row r="440" spans="1:51" x14ac:dyDescent="0.25">
      <c r="A440" s="1"/>
      <c r="B440" s="1"/>
      <c r="C440" s="1"/>
      <c r="D440" s="1"/>
      <c r="E440" s="1"/>
      <c r="F440" s="1"/>
      <c r="G440" s="1"/>
      <c r="H440" s="1"/>
      <c r="I440" s="1"/>
      <c r="J440" s="1"/>
      <c r="K440" s="1"/>
      <c r="L440" s="1"/>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row>
    <row r="441" spans="1:51" x14ac:dyDescent="0.25">
      <c r="A441" s="1"/>
      <c r="B441" s="1"/>
      <c r="C441" s="1"/>
      <c r="D441" s="1"/>
      <c r="E441" s="1"/>
      <c r="F441" s="1"/>
      <c r="G441" s="1"/>
      <c r="H441" s="1"/>
      <c r="I441" s="1"/>
      <c r="J441" s="1"/>
      <c r="K441" s="1"/>
      <c r="L441" s="1"/>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row>
    <row r="442" spans="1:51" x14ac:dyDescent="0.25">
      <c r="A442" s="1"/>
      <c r="B442" s="1"/>
      <c r="C442" s="1"/>
      <c r="D442" s="1"/>
      <c r="E442" s="1"/>
      <c r="F442" s="1"/>
      <c r="G442" s="1"/>
      <c r="H442" s="1"/>
      <c r="I442" s="1"/>
      <c r="J442" s="1"/>
      <c r="K442" s="1"/>
      <c r="L442" s="1"/>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row>
    <row r="443" spans="1:51" x14ac:dyDescent="0.25">
      <c r="A443" s="1"/>
      <c r="B443" s="1"/>
      <c r="C443" s="1"/>
      <c r="D443" s="1"/>
      <c r="E443" s="1"/>
      <c r="F443" s="1"/>
      <c r="G443" s="1"/>
      <c r="H443" s="1"/>
      <c r="I443" s="1"/>
      <c r="J443" s="1"/>
      <c r="K443" s="1"/>
      <c r="L443" s="1"/>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row>
    <row r="444" spans="1:51" x14ac:dyDescent="0.25">
      <c r="A444" s="1"/>
      <c r="B444" s="1"/>
      <c r="C444" s="1"/>
      <c r="D444" s="1"/>
      <c r="E444" s="1"/>
      <c r="F444" s="1"/>
      <c r="G444" s="1"/>
      <c r="H444" s="1"/>
      <c r="I444" s="1"/>
      <c r="J444" s="1"/>
      <c r="K444" s="1"/>
      <c r="L444" s="1"/>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row>
    <row r="445" spans="1:51" x14ac:dyDescent="0.25">
      <c r="A445" s="1"/>
      <c r="B445" s="1"/>
      <c r="C445" s="1"/>
      <c r="D445" s="1"/>
      <c r="E445" s="1"/>
      <c r="F445" s="1"/>
      <c r="G445" s="1"/>
      <c r="H445" s="1"/>
      <c r="I445" s="1"/>
      <c r="J445" s="1"/>
      <c r="K445" s="1"/>
      <c r="L445" s="1"/>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row>
    <row r="446" spans="1:51" x14ac:dyDescent="0.25">
      <c r="A446" s="1"/>
      <c r="B446" s="1"/>
      <c r="C446" s="1"/>
      <c r="D446" s="1"/>
      <c r="E446" s="1"/>
      <c r="F446" s="1"/>
      <c r="G446" s="1"/>
      <c r="H446" s="1"/>
      <c r="I446" s="1"/>
      <c r="J446" s="1"/>
      <c r="K446" s="1"/>
      <c r="L446" s="1"/>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row>
    <row r="447" spans="1:51" x14ac:dyDescent="0.25">
      <c r="A447" s="1"/>
      <c r="B447" s="1"/>
      <c r="C447" s="1"/>
      <c r="D447" s="1"/>
      <c r="E447" s="1"/>
      <c r="F447" s="1"/>
      <c r="G447" s="1"/>
      <c r="H447" s="1"/>
      <c r="I447" s="1"/>
      <c r="J447" s="1"/>
      <c r="K447" s="1"/>
      <c r="L447" s="1"/>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row>
    <row r="448" spans="1:51" x14ac:dyDescent="0.25">
      <c r="A448" s="1"/>
      <c r="B448" s="1"/>
      <c r="C448" s="1"/>
      <c r="D448" s="1"/>
      <c r="E448" s="1"/>
      <c r="F448" s="1"/>
      <c r="G448" s="1"/>
      <c r="H448" s="1"/>
      <c r="I448" s="1"/>
      <c r="J448" s="1"/>
      <c r="K448" s="1"/>
      <c r="L448" s="1"/>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row>
    <row r="449" spans="1:51" x14ac:dyDescent="0.25">
      <c r="A449" s="1"/>
      <c r="B449" s="1"/>
      <c r="C449" s="1"/>
      <c r="D449" s="1"/>
      <c r="E449" s="1"/>
      <c r="F449" s="1"/>
      <c r="G449" s="1"/>
      <c r="H449" s="1"/>
      <c r="I449" s="1"/>
      <c r="J449" s="1"/>
      <c r="K449" s="1"/>
      <c r="L449" s="1"/>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row>
    <row r="450" spans="1:51" x14ac:dyDescent="0.25">
      <c r="A450" s="1"/>
      <c r="B450" s="1"/>
      <c r="C450" s="1"/>
      <c r="D450" s="1"/>
      <c r="E450" s="1"/>
      <c r="F450" s="1"/>
      <c r="G450" s="1"/>
      <c r="H450" s="1"/>
      <c r="I450" s="1"/>
      <c r="J450" s="1"/>
      <c r="K450" s="1"/>
      <c r="L450" s="1"/>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row>
    <row r="451" spans="1:51" x14ac:dyDescent="0.25">
      <c r="A451" s="1"/>
      <c r="B451" s="1"/>
      <c r="C451" s="1"/>
      <c r="D451" s="1"/>
      <c r="E451" s="1"/>
      <c r="F451" s="1"/>
      <c r="G451" s="1"/>
      <c r="H451" s="1"/>
      <c r="I451" s="1"/>
      <c r="J451" s="1"/>
      <c r="K451" s="1"/>
      <c r="L451" s="1"/>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row>
    <row r="452" spans="1:51" x14ac:dyDescent="0.25">
      <c r="A452" s="1"/>
      <c r="B452" s="1"/>
      <c r="C452" s="1"/>
      <c r="D452" s="1"/>
      <c r="E452" s="1"/>
      <c r="F452" s="1"/>
      <c r="G452" s="1"/>
      <c r="H452" s="1"/>
      <c r="I452" s="1"/>
      <c r="J452" s="1"/>
      <c r="K452" s="1"/>
      <c r="L452" s="1"/>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row>
    <row r="453" spans="1:51" x14ac:dyDescent="0.25">
      <c r="A453" s="1"/>
      <c r="B453" s="1"/>
      <c r="C453" s="1"/>
      <c r="D453" s="1"/>
      <c r="E453" s="1"/>
      <c r="F453" s="1"/>
      <c r="G453" s="1"/>
      <c r="H453" s="1"/>
      <c r="I453" s="1"/>
      <c r="J453" s="1"/>
      <c r="K453" s="1"/>
      <c r="L453" s="1"/>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row>
    <row r="454" spans="1:51" x14ac:dyDescent="0.25">
      <c r="A454" s="1"/>
      <c r="B454" s="1"/>
      <c r="C454" s="1"/>
      <c r="D454" s="1"/>
      <c r="E454" s="1"/>
      <c r="F454" s="1"/>
      <c r="G454" s="1"/>
      <c r="H454" s="1"/>
      <c r="I454" s="1"/>
      <c r="J454" s="1"/>
      <c r="K454" s="1"/>
      <c r="L454" s="1"/>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row>
    <row r="455" spans="1:51" x14ac:dyDescent="0.25">
      <c r="A455" s="1"/>
      <c r="B455" s="1"/>
      <c r="C455" s="1"/>
      <c r="D455" s="1"/>
      <c r="E455" s="1"/>
      <c r="F455" s="1"/>
      <c r="G455" s="1"/>
      <c r="H455" s="1"/>
      <c r="I455" s="1"/>
      <c r="J455" s="1"/>
      <c r="K455" s="1"/>
      <c r="L455" s="1"/>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row>
    <row r="456" spans="1:51" x14ac:dyDescent="0.25">
      <c r="A456" s="1"/>
      <c r="B456" s="1"/>
      <c r="C456" s="1"/>
      <c r="D456" s="1"/>
      <c r="E456" s="1"/>
      <c r="F456" s="1"/>
      <c r="G456" s="1"/>
      <c r="H456" s="1"/>
      <c r="I456" s="1"/>
      <c r="J456" s="1"/>
      <c r="K456" s="1"/>
      <c r="L456" s="1"/>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row>
    <row r="457" spans="1:51" x14ac:dyDescent="0.25">
      <c r="A457" s="1"/>
      <c r="B457" s="1"/>
      <c r="C457" s="1"/>
      <c r="D457" s="1"/>
      <c r="E457" s="1"/>
      <c r="F457" s="1"/>
      <c r="G457" s="1"/>
      <c r="H457" s="1"/>
      <c r="I457" s="1"/>
      <c r="J457" s="1"/>
      <c r="K457" s="1"/>
      <c r="L457" s="1"/>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row>
    <row r="458" spans="1:51" x14ac:dyDescent="0.25">
      <c r="A458" s="1"/>
      <c r="B458" s="1"/>
      <c r="C458" s="1"/>
      <c r="D458" s="1"/>
      <c r="E458" s="1"/>
      <c r="F458" s="1"/>
      <c r="G458" s="1"/>
      <c r="H458" s="1"/>
      <c r="I458" s="1"/>
      <c r="J458" s="1"/>
      <c r="K458" s="1"/>
      <c r="L458" s="1"/>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row>
    <row r="459" spans="1:51" x14ac:dyDescent="0.25">
      <c r="A459" s="1"/>
      <c r="B459" s="1"/>
      <c r="C459" s="1"/>
      <c r="D459" s="1"/>
      <c r="E459" s="1"/>
      <c r="F459" s="1"/>
      <c r="G459" s="1"/>
      <c r="H459" s="1"/>
      <c r="I459" s="1"/>
      <c r="J459" s="1"/>
      <c r="K459" s="1"/>
      <c r="L459" s="1"/>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row>
    <row r="460" spans="1:51" x14ac:dyDescent="0.25">
      <c r="A460" s="1"/>
      <c r="B460" s="1"/>
      <c r="C460" s="1"/>
      <c r="D460" s="1"/>
      <c r="E460" s="1"/>
      <c r="F460" s="1"/>
      <c r="G460" s="1"/>
      <c r="H460" s="1"/>
      <c r="I460" s="1"/>
      <c r="J460" s="1"/>
      <c r="K460" s="1"/>
      <c r="L460" s="1"/>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row>
    <row r="461" spans="1:51" x14ac:dyDescent="0.25">
      <c r="A461" s="1"/>
      <c r="B461" s="1"/>
      <c r="C461" s="1"/>
      <c r="D461" s="1"/>
      <c r="E461" s="1"/>
      <c r="F461" s="1"/>
      <c r="G461" s="1"/>
      <c r="H461" s="1"/>
      <c r="I461" s="1"/>
      <c r="J461" s="1"/>
      <c r="K461" s="1"/>
      <c r="L461" s="1"/>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row>
    <row r="462" spans="1:51" x14ac:dyDescent="0.25">
      <c r="A462" s="1"/>
      <c r="B462" s="1"/>
      <c r="C462" s="1"/>
      <c r="D462" s="1"/>
      <c r="E462" s="1"/>
      <c r="F462" s="1"/>
      <c r="G462" s="1"/>
      <c r="H462" s="1"/>
      <c r="I462" s="1"/>
      <c r="J462" s="1"/>
      <c r="K462" s="1"/>
      <c r="L462" s="1"/>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row>
    <row r="463" spans="1:51" x14ac:dyDescent="0.25">
      <c r="A463" s="1"/>
      <c r="B463" s="1"/>
      <c r="C463" s="1"/>
      <c r="D463" s="1"/>
      <c r="E463" s="1"/>
      <c r="F463" s="1"/>
      <c r="G463" s="1"/>
      <c r="H463" s="1"/>
      <c r="I463" s="1"/>
      <c r="J463" s="1"/>
      <c r="K463" s="1"/>
      <c r="L463" s="1"/>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row>
    <row r="464" spans="1:51" x14ac:dyDescent="0.25">
      <c r="A464" s="1"/>
      <c r="B464" s="1"/>
      <c r="C464" s="1"/>
      <c r="D464" s="1"/>
      <c r="E464" s="1"/>
      <c r="F464" s="1"/>
      <c r="G464" s="1"/>
      <c r="H464" s="1"/>
      <c r="I464" s="1"/>
      <c r="J464" s="1"/>
      <c r="K464" s="1"/>
      <c r="L464" s="1"/>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row>
    <row r="465" spans="1:51" x14ac:dyDescent="0.25">
      <c r="A465" s="1"/>
      <c r="B465" s="1"/>
      <c r="C465" s="1"/>
      <c r="D465" s="1"/>
      <c r="E465" s="1"/>
      <c r="F465" s="1"/>
      <c r="G465" s="1"/>
      <c r="H465" s="1"/>
      <c r="I465" s="1"/>
      <c r="J465" s="1"/>
      <c r="K465" s="1"/>
      <c r="L465" s="1"/>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row>
    <row r="466" spans="1:51" x14ac:dyDescent="0.25">
      <c r="A466" s="1"/>
      <c r="B466" s="1"/>
      <c r="C466" s="1"/>
      <c r="D466" s="1"/>
      <c r="E466" s="1"/>
      <c r="F466" s="1"/>
      <c r="G466" s="1"/>
      <c r="H466" s="1"/>
      <c r="I466" s="1"/>
      <c r="J466" s="1"/>
      <c r="K466" s="1"/>
      <c r="L466" s="1"/>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row>
    <row r="467" spans="1:51" x14ac:dyDescent="0.25">
      <c r="A467" s="1"/>
      <c r="B467" s="1"/>
      <c r="C467" s="1"/>
      <c r="D467" s="1"/>
      <c r="E467" s="1"/>
      <c r="F467" s="1"/>
      <c r="G467" s="1"/>
      <c r="H467" s="1"/>
      <c r="I467" s="1"/>
      <c r="J467" s="1"/>
      <c r="K467" s="1"/>
      <c r="L467" s="1"/>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row>
    <row r="468" spans="1:51" x14ac:dyDescent="0.25">
      <c r="A468" s="1"/>
      <c r="B468" s="1"/>
      <c r="C468" s="1"/>
      <c r="D468" s="1"/>
      <c r="E468" s="1"/>
      <c r="F468" s="1"/>
      <c r="G468" s="1"/>
      <c r="H468" s="1"/>
      <c r="I468" s="1"/>
      <c r="J468" s="1"/>
      <c r="K468" s="1"/>
      <c r="L468" s="1"/>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row>
    <row r="469" spans="1:51" x14ac:dyDescent="0.25">
      <c r="A469" s="1"/>
      <c r="B469" s="1"/>
      <c r="C469" s="1"/>
      <c r="D469" s="1"/>
      <c r="E469" s="1"/>
      <c r="F469" s="1"/>
      <c r="G469" s="1"/>
      <c r="H469" s="1"/>
      <c r="I469" s="1"/>
      <c r="J469" s="1"/>
      <c r="K469" s="1"/>
      <c r="L469" s="1"/>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row>
    <row r="470" spans="1:51" x14ac:dyDescent="0.25">
      <c r="A470" s="1"/>
      <c r="B470" s="1"/>
      <c r="C470" s="1"/>
      <c r="D470" s="1"/>
      <c r="E470" s="1"/>
      <c r="F470" s="1"/>
      <c r="G470" s="1"/>
      <c r="H470" s="1"/>
      <c r="I470" s="1"/>
      <c r="J470" s="1"/>
      <c r="K470" s="1"/>
      <c r="L470" s="1"/>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row>
    <row r="471" spans="1:51" x14ac:dyDescent="0.25">
      <c r="A471" s="1"/>
      <c r="B471" s="1"/>
      <c r="C471" s="1"/>
      <c r="D471" s="1"/>
      <c r="E471" s="1"/>
      <c r="F471" s="1"/>
      <c r="G471" s="1"/>
      <c r="H471" s="1"/>
      <c r="I471" s="1"/>
      <c r="J471" s="1"/>
      <c r="K471" s="1"/>
      <c r="L471" s="1"/>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row>
    <row r="472" spans="1:51" x14ac:dyDescent="0.25">
      <c r="A472" s="1"/>
      <c r="B472" s="1"/>
      <c r="C472" s="1"/>
      <c r="D472" s="1"/>
      <c r="E472" s="1"/>
      <c r="F472" s="1"/>
      <c r="G472" s="1"/>
      <c r="H472" s="1"/>
      <c r="I472" s="1"/>
      <c r="J472" s="1"/>
      <c r="K472" s="1"/>
      <c r="L472" s="1"/>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row>
    <row r="473" spans="1:51" x14ac:dyDescent="0.25">
      <c r="A473" s="1"/>
      <c r="B473" s="1"/>
      <c r="C473" s="1"/>
      <c r="D473" s="1"/>
      <c r="E473" s="1"/>
      <c r="F473" s="1"/>
      <c r="G473" s="1"/>
      <c r="H473" s="1"/>
      <c r="I473" s="1"/>
      <c r="J473" s="1"/>
      <c r="K473" s="1"/>
      <c r="L473" s="1"/>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row>
    <row r="474" spans="1:51" x14ac:dyDescent="0.25">
      <c r="A474" s="1"/>
      <c r="B474" s="1"/>
      <c r="C474" s="1"/>
      <c r="D474" s="1"/>
      <c r="E474" s="1"/>
      <c r="F474" s="1"/>
      <c r="G474" s="1"/>
      <c r="H474" s="1"/>
      <c r="I474" s="1"/>
      <c r="J474" s="1"/>
      <c r="K474" s="1"/>
      <c r="L474" s="1"/>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row>
    <row r="475" spans="1:51" x14ac:dyDescent="0.25">
      <c r="A475" s="1"/>
      <c r="B475" s="1"/>
      <c r="C475" s="1"/>
      <c r="D475" s="1"/>
      <c r="E475" s="1"/>
      <c r="F475" s="1"/>
      <c r="G475" s="1"/>
      <c r="H475" s="1"/>
      <c r="I475" s="1"/>
      <c r="J475" s="1"/>
      <c r="K475" s="1"/>
      <c r="L475" s="1"/>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row>
    <row r="476" spans="1:51" x14ac:dyDescent="0.25">
      <c r="A476" s="1"/>
      <c r="B476" s="1"/>
      <c r="C476" s="1"/>
      <c r="D476" s="1"/>
      <c r="E476" s="1"/>
      <c r="F476" s="1"/>
      <c r="G476" s="1"/>
      <c r="H476" s="1"/>
      <c r="I476" s="1"/>
      <c r="J476" s="1"/>
      <c r="K476" s="1"/>
      <c r="L476" s="1"/>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x14ac:dyDescent="0.25">
      <c r="A477" s="1"/>
      <c r="B477" s="1"/>
      <c r="C477" s="1"/>
      <c r="D477" s="1"/>
      <c r="E477" s="1"/>
      <c r="F477" s="1"/>
      <c r="G477" s="1"/>
      <c r="H477" s="1"/>
      <c r="I477" s="1"/>
      <c r="J477" s="1"/>
      <c r="K477" s="1"/>
      <c r="L477" s="1"/>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x14ac:dyDescent="0.25">
      <c r="A478" s="1"/>
      <c r="B478" s="1"/>
      <c r="C478" s="1"/>
      <c r="D478" s="1"/>
      <c r="E478" s="1"/>
      <c r="F478" s="1"/>
      <c r="G478" s="1"/>
      <c r="H478" s="1"/>
      <c r="I478" s="1"/>
      <c r="J478" s="1"/>
      <c r="K478" s="1"/>
      <c r="L478" s="1"/>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x14ac:dyDescent="0.25">
      <c r="A479" s="1"/>
      <c r="B479" s="1"/>
      <c r="C479" s="1"/>
      <c r="D479" s="1"/>
      <c r="E479" s="1"/>
      <c r="F479" s="1"/>
      <c r="G479" s="1"/>
      <c r="H479" s="1"/>
      <c r="I479" s="1"/>
      <c r="J479" s="1"/>
      <c r="K479" s="1"/>
      <c r="L479" s="1"/>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row>
    <row r="480" spans="1:51" x14ac:dyDescent="0.25">
      <c r="A480" s="1"/>
      <c r="B480" s="1"/>
      <c r="C480" s="1"/>
      <c r="D480" s="1"/>
      <c r="E480" s="1"/>
      <c r="F480" s="1"/>
      <c r="G480" s="1"/>
      <c r="H480" s="1"/>
      <c r="I480" s="1"/>
      <c r="J480" s="1"/>
      <c r="K480" s="1"/>
      <c r="L480" s="1"/>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row>
    <row r="481" spans="1:51" x14ac:dyDescent="0.25">
      <c r="A481" s="1"/>
      <c r="B481" s="1"/>
      <c r="C481" s="1"/>
      <c r="D481" s="1"/>
      <c r="E481" s="1"/>
      <c r="F481" s="1"/>
      <c r="G481" s="1"/>
      <c r="H481" s="1"/>
      <c r="I481" s="1"/>
      <c r="J481" s="1"/>
      <c r="K481" s="1"/>
      <c r="L481" s="1"/>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row>
    <row r="482" spans="1:51" x14ac:dyDescent="0.25">
      <c r="A482" s="1"/>
      <c r="B482" s="1"/>
      <c r="C482" s="1"/>
      <c r="D482" s="1"/>
      <c r="E482" s="1"/>
      <c r="F482" s="1"/>
      <c r="G482" s="1"/>
      <c r="H482" s="1"/>
      <c r="I482" s="1"/>
      <c r="J482" s="1"/>
      <c r="K482" s="1"/>
      <c r="L482" s="1"/>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row>
    <row r="483" spans="1:51" x14ac:dyDescent="0.25">
      <c r="A483" s="1"/>
      <c r="B483" s="1"/>
      <c r="C483" s="1"/>
      <c r="D483" s="1"/>
      <c r="E483" s="1"/>
      <c r="F483" s="1"/>
      <c r="G483" s="1"/>
      <c r="H483" s="1"/>
      <c r="I483" s="1"/>
      <c r="J483" s="1"/>
      <c r="K483" s="1"/>
      <c r="L483" s="1"/>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row>
    <row r="484" spans="1:51" x14ac:dyDescent="0.25">
      <c r="A484" s="1"/>
      <c r="B484" s="1"/>
      <c r="C484" s="1"/>
      <c r="D484" s="1"/>
      <c r="E484" s="1"/>
      <c r="F484" s="1"/>
      <c r="G484" s="1"/>
      <c r="H484" s="1"/>
      <c r="I484" s="1"/>
      <c r="J484" s="1"/>
      <c r="K484" s="1"/>
      <c r="L484" s="1"/>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row>
    <row r="485" spans="1:51" x14ac:dyDescent="0.25">
      <c r="A485" s="1"/>
      <c r="B485" s="1"/>
      <c r="C485" s="1"/>
      <c r="D485" s="1"/>
      <c r="E485" s="1"/>
      <c r="F485" s="1"/>
      <c r="G485" s="1"/>
      <c r="H485" s="1"/>
      <c r="I485" s="1"/>
      <c r="J485" s="1"/>
      <c r="K485" s="1"/>
      <c r="L485" s="1"/>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row>
    <row r="486" spans="1:51" x14ac:dyDescent="0.25">
      <c r="A486" s="1"/>
      <c r="B486" s="1"/>
      <c r="C486" s="1"/>
      <c r="D486" s="1"/>
      <c r="E486" s="1"/>
      <c r="F486" s="1"/>
      <c r="G486" s="1"/>
      <c r="H486" s="1"/>
      <c r="I486" s="1"/>
      <c r="J486" s="1"/>
      <c r="K486" s="1"/>
      <c r="L486" s="1"/>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row>
    <row r="487" spans="1:51" x14ac:dyDescent="0.25">
      <c r="A487" s="1"/>
      <c r="B487" s="1"/>
      <c r="C487" s="1"/>
      <c r="D487" s="1"/>
      <c r="E487" s="1"/>
      <c r="F487" s="1"/>
      <c r="G487" s="1"/>
      <c r="H487" s="1"/>
      <c r="I487" s="1"/>
      <c r="J487" s="1"/>
      <c r="K487" s="1"/>
      <c r="L487" s="1"/>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row>
    <row r="488" spans="1:51" x14ac:dyDescent="0.25">
      <c r="A488" s="1"/>
      <c r="B488" s="1"/>
      <c r="C488" s="1"/>
      <c r="D488" s="1"/>
      <c r="E488" s="1"/>
      <c r="F488" s="1"/>
      <c r="G488" s="1"/>
      <c r="H488" s="1"/>
      <c r="I488" s="1"/>
      <c r="J488" s="1"/>
      <c r="K488" s="1"/>
      <c r="L488" s="1"/>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row>
    <row r="489" spans="1:51" x14ac:dyDescent="0.25">
      <c r="A489" s="1"/>
      <c r="B489" s="1"/>
      <c r="C489" s="1"/>
      <c r="D489" s="1"/>
      <c r="E489" s="1"/>
      <c r="F489" s="1"/>
      <c r="G489" s="1"/>
      <c r="H489" s="1"/>
      <c r="I489" s="1"/>
      <c r="J489" s="1"/>
      <c r="K489" s="1"/>
      <c r="L489" s="1"/>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row>
    <row r="490" spans="1:51" x14ac:dyDescent="0.25">
      <c r="A490" s="1"/>
      <c r="B490" s="1"/>
      <c r="C490" s="1"/>
      <c r="D490" s="1"/>
      <c r="E490" s="1"/>
      <c r="F490" s="1"/>
      <c r="G490" s="1"/>
      <c r="H490" s="1"/>
      <c r="I490" s="1"/>
      <c r="J490" s="1"/>
      <c r="K490" s="1"/>
      <c r="L490" s="1"/>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row>
    <row r="491" spans="1:51" x14ac:dyDescent="0.25">
      <c r="A491" s="1"/>
      <c r="B491" s="1"/>
      <c r="C491" s="1"/>
      <c r="D491" s="1"/>
      <c r="E491" s="1"/>
      <c r="F491" s="1"/>
      <c r="G491" s="1"/>
      <c r="H491" s="1"/>
      <c r="I491" s="1"/>
      <c r="J491" s="1"/>
      <c r="K491" s="1"/>
      <c r="L491" s="1"/>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row>
    <row r="492" spans="1:51" x14ac:dyDescent="0.25">
      <c r="A492" s="1"/>
      <c r="B492" s="1"/>
      <c r="C492" s="1"/>
      <c r="D492" s="1"/>
      <c r="E492" s="1"/>
      <c r="F492" s="1"/>
      <c r="G492" s="1"/>
      <c r="H492" s="1"/>
      <c r="I492" s="1"/>
      <c r="J492" s="1"/>
      <c r="K492" s="1"/>
      <c r="L492" s="1"/>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row>
    <row r="493" spans="1:51" x14ac:dyDescent="0.25">
      <c r="A493" s="1"/>
      <c r="B493" s="1"/>
      <c r="C493" s="1"/>
      <c r="D493" s="1"/>
      <c r="E493" s="1"/>
      <c r="F493" s="1"/>
      <c r="G493" s="1"/>
      <c r="H493" s="1"/>
      <c r="I493" s="1"/>
      <c r="J493" s="1"/>
      <c r="K493" s="1"/>
      <c r="L493" s="1"/>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row>
    <row r="494" spans="1:51" x14ac:dyDescent="0.25">
      <c r="A494" s="1"/>
      <c r="B494" s="1"/>
      <c r="C494" s="1"/>
      <c r="D494" s="1"/>
      <c r="E494" s="1"/>
      <c r="F494" s="1"/>
      <c r="G494" s="1"/>
      <c r="H494" s="1"/>
      <c r="I494" s="1"/>
      <c r="J494" s="1"/>
      <c r="K494" s="1"/>
      <c r="L494" s="1"/>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row>
    <row r="495" spans="1:51" x14ac:dyDescent="0.25">
      <c r="A495" s="1"/>
      <c r="B495" s="1"/>
      <c r="C495" s="1"/>
      <c r="D495" s="1"/>
      <c r="E495" s="1"/>
      <c r="F495" s="1"/>
      <c r="G495" s="1"/>
      <c r="H495" s="1"/>
      <c r="I495" s="1"/>
      <c r="J495" s="1"/>
      <c r="K495" s="1"/>
      <c r="L495" s="1"/>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row>
    <row r="496" spans="1:51" x14ac:dyDescent="0.25">
      <c r="A496" s="1"/>
      <c r="B496" s="1"/>
      <c r="C496" s="1"/>
      <c r="D496" s="1"/>
      <c r="E496" s="1"/>
      <c r="F496" s="1"/>
      <c r="G496" s="1"/>
      <c r="H496" s="1"/>
      <c r="I496" s="1"/>
      <c r="J496" s="1"/>
      <c r="K496" s="1"/>
      <c r="L496" s="1"/>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row>
    <row r="497" spans="1:51" x14ac:dyDescent="0.25">
      <c r="A497" s="1"/>
      <c r="B497" s="1"/>
      <c r="C497" s="1"/>
      <c r="D497" s="1"/>
      <c r="E497" s="1"/>
      <c r="F497" s="1"/>
      <c r="G497" s="1"/>
      <c r="H497" s="1"/>
      <c r="I497" s="1"/>
      <c r="J497" s="1"/>
      <c r="K497" s="1"/>
      <c r="L497" s="1"/>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row>
    <row r="498" spans="1:51" x14ac:dyDescent="0.25">
      <c r="A498" s="1"/>
      <c r="B498" s="1"/>
      <c r="C498" s="1"/>
      <c r="D498" s="1"/>
      <c r="E498" s="1"/>
      <c r="F498" s="1"/>
      <c r="G498" s="1"/>
      <c r="H498" s="1"/>
      <c r="I498" s="1"/>
      <c r="J498" s="1"/>
      <c r="K498" s="1"/>
      <c r="L498" s="1"/>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row>
    <row r="499" spans="1:51" x14ac:dyDescent="0.25">
      <c r="A499" s="1"/>
      <c r="B499" s="1"/>
      <c r="C499" s="1"/>
      <c r="D499" s="1"/>
      <c r="E499" s="1"/>
      <c r="F499" s="1"/>
      <c r="G499" s="1"/>
      <c r="H499" s="1"/>
      <c r="I499" s="1"/>
      <c r="J499" s="1"/>
      <c r="K499" s="1"/>
      <c r="L499" s="1"/>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row>
    <row r="500" spans="1:51" x14ac:dyDescent="0.25">
      <c r="A500" s="1"/>
      <c r="B500" s="1"/>
      <c r="C500" s="1"/>
      <c r="D500" s="1"/>
      <c r="E500" s="1"/>
      <c r="F500" s="1"/>
      <c r="G500" s="1"/>
      <c r="H500" s="1"/>
      <c r="I500" s="1"/>
      <c r="J500" s="1"/>
      <c r="K500" s="1"/>
      <c r="L500" s="1"/>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row>
    <row r="501" spans="1:51" x14ac:dyDescent="0.25">
      <c r="A501" s="1"/>
      <c r="B501" s="1"/>
      <c r="C501" s="1"/>
      <c r="D501" s="1"/>
      <c r="E501" s="1"/>
      <c r="F501" s="1"/>
      <c r="G501" s="1"/>
      <c r="H501" s="1"/>
      <c r="I501" s="1"/>
      <c r="J501" s="1"/>
      <c r="K501" s="1"/>
      <c r="L501" s="1"/>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row>
    <row r="502" spans="1:51" x14ac:dyDescent="0.25">
      <c r="A502" s="1"/>
      <c r="B502" s="1"/>
      <c r="C502" s="1"/>
      <c r="D502" s="1"/>
      <c r="E502" s="1"/>
      <c r="F502" s="1"/>
      <c r="G502" s="1"/>
      <c r="H502" s="1"/>
      <c r="I502" s="1"/>
      <c r="J502" s="1"/>
      <c r="K502" s="1"/>
      <c r="L502" s="1"/>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row>
    <row r="503" spans="1:51" x14ac:dyDescent="0.25">
      <c r="A503" s="1"/>
      <c r="B503" s="1"/>
      <c r="C503" s="1"/>
      <c r="D503" s="1"/>
      <c r="E503" s="1"/>
      <c r="F503" s="1"/>
      <c r="G503" s="1"/>
      <c r="H503" s="1"/>
      <c r="I503" s="1"/>
      <c r="J503" s="1"/>
      <c r="K503" s="1"/>
      <c r="L503" s="1"/>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row>
    <row r="504" spans="1:51" x14ac:dyDescent="0.25">
      <c r="A504" s="1"/>
      <c r="B504" s="1"/>
      <c r="C504" s="1"/>
      <c r="D504" s="1"/>
      <c r="E504" s="1"/>
      <c r="F504" s="1"/>
      <c r="G504" s="1"/>
      <c r="H504" s="1"/>
      <c r="I504" s="1"/>
      <c r="J504" s="1"/>
      <c r="K504" s="1"/>
      <c r="L504" s="1"/>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row>
    <row r="505" spans="1:51" x14ac:dyDescent="0.25">
      <c r="A505" s="1"/>
      <c r="B505" s="1"/>
      <c r="C505" s="1"/>
      <c r="D505" s="1"/>
      <c r="E505" s="1"/>
      <c r="F505" s="1"/>
      <c r="G505" s="1"/>
      <c r="H505" s="1"/>
      <c r="I505" s="1"/>
      <c r="J505" s="1"/>
      <c r="K505" s="1"/>
      <c r="L505" s="1"/>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row>
    <row r="506" spans="1:51" x14ac:dyDescent="0.25">
      <c r="A506" s="1"/>
      <c r="B506" s="1"/>
      <c r="C506" s="1"/>
      <c r="D506" s="1"/>
      <c r="E506" s="1"/>
      <c r="F506" s="1"/>
      <c r="G506" s="1"/>
      <c r="H506" s="1"/>
      <c r="I506" s="1"/>
      <c r="J506" s="1"/>
      <c r="K506" s="1"/>
      <c r="L506" s="1"/>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row>
    <row r="507" spans="1:51" x14ac:dyDescent="0.25">
      <c r="A507" s="1"/>
      <c r="B507" s="1"/>
      <c r="C507" s="1"/>
      <c r="D507" s="1"/>
      <c r="E507" s="1"/>
      <c r="F507" s="1"/>
      <c r="G507" s="1"/>
      <c r="H507" s="1"/>
      <c r="I507" s="1"/>
      <c r="J507" s="1"/>
      <c r="K507" s="1"/>
      <c r="L507" s="1"/>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row>
    <row r="508" spans="1:51" x14ac:dyDescent="0.25">
      <c r="A508" s="1"/>
      <c r="B508" s="1"/>
      <c r="C508" s="1"/>
      <c r="D508" s="1"/>
      <c r="E508" s="1"/>
      <c r="F508" s="1"/>
      <c r="G508" s="1"/>
      <c r="H508" s="1"/>
      <c r="I508" s="1"/>
      <c r="J508" s="1"/>
      <c r="K508" s="1"/>
      <c r="L508" s="1"/>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row>
    <row r="509" spans="1:51" x14ac:dyDescent="0.25">
      <c r="A509" s="1"/>
      <c r="B509" s="1"/>
      <c r="C509" s="1"/>
      <c r="D509" s="1"/>
      <c r="E509" s="1"/>
      <c r="F509" s="1"/>
      <c r="G509" s="1"/>
      <c r="H509" s="1"/>
      <c r="I509" s="1"/>
      <c r="J509" s="1"/>
      <c r="K509" s="1"/>
      <c r="L509" s="1"/>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row>
    <row r="510" spans="1:51" x14ac:dyDescent="0.25">
      <c r="A510" s="1"/>
      <c r="B510" s="1"/>
      <c r="C510" s="1"/>
      <c r="D510" s="1"/>
      <c r="E510" s="1"/>
      <c r="F510" s="1"/>
      <c r="G510" s="1"/>
      <c r="H510" s="1"/>
      <c r="I510" s="1"/>
      <c r="J510" s="1"/>
      <c r="K510" s="1"/>
      <c r="L510" s="1"/>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row>
    <row r="511" spans="1:51" x14ac:dyDescent="0.25">
      <c r="A511" s="1"/>
      <c r="B511" s="1"/>
      <c r="C511" s="1"/>
      <c r="D511" s="1"/>
      <c r="E511" s="1"/>
      <c r="F511" s="1"/>
      <c r="G511" s="1"/>
      <c r="H511" s="1"/>
      <c r="I511" s="1"/>
      <c r="J511" s="1"/>
      <c r="K511" s="1"/>
      <c r="L511" s="1"/>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row>
    <row r="512" spans="1:51" x14ac:dyDescent="0.25">
      <c r="A512" s="1"/>
      <c r="B512" s="1"/>
      <c r="C512" s="1"/>
      <c r="D512" s="1"/>
      <c r="E512" s="1"/>
      <c r="F512" s="1"/>
      <c r="G512" s="1"/>
      <c r="H512" s="1"/>
      <c r="I512" s="1"/>
      <c r="J512" s="1"/>
      <c r="K512" s="1"/>
      <c r="L512" s="1"/>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row>
    <row r="513" spans="1:51" x14ac:dyDescent="0.25">
      <c r="A513" s="1"/>
      <c r="B513" s="1"/>
      <c r="C513" s="1"/>
      <c r="D513" s="1"/>
      <c r="E513" s="1"/>
      <c r="F513" s="1"/>
      <c r="G513" s="1"/>
      <c r="H513" s="1"/>
      <c r="I513" s="1"/>
      <c r="J513" s="1"/>
      <c r="K513" s="1"/>
      <c r="L513" s="1"/>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row>
    <row r="514" spans="1:51" x14ac:dyDescent="0.25">
      <c r="A514" s="1"/>
      <c r="B514" s="1"/>
      <c r="C514" s="1"/>
      <c r="D514" s="1"/>
      <c r="E514" s="1"/>
      <c r="F514" s="1"/>
      <c r="G514" s="1"/>
      <c r="H514" s="1"/>
      <c r="I514" s="1"/>
      <c r="J514" s="1"/>
      <c r="K514" s="1"/>
      <c r="L514" s="1"/>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row>
    <row r="515" spans="1:51" x14ac:dyDescent="0.25">
      <c r="A515" s="1"/>
      <c r="B515" s="1"/>
      <c r="C515" s="1"/>
      <c r="D515" s="1"/>
      <c r="E515" s="1"/>
      <c r="F515" s="1"/>
      <c r="G515" s="1"/>
      <c r="H515" s="1"/>
      <c r="I515" s="1"/>
      <c r="J515" s="1"/>
      <c r="K515" s="1"/>
      <c r="L515" s="1"/>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row>
    <row r="516" spans="1:51" x14ac:dyDescent="0.25">
      <c r="A516" s="1"/>
      <c r="B516" s="1"/>
      <c r="C516" s="1"/>
      <c r="D516" s="1"/>
      <c r="E516" s="1"/>
      <c r="F516" s="1"/>
      <c r="G516" s="1"/>
      <c r="H516" s="1"/>
      <c r="I516" s="1"/>
      <c r="J516" s="1"/>
      <c r="K516" s="1"/>
      <c r="L516" s="1"/>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row>
    <row r="517" spans="1:51" x14ac:dyDescent="0.25">
      <c r="A517" s="1"/>
      <c r="B517" s="1"/>
      <c r="C517" s="1"/>
      <c r="D517" s="1"/>
      <c r="E517" s="1"/>
      <c r="F517" s="1"/>
      <c r="G517" s="1"/>
      <c r="H517" s="1"/>
      <c r="I517" s="1"/>
      <c r="J517" s="1"/>
      <c r="K517" s="1"/>
      <c r="L517" s="1"/>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row>
    <row r="518" spans="1:51" x14ac:dyDescent="0.25">
      <c r="A518" s="1"/>
      <c r="B518" s="1"/>
      <c r="C518" s="1"/>
      <c r="D518" s="1"/>
      <c r="E518" s="1"/>
      <c r="F518" s="1"/>
      <c r="G518" s="1"/>
      <c r="H518" s="1"/>
      <c r="I518" s="1"/>
      <c r="J518" s="1"/>
      <c r="K518" s="1"/>
      <c r="L518" s="1"/>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row>
    <row r="519" spans="1:51" x14ac:dyDescent="0.25">
      <c r="A519" s="1"/>
      <c r="B519" s="1"/>
      <c r="C519" s="1"/>
      <c r="D519" s="1"/>
      <c r="E519" s="1"/>
      <c r="F519" s="1"/>
      <c r="G519" s="1"/>
      <c r="H519" s="1"/>
      <c r="I519" s="1"/>
      <c r="J519" s="1"/>
      <c r="K519" s="1"/>
      <c r="L519" s="1"/>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row>
    <row r="520" spans="1:51" x14ac:dyDescent="0.25">
      <c r="A520" s="1"/>
      <c r="B520" s="1"/>
      <c r="C520" s="1"/>
      <c r="D520" s="1"/>
      <c r="E520" s="1"/>
      <c r="F520" s="1"/>
      <c r="G520" s="1"/>
      <c r="H520" s="1"/>
      <c r="I520" s="1"/>
      <c r="J520" s="1"/>
      <c r="K520" s="1"/>
      <c r="L520" s="1"/>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row>
    <row r="521" spans="1:51" x14ac:dyDescent="0.25">
      <c r="A521" s="1"/>
      <c r="B521" s="1"/>
      <c r="C521" s="1"/>
      <c r="D521" s="1"/>
      <c r="E521" s="1"/>
      <c r="F521" s="1"/>
      <c r="G521" s="1"/>
      <c r="H521" s="1"/>
      <c r="I521" s="1"/>
      <c r="J521" s="1"/>
      <c r="K521" s="1"/>
      <c r="L521" s="1"/>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row>
    <row r="522" spans="1:51" x14ac:dyDescent="0.25">
      <c r="A522" s="1"/>
      <c r="B522" s="1"/>
      <c r="C522" s="1"/>
      <c r="D522" s="1"/>
      <c r="E522" s="1"/>
      <c r="F522" s="1"/>
      <c r="G522" s="1"/>
      <c r="H522" s="1"/>
      <c r="I522" s="1"/>
      <c r="J522" s="1"/>
      <c r="K522" s="1"/>
      <c r="L522" s="1"/>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row>
    <row r="523" spans="1:51" x14ac:dyDescent="0.25">
      <c r="A523" s="1"/>
      <c r="B523" s="1"/>
      <c r="C523" s="1"/>
      <c r="D523" s="1"/>
      <c r="E523" s="1"/>
      <c r="F523" s="1"/>
      <c r="G523" s="1"/>
      <c r="H523" s="1"/>
      <c r="I523" s="1"/>
      <c r="J523" s="1"/>
      <c r="K523" s="1"/>
      <c r="L523" s="1"/>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row>
    <row r="524" spans="1:51" x14ac:dyDescent="0.25">
      <c r="A524" s="1"/>
      <c r="B524" s="1"/>
      <c r="C524" s="1"/>
      <c r="D524" s="1"/>
      <c r="E524" s="1"/>
      <c r="F524" s="1"/>
      <c r="G524" s="1"/>
      <c r="H524" s="1"/>
      <c r="I524" s="1"/>
      <c r="J524" s="1"/>
      <c r="K524" s="1"/>
      <c r="L524" s="1"/>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row>
    <row r="525" spans="1:51" x14ac:dyDescent="0.25">
      <c r="A525" s="1"/>
      <c r="B525" s="1"/>
      <c r="C525" s="1"/>
      <c r="D525" s="1"/>
      <c r="E525" s="1"/>
      <c r="F525" s="1"/>
      <c r="G525" s="1"/>
      <c r="H525" s="1"/>
      <c r="I525" s="1"/>
      <c r="J525" s="1"/>
      <c r="K525" s="1"/>
      <c r="L525" s="1"/>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row>
    <row r="526" spans="1:51" x14ac:dyDescent="0.25">
      <c r="A526" s="1"/>
      <c r="B526" s="1"/>
      <c r="C526" s="1"/>
      <c r="D526" s="1"/>
      <c r="E526" s="1"/>
      <c r="F526" s="1"/>
      <c r="G526" s="1"/>
      <c r="H526" s="1"/>
      <c r="I526" s="1"/>
      <c r="J526" s="1"/>
      <c r="K526" s="1"/>
      <c r="L526" s="1"/>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row>
    <row r="527" spans="1:51" x14ac:dyDescent="0.25">
      <c r="A527" s="1"/>
      <c r="B527" s="1"/>
      <c r="C527" s="1"/>
      <c r="D527" s="1"/>
      <c r="E527" s="1"/>
      <c r="F527" s="1"/>
      <c r="G527" s="1"/>
      <c r="H527" s="1"/>
      <c r="I527" s="1"/>
      <c r="J527" s="1"/>
      <c r="K527" s="1"/>
      <c r="L527" s="1"/>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row>
    <row r="528" spans="1:51" x14ac:dyDescent="0.25">
      <c r="A528" s="1"/>
      <c r="B528" s="1"/>
      <c r="C528" s="1"/>
      <c r="D528" s="1"/>
      <c r="E528" s="1"/>
      <c r="F528" s="1"/>
      <c r="G528" s="1"/>
      <c r="H528" s="1"/>
      <c r="I528" s="1"/>
      <c r="J528" s="1"/>
      <c r="K528" s="1"/>
      <c r="L528" s="1"/>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row>
    <row r="529" spans="1:51" x14ac:dyDescent="0.25">
      <c r="A529" s="1"/>
      <c r="B529" s="1"/>
      <c r="C529" s="1"/>
      <c r="D529" s="1"/>
      <c r="E529" s="1"/>
      <c r="F529" s="1"/>
      <c r="G529" s="1"/>
      <c r="H529" s="1"/>
      <c r="I529" s="1"/>
      <c r="J529" s="1"/>
      <c r="K529" s="1"/>
      <c r="L529" s="1"/>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row>
    <row r="530" spans="1:51" x14ac:dyDescent="0.25">
      <c r="A530" s="1"/>
      <c r="B530" s="1"/>
      <c r="C530" s="1"/>
      <c r="D530" s="1"/>
      <c r="E530" s="1"/>
      <c r="F530" s="1"/>
      <c r="G530" s="1"/>
      <c r="H530" s="1"/>
      <c r="I530" s="1"/>
      <c r="J530" s="1"/>
      <c r="K530" s="1"/>
      <c r="L530" s="1"/>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row>
    <row r="531" spans="1:51" x14ac:dyDescent="0.25">
      <c r="A531" s="1"/>
      <c r="B531" s="1"/>
      <c r="C531" s="1"/>
      <c r="D531" s="1"/>
      <c r="E531" s="1"/>
      <c r="F531" s="1"/>
      <c r="G531" s="1"/>
      <c r="H531" s="1"/>
      <c r="I531" s="1"/>
      <c r="J531" s="1"/>
      <c r="K531" s="1"/>
      <c r="L531" s="1"/>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row>
    <row r="532" spans="1:51" x14ac:dyDescent="0.25">
      <c r="A532" s="1"/>
      <c r="B532" s="1"/>
      <c r="C532" s="1"/>
      <c r="D532" s="1"/>
      <c r="E532" s="1"/>
      <c r="F532" s="1"/>
      <c r="G532" s="1"/>
      <c r="H532" s="1"/>
      <c r="I532" s="1"/>
      <c r="J532" s="1"/>
      <c r="K532" s="1"/>
      <c r="L532" s="1"/>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row>
    <row r="533" spans="1:51" x14ac:dyDescent="0.25">
      <c r="A533" s="1"/>
      <c r="B533" s="1"/>
      <c r="C533" s="1"/>
      <c r="D533" s="1"/>
      <c r="E533" s="1"/>
      <c r="F533" s="1"/>
      <c r="G533" s="1"/>
      <c r="H533" s="1"/>
      <c r="I533" s="1"/>
      <c r="J533" s="1"/>
      <c r="K533" s="1"/>
      <c r="L533" s="1"/>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row>
    <row r="534" spans="1:51" x14ac:dyDescent="0.25">
      <c r="A534" s="1"/>
      <c r="B534" s="1"/>
      <c r="C534" s="1"/>
      <c r="D534" s="1"/>
      <c r="E534" s="1"/>
      <c r="F534" s="1"/>
      <c r="G534" s="1"/>
      <c r="H534" s="1"/>
      <c r="I534" s="1"/>
      <c r="J534" s="1"/>
      <c r="K534" s="1"/>
      <c r="L534" s="1"/>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x14ac:dyDescent="0.25">
      <c r="A535" s="1"/>
      <c r="B535" s="1"/>
      <c r="C535" s="1"/>
      <c r="D535" s="1"/>
      <c r="E535" s="1"/>
      <c r="F535" s="1"/>
      <c r="G535" s="1"/>
      <c r="H535" s="1"/>
      <c r="I535" s="1"/>
      <c r="J535" s="1"/>
      <c r="K535" s="1"/>
      <c r="L535" s="1"/>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x14ac:dyDescent="0.25">
      <c r="A536" s="1"/>
      <c r="B536" s="1"/>
      <c r="C536" s="1"/>
      <c r="D536" s="1"/>
      <c r="E536" s="1"/>
      <c r="F536" s="1"/>
      <c r="G536" s="1"/>
      <c r="H536" s="1"/>
      <c r="I536" s="1"/>
      <c r="J536" s="1"/>
      <c r="K536" s="1"/>
      <c r="L536" s="1"/>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x14ac:dyDescent="0.25">
      <c r="A537" s="1"/>
      <c r="B537" s="1"/>
      <c r="C537" s="1"/>
      <c r="D537" s="1"/>
      <c r="E537" s="1"/>
      <c r="F537" s="1"/>
      <c r="G537" s="1"/>
      <c r="H537" s="1"/>
      <c r="I537" s="1"/>
      <c r="J537" s="1"/>
      <c r="K537" s="1"/>
      <c r="L537" s="1"/>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x14ac:dyDescent="0.25">
      <c r="A538" s="1"/>
      <c r="B538" s="1"/>
      <c r="C538" s="1"/>
      <c r="D538" s="1"/>
      <c r="E538" s="1"/>
      <c r="F538" s="1"/>
      <c r="G538" s="1"/>
      <c r="H538" s="1"/>
      <c r="I538" s="1"/>
      <c r="J538" s="1"/>
      <c r="K538" s="1"/>
      <c r="L538" s="1"/>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x14ac:dyDescent="0.25">
      <c r="A539" s="1"/>
      <c r="B539" s="1"/>
      <c r="C539" s="1"/>
      <c r="D539" s="1"/>
      <c r="E539" s="1"/>
      <c r="F539" s="1"/>
      <c r="G539" s="1"/>
      <c r="H539" s="1"/>
      <c r="I539" s="1"/>
      <c r="J539" s="1"/>
      <c r="K539" s="1"/>
      <c r="L539" s="1"/>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x14ac:dyDescent="0.25">
      <c r="A540" s="1"/>
      <c r="B540" s="1"/>
      <c r="C540" s="1"/>
      <c r="D540" s="1"/>
      <c r="E540" s="1"/>
      <c r="F540" s="1"/>
      <c r="G540" s="1"/>
      <c r="H540" s="1"/>
      <c r="I540" s="1"/>
      <c r="J540" s="1"/>
      <c r="K540" s="1"/>
      <c r="L540" s="1"/>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x14ac:dyDescent="0.25">
      <c r="A541" s="1"/>
      <c r="B541" s="1"/>
      <c r="C541" s="1"/>
      <c r="D541" s="1"/>
      <c r="E541" s="1"/>
      <c r="F541" s="1"/>
      <c r="G541" s="1"/>
      <c r="H541" s="1"/>
      <c r="I541" s="1"/>
      <c r="J541" s="1"/>
      <c r="K541" s="1"/>
      <c r="L541" s="1"/>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x14ac:dyDescent="0.25">
      <c r="A542" s="1"/>
      <c r="B542" s="1"/>
      <c r="C542" s="1"/>
      <c r="D542" s="1"/>
      <c r="E542" s="1"/>
      <c r="F542" s="1"/>
      <c r="G542" s="1"/>
      <c r="H542" s="1"/>
      <c r="I542" s="1"/>
      <c r="J542" s="1"/>
      <c r="K542" s="1"/>
      <c r="L542" s="1"/>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x14ac:dyDescent="0.25">
      <c r="A543" s="1"/>
      <c r="B543" s="1"/>
      <c r="C543" s="1"/>
      <c r="D543" s="1"/>
      <c r="E543" s="1"/>
      <c r="F543" s="1"/>
      <c r="G543" s="1"/>
      <c r="H543" s="1"/>
      <c r="I543" s="1"/>
      <c r="J543" s="1"/>
      <c r="K543" s="1"/>
      <c r="L543" s="1"/>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x14ac:dyDescent="0.25">
      <c r="A544" s="1"/>
      <c r="B544" s="1"/>
      <c r="C544" s="1"/>
      <c r="D544" s="1"/>
      <c r="E544" s="1"/>
      <c r="F544" s="1"/>
      <c r="G544" s="1"/>
      <c r="H544" s="1"/>
      <c r="I544" s="1"/>
      <c r="J544" s="1"/>
      <c r="K544" s="1"/>
      <c r="L544" s="1"/>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x14ac:dyDescent="0.25">
      <c r="A545" s="1"/>
      <c r="B545" s="1"/>
      <c r="C545" s="1"/>
      <c r="D545" s="1"/>
      <c r="E545" s="1"/>
      <c r="F545" s="1"/>
      <c r="G545" s="1"/>
      <c r="H545" s="1"/>
      <c r="I545" s="1"/>
      <c r="J545" s="1"/>
      <c r="K545" s="1"/>
      <c r="L545" s="1"/>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x14ac:dyDescent="0.25">
      <c r="A546" s="1"/>
      <c r="B546" s="1"/>
      <c r="C546" s="1"/>
      <c r="D546" s="1"/>
      <c r="E546" s="1"/>
      <c r="F546" s="1"/>
      <c r="G546" s="1"/>
      <c r="H546" s="1"/>
      <c r="I546" s="1"/>
      <c r="J546" s="1"/>
      <c r="K546" s="1"/>
      <c r="L546" s="1"/>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x14ac:dyDescent="0.25">
      <c r="A547" s="1"/>
      <c r="B547" s="1"/>
      <c r="C547" s="1"/>
      <c r="D547" s="1"/>
      <c r="E547" s="1"/>
      <c r="F547" s="1"/>
      <c r="G547" s="1"/>
      <c r="H547" s="1"/>
      <c r="I547" s="1"/>
      <c r="J547" s="1"/>
      <c r="K547" s="1"/>
      <c r="L547" s="1"/>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x14ac:dyDescent="0.25">
      <c r="A548" s="1"/>
      <c r="B548" s="1"/>
      <c r="C548" s="1"/>
      <c r="D548" s="1"/>
      <c r="E548" s="1"/>
      <c r="F548" s="1"/>
      <c r="G548" s="1"/>
      <c r="H548" s="1"/>
      <c r="I548" s="1"/>
      <c r="J548" s="1"/>
      <c r="K548" s="1"/>
      <c r="L548" s="1"/>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x14ac:dyDescent="0.25">
      <c r="A549" s="1"/>
      <c r="B549" s="1"/>
      <c r="C549" s="1"/>
      <c r="D549" s="1"/>
      <c r="E549" s="1"/>
      <c r="F549" s="1"/>
      <c r="G549" s="1"/>
      <c r="H549" s="1"/>
      <c r="I549" s="1"/>
      <c r="J549" s="1"/>
      <c r="K549" s="1"/>
      <c r="L549" s="1"/>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x14ac:dyDescent="0.25">
      <c r="A550" s="1"/>
      <c r="B550" s="1"/>
      <c r="C550" s="1"/>
      <c r="D550" s="1"/>
      <c r="E550" s="1"/>
      <c r="F550" s="1"/>
      <c r="G550" s="1"/>
      <c r="H550" s="1"/>
      <c r="I550" s="1"/>
      <c r="J550" s="1"/>
      <c r="K550" s="1"/>
      <c r="L550" s="1"/>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x14ac:dyDescent="0.25">
      <c r="A551" s="1"/>
      <c r="B551" s="1"/>
      <c r="C551" s="1"/>
      <c r="D551" s="1"/>
      <c r="E551" s="1"/>
      <c r="F551" s="1"/>
      <c r="G551" s="1"/>
      <c r="H551" s="1"/>
      <c r="I551" s="1"/>
      <c r="J551" s="1"/>
      <c r="K551" s="1"/>
      <c r="L551" s="1"/>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x14ac:dyDescent="0.25">
      <c r="A552" s="1"/>
      <c r="B552" s="1"/>
      <c r="C552" s="1"/>
      <c r="D552" s="1"/>
      <c r="E552" s="1"/>
      <c r="F552" s="1"/>
      <c r="G552" s="1"/>
      <c r="H552" s="1"/>
      <c r="I552" s="1"/>
      <c r="J552" s="1"/>
      <c r="K552" s="1"/>
      <c r="L552" s="1"/>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x14ac:dyDescent="0.25">
      <c r="A553" s="1"/>
      <c r="B553" s="1"/>
      <c r="C553" s="1"/>
      <c r="D553" s="1"/>
      <c r="E553" s="1"/>
      <c r="F553" s="1"/>
      <c r="G553" s="1"/>
      <c r="H553" s="1"/>
      <c r="I553" s="1"/>
      <c r="J553" s="1"/>
      <c r="K553" s="1"/>
      <c r="L553" s="1"/>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x14ac:dyDescent="0.25">
      <c r="A554" s="1"/>
      <c r="B554" s="1"/>
      <c r="C554" s="1"/>
      <c r="D554" s="1"/>
      <c r="E554" s="1"/>
      <c r="F554" s="1"/>
      <c r="G554" s="1"/>
      <c r="H554" s="1"/>
      <c r="I554" s="1"/>
      <c r="J554" s="1"/>
      <c r="K554" s="1"/>
      <c r="L554" s="1"/>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x14ac:dyDescent="0.25">
      <c r="A555" s="1"/>
      <c r="B555" s="1"/>
      <c r="C555" s="1"/>
      <c r="D555" s="1"/>
      <c r="E555" s="1"/>
      <c r="F555" s="1"/>
      <c r="G555" s="1"/>
      <c r="H555" s="1"/>
      <c r="I555" s="1"/>
      <c r="J555" s="1"/>
      <c r="K555" s="1"/>
      <c r="L555" s="1"/>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x14ac:dyDescent="0.25">
      <c r="A556" s="1"/>
      <c r="B556" s="1"/>
      <c r="C556" s="1"/>
      <c r="D556" s="1"/>
      <c r="E556" s="1"/>
      <c r="F556" s="1"/>
      <c r="G556" s="1"/>
      <c r="H556" s="1"/>
      <c r="I556" s="1"/>
      <c r="J556" s="1"/>
      <c r="K556" s="1"/>
      <c r="L556" s="1"/>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row>
    <row r="557" spans="1:51" x14ac:dyDescent="0.25">
      <c r="A557" s="1"/>
      <c r="B557" s="1"/>
      <c r="C557" s="1"/>
      <c r="D557" s="1"/>
      <c r="E557" s="1"/>
      <c r="F557" s="1"/>
      <c r="G557" s="1"/>
      <c r="H557" s="1"/>
      <c r="I557" s="1"/>
      <c r="J557" s="1"/>
      <c r="K557" s="1"/>
      <c r="L557" s="1"/>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row>
    <row r="558" spans="1:51" x14ac:dyDescent="0.25">
      <c r="A558" s="1"/>
      <c r="B558" s="1"/>
      <c r="C558" s="1"/>
      <c r="D558" s="1"/>
      <c r="E558" s="1"/>
      <c r="F558" s="1"/>
      <c r="G558" s="1"/>
      <c r="H558" s="1"/>
      <c r="I558" s="1"/>
      <c r="J558" s="1"/>
      <c r="K558" s="1"/>
      <c r="L558" s="1"/>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x14ac:dyDescent="0.25">
      <c r="A559" s="1"/>
      <c r="B559" s="1"/>
      <c r="C559" s="1"/>
      <c r="D559" s="1"/>
      <c r="E559" s="1"/>
      <c r="F559" s="1"/>
      <c r="G559" s="1"/>
      <c r="H559" s="1"/>
      <c r="I559" s="1"/>
      <c r="J559" s="1"/>
      <c r="K559" s="1"/>
      <c r="L559" s="1"/>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x14ac:dyDescent="0.25">
      <c r="A560" s="1"/>
      <c r="B560" s="1"/>
      <c r="C560" s="1"/>
      <c r="D560" s="1"/>
      <c r="E560" s="1"/>
      <c r="F560" s="1"/>
      <c r="G560" s="1"/>
      <c r="H560" s="1"/>
      <c r="I560" s="1"/>
      <c r="J560" s="1"/>
      <c r="K560" s="1"/>
      <c r="L560" s="1"/>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x14ac:dyDescent="0.25">
      <c r="A561" s="1"/>
      <c r="B561" s="1"/>
      <c r="C561" s="1"/>
      <c r="D561" s="1"/>
      <c r="E561" s="1"/>
      <c r="F561" s="1"/>
      <c r="G561" s="1"/>
      <c r="H561" s="1"/>
      <c r="I561" s="1"/>
      <c r="J561" s="1"/>
      <c r="K561" s="1"/>
      <c r="L561" s="1"/>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x14ac:dyDescent="0.25">
      <c r="A562" s="1"/>
      <c r="B562" s="1"/>
      <c r="C562" s="1"/>
      <c r="D562" s="1"/>
      <c r="E562" s="1"/>
      <c r="F562" s="1"/>
      <c r="G562" s="1"/>
      <c r="H562" s="1"/>
      <c r="I562" s="1"/>
      <c r="J562" s="1"/>
      <c r="K562" s="1"/>
      <c r="L562" s="1"/>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x14ac:dyDescent="0.25">
      <c r="A563" s="1"/>
      <c r="B563" s="1"/>
      <c r="C563" s="1"/>
      <c r="D563" s="1"/>
      <c r="E563" s="1"/>
      <c r="F563" s="1"/>
      <c r="G563" s="1"/>
      <c r="H563" s="1"/>
      <c r="I563" s="1"/>
      <c r="J563" s="1"/>
      <c r="K563" s="1"/>
      <c r="L563" s="1"/>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row>
    <row r="564" spans="1:51" x14ac:dyDescent="0.25">
      <c r="A564" s="1"/>
      <c r="B564" s="1"/>
      <c r="C564" s="1"/>
      <c r="D564" s="1"/>
      <c r="E564" s="1"/>
      <c r="F564" s="1"/>
      <c r="G564" s="1"/>
      <c r="H564" s="1"/>
      <c r="I564" s="1"/>
      <c r="J564" s="1"/>
      <c r="K564" s="1"/>
      <c r="L564" s="1"/>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x14ac:dyDescent="0.25">
      <c r="A565" s="1"/>
      <c r="B565" s="1"/>
      <c r="C565" s="1"/>
      <c r="D565" s="1"/>
      <c r="E565" s="1"/>
      <c r="F565" s="1"/>
      <c r="G565" s="1"/>
      <c r="H565" s="1"/>
      <c r="I565" s="1"/>
      <c r="J565" s="1"/>
      <c r="K565" s="1"/>
      <c r="L565" s="1"/>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x14ac:dyDescent="0.25">
      <c r="A566" s="1"/>
      <c r="B566" s="1"/>
      <c r="C566" s="1"/>
      <c r="D566" s="1"/>
      <c r="E566" s="1"/>
      <c r="F566" s="1"/>
      <c r="G566" s="1"/>
      <c r="H566" s="1"/>
      <c r="I566" s="1"/>
      <c r="J566" s="1"/>
      <c r="K566" s="1"/>
      <c r="L566" s="1"/>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x14ac:dyDescent="0.25">
      <c r="A567" s="1"/>
      <c r="B567" s="1"/>
      <c r="C567" s="1"/>
      <c r="D567" s="1"/>
      <c r="E567" s="1"/>
      <c r="F567" s="1"/>
      <c r="G567" s="1"/>
      <c r="H567" s="1"/>
      <c r="I567" s="1"/>
      <c r="J567" s="1"/>
      <c r="K567" s="1"/>
      <c r="L567" s="1"/>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x14ac:dyDescent="0.25">
      <c r="A568" s="1"/>
      <c r="B568" s="1"/>
      <c r="C568" s="1"/>
      <c r="D568" s="1"/>
      <c r="E568" s="1"/>
      <c r="F568" s="1"/>
      <c r="G568" s="1"/>
      <c r="H568" s="1"/>
      <c r="I568" s="1"/>
      <c r="J568" s="1"/>
      <c r="K568" s="1"/>
      <c r="L568" s="1"/>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x14ac:dyDescent="0.25">
      <c r="A569" s="1"/>
      <c r="B569" s="1"/>
      <c r="C569" s="1"/>
      <c r="D569" s="1"/>
      <c r="E569" s="1"/>
      <c r="F569" s="1"/>
      <c r="G569" s="1"/>
      <c r="H569" s="1"/>
      <c r="I569" s="1"/>
      <c r="J569" s="1"/>
      <c r="K569" s="1"/>
      <c r="L569" s="1"/>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row>
    <row r="570" spans="1:51" x14ac:dyDescent="0.25">
      <c r="A570" s="1"/>
      <c r="B570" s="1"/>
      <c r="C570" s="1"/>
      <c r="D570" s="1"/>
      <c r="E570" s="1"/>
      <c r="F570" s="1"/>
      <c r="G570" s="1"/>
      <c r="H570" s="1"/>
      <c r="I570" s="1"/>
      <c r="J570" s="1"/>
      <c r="K570" s="1"/>
      <c r="L570" s="1"/>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x14ac:dyDescent="0.25">
      <c r="A571" s="1"/>
      <c r="B571" s="1"/>
      <c r="C571" s="1"/>
      <c r="D571" s="1"/>
      <c r="E571" s="1"/>
      <c r="F571" s="1"/>
      <c r="G571" s="1"/>
      <c r="H571" s="1"/>
      <c r="I571" s="1"/>
      <c r="J571" s="1"/>
      <c r="K571" s="1"/>
      <c r="L571" s="1"/>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x14ac:dyDescent="0.25">
      <c r="A572" s="1"/>
      <c r="B572" s="1"/>
      <c r="C572" s="1"/>
      <c r="D572" s="1"/>
      <c r="E572" s="1"/>
      <c r="F572" s="1"/>
      <c r="G572" s="1"/>
      <c r="H572" s="1"/>
      <c r="I572" s="1"/>
      <c r="J572" s="1"/>
      <c r="K572" s="1"/>
      <c r="L572" s="1"/>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x14ac:dyDescent="0.25">
      <c r="A573" s="1"/>
      <c r="B573" s="1"/>
      <c r="C573" s="1"/>
      <c r="D573" s="1"/>
      <c r="E573" s="1"/>
      <c r="F573" s="1"/>
      <c r="G573" s="1"/>
      <c r="H573" s="1"/>
      <c r="I573" s="1"/>
      <c r="J573" s="1"/>
      <c r="K573" s="1"/>
      <c r="L573" s="1"/>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x14ac:dyDescent="0.25">
      <c r="A574" s="1"/>
      <c r="B574" s="1"/>
      <c r="C574" s="1"/>
      <c r="D574" s="1"/>
      <c r="E574" s="1"/>
      <c r="F574" s="1"/>
      <c r="G574" s="1"/>
      <c r="H574" s="1"/>
      <c r="I574" s="1"/>
      <c r="J574" s="1"/>
      <c r="K574" s="1"/>
      <c r="L574" s="1"/>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x14ac:dyDescent="0.25">
      <c r="A575" s="1"/>
      <c r="B575" s="1"/>
      <c r="C575" s="1"/>
      <c r="D575" s="1"/>
      <c r="E575" s="1"/>
      <c r="F575" s="1"/>
      <c r="G575" s="1"/>
      <c r="H575" s="1"/>
      <c r="I575" s="1"/>
      <c r="J575" s="1"/>
      <c r="K575" s="1"/>
      <c r="L575" s="1"/>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row>
    <row r="576" spans="1:51" x14ac:dyDescent="0.25">
      <c r="A576" s="1"/>
      <c r="B576" s="1"/>
      <c r="C576" s="1"/>
      <c r="D576" s="1"/>
      <c r="E576" s="1"/>
      <c r="F576" s="1"/>
      <c r="G576" s="1"/>
      <c r="H576" s="1"/>
      <c r="I576" s="1"/>
      <c r="J576" s="1"/>
      <c r="K576" s="1"/>
      <c r="L576" s="1"/>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x14ac:dyDescent="0.25">
      <c r="A577" s="1"/>
      <c r="B577" s="1"/>
      <c r="C577" s="1"/>
      <c r="D577" s="1"/>
      <c r="E577" s="1"/>
      <c r="F577" s="1"/>
      <c r="G577" s="1"/>
      <c r="H577" s="1"/>
      <c r="I577" s="1"/>
      <c r="J577" s="1"/>
      <c r="K577" s="1"/>
      <c r="L577" s="1"/>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x14ac:dyDescent="0.25">
      <c r="A578" s="1"/>
      <c r="B578" s="1"/>
      <c r="C578" s="1"/>
      <c r="D578" s="1"/>
      <c r="E578" s="1"/>
      <c r="F578" s="1"/>
      <c r="G578" s="1"/>
      <c r="H578" s="1"/>
      <c r="I578" s="1"/>
      <c r="J578" s="1"/>
      <c r="K578" s="1"/>
      <c r="L578" s="1"/>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x14ac:dyDescent="0.25">
      <c r="A579" s="1"/>
      <c r="B579" s="1"/>
      <c r="C579" s="1"/>
      <c r="D579" s="1"/>
      <c r="E579" s="1"/>
      <c r="F579" s="1"/>
      <c r="G579" s="1"/>
      <c r="H579" s="1"/>
      <c r="I579" s="1"/>
      <c r="J579" s="1"/>
      <c r="K579" s="1"/>
      <c r="L579" s="1"/>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x14ac:dyDescent="0.25">
      <c r="A580" s="1"/>
      <c r="B580" s="1"/>
      <c r="C580" s="1"/>
      <c r="D580" s="1"/>
      <c r="E580" s="1"/>
      <c r="F580" s="1"/>
      <c r="G580" s="1"/>
      <c r="H580" s="1"/>
      <c r="I580" s="1"/>
      <c r="J580" s="1"/>
      <c r="K580" s="1"/>
      <c r="L580" s="1"/>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x14ac:dyDescent="0.25">
      <c r="A581" s="1"/>
      <c r="B581" s="1"/>
      <c r="C581" s="1"/>
      <c r="D581" s="1"/>
      <c r="E581" s="1"/>
      <c r="F581" s="1"/>
      <c r="G581" s="1"/>
      <c r="H581" s="1"/>
      <c r="I581" s="1"/>
      <c r="J581" s="1"/>
      <c r="K581" s="1"/>
      <c r="L581" s="1"/>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x14ac:dyDescent="0.25">
      <c r="A582" s="1"/>
      <c r="B582" s="1"/>
      <c r="C582" s="1"/>
      <c r="D582" s="1"/>
      <c r="E582" s="1"/>
      <c r="F582" s="1"/>
      <c r="G582" s="1"/>
      <c r="H582" s="1"/>
      <c r="I582" s="1"/>
      <c r="J582" s="1"/>
      <c r="K582" s="1"/>
      <c r="L582" s="1"/>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x14ac:dyDescent="0.25">
      <c r="A583" s="1"/>
      <c r="B583" s="1"/>
      <c r="C583" s="1"/>
      <c r="D583" s="1"/>
      <c r="E583" s="1"/>
      <c r="F583" s="1"/>
      <c r="G583" s="1"/>
      <c r="H583" s="1"/>
      <c r="I583" s="1"/>
      <c r="J583" s="1"/>
      <c r="K583" s="1"/>
      <c r="L583" s="1"/>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x14ac:dyDescent="0.25">
      <c r="A584" s="1"/>
      <c r="B584" s="1"/>
      <c r="C584" s="1"/>
      <c r="D584" s="1"/>
      <c r="E584" s="1"/>
      <c r="F584" s="1"/>
      <c r="G584" s="1"/>
      <c r="H584" s="1"/>
      <c r="I584" s="1"/>
      <c r="J584" s="1"/>
      <c r="K584" s="1"/>
      <c r="L584" s="1"/>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x14ac:dyDescent="0.25">
      <c r="A585" s="1"/>
      <c r="B585" s="1"/>
      <c r="C585" s="1"/>
      <c r="D585" s="1"/>
      <c r="E585" s="1"/>
      <c r="F585" s="1"/>
      <c r="G585" s="1"/>
      <c r="H585" s="1"/>
      <c r="I585" s="1"/>
      <c r="J585" s="1"/>
      <c r="K585" s="1"/>
      <c r="L585" s="1"/>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x14ac:dyDescent="0.25">
      <c r="A586" s="1"/>
      <c r="B586" s="1"/>
      <c r="C586" s="1"/>
      <c r="D586" s="1"/>
      <c r="E586" s="1"/>
      <c r="F586" s="1"/>
      <c r="G586" s="1"/>
      <c r="H586" s="1"/>
      <c r="I586" s="1"/>
      <c r="J586" s="1"/>
      <c r="K586" s="1"/>
      <c r="L586" s="1"/>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x14ac:dyDescent="0.25">
      <c r="A587" s="1"/>
      <c r="B587" s="1"/>
      <c r="C587" s="1"/>
      <c r="D587" s="1"/>
      <c r="E587" s="1"/>
      <c r="F587" s="1"/>
      <c r="G587" s="1"/>
      <c r="H587" s="1"/>
      <c r="I587" s="1"/>
      <c r="J587" s="1"/>
      <c r="K587" s="1"/>
      <c r="L587" s="1"/>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row>
    <row r="588" spans="1:51" x14ac:dyDescent="0.25">
      <c r="A588" s="1"/>
      <c r="B588" s="1"/>
      <c r="C588" s="1"/>
      <c r="D588" s="1"/>
      <c r="E588" s="1"/>
      <c r="F588" s="1"/>
      <c r="G588" s="1"/>
      <c r="H588" s="1"/>
      <c r="I588" s="1"/>
      <c r="J588" s="1"/>
      <c r="K588" s="1"/>
      <c r="L588" s="1"/>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x14ac:dyDescent="0.25">
      <c r="A589" s="1"/>
      <c r="B589" s="1"/>
      <c r="C589" s="1"/>
      <c r="D589" s="1"/>
      <c r="E589" s="1"/>
      <c r="F589" s="1"/>
      <c r="G589" s="1"/>
      <c r="H589" s="1"/>
      <c r="I589" s="1"/>
      <c r="J589" s="1"/>
      <c r="K589" s="1"/>
      <c r="L589" s="1"/>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x14ac:dyDescent="0.25">
      <c r="A590" s="1"/>
      <c r="B590" s="1"/>
      <c r="C590" s="1"/>
      <c r="D590" s="1"/>
      <c r="E590" s="1"/>
      <c r="F590" s="1"/>
      <c r="G590" s="1"/>
      <c r="H590" s="1"/>
      <c r="I590" s="1"/>
      <c r="J590" s="1"/>
      <c r="K590" s="1"/>
      <c r="L590" s="1"/>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x14ac:dyDescent="0.25">
      <c r="A591" s="1"/>
      <c r="B591" s="1"/>
      <c r="C591" s="1"/>
      <c r="D591" s="1"/>
      <c r="E591" s="1"/>
      <c r="F591" s="1"/>
      <c r="G591" s="1"/>
      <c r="H591" s="1"/>
      <c r="I591" s="1"/>
      <c r="J591" s="1"/>
      <c r="K591" s="1"/>
      <c r="L591" s="1"/>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x14ac:dyDescent="0.25">
      <c r="A592" s="1"/>
      <c r="B592" s="1"/>
      <c r="C592" s="1"/>
      <c r="D592" s="1"/>
      <c r="E592" s="1"/>
      <c r="F592" s="1"/>
      <c r="G592" s="1"/>
      <c r="H592" s="1"/>
      <c r="I592" s="1"/>
      <c r="J592" s="1"/>
      <c r="K592" s="1"/>
      <c r="L592" s="1"/>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x14ac:dyDescent="0.25">
      <c r="A593" s="1"/>
      <c r="B593" s="1"/>
      <c r="C593" s="1"/>
      <c r="D593" s="1"/>
      <c r="E593" s="1"/>
      <c r="F593" s="1"/>
      <c r="G593" s="1"/>
      <c r="H593" s="1"/>
      <c r="I593" s="1"/>
      <c r="J593" s="1"/>
      <c r="K593" s="1"/>
      <c r="L593" s="1"/>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row>
    <row r="594" spans="1:51" x14ac:dyDescent="0.25">
      <c r="A594" s="1"/>
      <c r="B594" s="1"/>
      <c r="C594" s="1"/>
      <c r="D594" s="1"/>
      <c r="E594" s="1"/>
      <c r="F594" s="1"/>
      <c r="G594" s="1"/>
      <c r="H594" s="1"/>
      <c r="I594" s="1"/>
      <c r="J594" s="1"/>
      <c r="K594" s="1"/>
      <c r="L594" s="1"/>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x14ac:dyDescent="0.25">
      <c r="A595" s="1"/>
      <c r="B595" s="1"/>
      <c r="C595" s="1"/>
      <c r="D595" s="1"/>
      <c r="E595" s="1"/>
      <c r="F595" s="1"/>
      <c r="G595" s="1"/>
      <c r="H595" s="1"/>
      <c r="I595" s="1"/>
      <c r="J595" s="1"/>
      <c r="K595" s="1"/>
      <c r="L595" s="1"/>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x14ac:dyDescent="0.25">
      <c r="A596" s="1"/>
      <c r="B596" s="1"/>
      <c r="C596" s="1"/>
      <c r="D596" s="1"/>
      <c r="E596" s="1"/>
      <c r="F596" s="1"/>
      <c r="G596" s="1"/>
      <c r="H596" s="1"/>
      <c r="I596" s="1"/>
      <c r="J596" s="1"/>
      <c r="K596" s="1"/>
      <c r="L596" s="1"/>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x14ac:dyDescent="0.25">
      <c r="A597" s="1"/>
      <c r="B597" s="1"/>
      <c r="C597" s="1"/>
      <c r="D597" s="1"/>
      <c r="E597" s="1"/>
      <c r="F597" s="1"/>
      <c r="G597" s="1"/>
      <c r="H597" s="1"/>
      <c r="I597" s="1"/>
      <c r="J597" s="1"/>
      <c r="K597" s="1"/>
      <c r="L597" s="1"/>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x14ac:dyDescent="0.25">
      <c r="A598" s="1"/>
      <c r="B598" s="1"/>
      <c r="C598" s="1"/>
      <c r="D598" s="1"/>
      <c r="E598" s="1"/>
      <c r="F598" s="1"/>
      <c r="G598" s="1"/>
      <c r="H598" s="1"/>
      <c r="I598" s="1"/>
      <c r="J598" s="1"/>
      <c r="K598" s="1"/>
      <c r="L598" s="1"/>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x14ac:dyDescent="0.25">
      <c r="A599" s="1"/>
      <c r="B599" s="1"/>
      <c r="C599" s="1"/>
      <c r="D599" s="1"/>
      <c r="E599" s="1"/>
      <c r="F599" s="1"/>
      <c r="G599" s="1"/>
      <c r="H599" s="1"/>
      <c r="I599" s="1"/>
      <c r="J599" s="1"/>
      <c r="K599" s="1"/>
      <c r="L599" s="1"/>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row>
    <row r="600" spans="1:51" x14ac:dyDescent="0.25">
      <c r="A600" s="1"/>
      <c r="B600" s="1"/>
      <c r="C600" s="1"/>
      <c r="D600" s="1"/>
      <c r="E600" s="1"/>
      <c r="F600" s="1"/>
      <c r="G600" s="1"/>
      <c r="H600" s="1"/>
      <c r="I600" s="1"/>
      <c r="J600" s="1"/>
      <c r="K600" s="1"/>
      <c r="L600" s="1"/>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x14ac:dyDescent="0.25">
      <c r="A601" s="1"/>
      <c r="B601" s="1"/>
      <c r="C601" s="1"/>
      <c r="D601" s="1"/>
      <c r="E601" s="1"/>
      <c r="F601" s="1"/>
      <c r="G601" s="1"/>
      <c r="H601" s="1"/>
      <c r="I601" s="1"/>
      <c r="J601" s="1"/>
      <c r="K601" s="1"/>
      <c r="L601" s="1"/>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x14ac:dyDescent="0.25">
      <c r="A602" s="1"/>
      <c r="B602" s="1"/>
      <c r="C602" s="1"/>
      <c r="D602" s="1"/>
      <c r="E602" s="1"/>
      <c r="F602" s="1"/>
      <c r="G602" s="1"/>
      <c r="H602" s="1"/>
      <c r="I602" s="1"/>
      <c r="J602" s="1"/>
      <c r="K602" s="1"/>
      <c r="L602" s="1"/>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x14ac:dyDescent="0.25">
      <c r="A603" s="1"/>
      <c r="B603" s="1"/>
      <c r="C603" s="1"/>
      <c r="D603" s="1"/>
      <c r="E603" s="1"/>
      <c r="F603" s="1"/>
      <c r="G603" s="1"/>
      <c r="H603" s="1"/>
      <c r="I603" s="1"/>
      <c r="J603" s="1"/>
      <c r="K603" s="1"/>
      <c r="L603" s="1"/>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x14ac:dyDescent="0.25">
      <c r="A604" s="1"/>
      <c r="B604" s="1"/>
      <c r="C604" s="1"/>
      <c r="D604" s="1"/>
      <c r="E604" s="1"/>
      <c r="F604" s="1"/>
      <c r="G604" s="1"/>
      <c r="H604" s="1"/>
      <c r="I604" s="1"/>
      <c r="J604" s="1"/>
      <c r="K604" s="1"/>
      <c r="L604" s="1"/>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x14ac:dyDescent="0.25">
      <c r="A605" s="1"/>
      <c r="B605" s="1"/>
      <c r="C605" s="1"/>
      <c r="D605" s="1"/>
      <c r="E605" s="1"/>
      <c r="F605" s="1"/>
      <c r="G605" s="1"/>
      <c r="H605" s="1"/>
      <c r="I605" s="1"/>
      <c r="J605" s="1"/>
      <c r="K605" s="1"/>
      <c r="L605" s="1"/>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row>
    <row r="606" spans="1:51" x14ac:dyDescent="0.25">
      <c r="A606" s="1"/>
      <c r="B606" s="1"/>
      <c r="C606" s="1"/>
      <c r="D606" s="1"/>
      <c r="E606" s="1"/>
      <c r="F606" s="1"/>
      <c r="G606" s="1"/>
      <c r="H606" s="1"/>
      <c r="I606" s="1"/>
      <c r="J606" s="1"/>
      <c r="K606" s="1"/>
      <c r="L606" s="1"/>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row>
    <row r="607" spans="1:51" x14ac:dyDescent="0.25">
      <c r="A607" s="1"/>
      <c r="B607" s="1"/>
      <c r="C607" s="1"/>
      <c r="D607" s="1"/>
      <c r="E607" s="1"/>
      <c r="F607" s="1"/>
      <c r="G607" s="1"/>
      <c r="H607" s="1"/>
      <c r="I607" s="1"/>
      <c r="J607" s="1"/>
      <c r="K607" s="1"/>
      <c r="L607" s="1"/>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row>
    <row r="608" spans="1:51" x14ac:dyDescent="0.25">
      <c r="A608" s="1"/>
      <c r="B608" s="1"/>
      <c r="C608" s="1"/>
      <c r="D608" s="1"/>
      <c r="E608" s="1"/>
      <c r="F608" s="1"/>
      <c r="G608" s="1"/>
      <c r="H608" s="1"/>
      <c r="I608" s="1"/>
      <c r="J608" s="1"/>
      <c r="K608" s="1"/>
      <c r="L608" s="1"/>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row>
    <row r="609" spans="1:51" x14ac:dyDescent="0.25">
      <c r="A609" s="1"/>
      <c r="B609" s="1"/>
      <c r="C609" s="1"/>
      <c r="D609" s="1"/>
      <c r="E609" s="1"/>
      <c r="F609" s="1"/>
      <c r="G609" s="1"/>
      <c r="H609" s="1"/>
      <c r="I609" s="1"/>
      <c r="J609" s="1"/>
      <c r="K609" s="1"/>
      <c r="L609" s="1"/>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row>
    <row r="610" spans="1:51" x14ac:dyDescent="0.25">
      <c r="A610" s="1"/>
      <c r="B610" s="1"/>
      <c r="C610" s="1"/>
      <c r="D610" s="1"/>
      <c r="E610" s="1"/>
      <c r="F610" s="1"/>
      <c r="G610" s="1"/>
      <c r="H610" s="1"/>
      <c r="I610" s="1"/>
      <c r="J610" s="1"/>
      <c r="K610" s="1"/>
      <c r="L610" s="1"/>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row>
    <row r="611" spans="1:51" x14ac:dyDescent="0.25">
      <c r="A611" s="1"/>
      <c r="B611" s="1"/>
      <c r="C611" s="1"/>
      <c r="D611" s="1"/>
      <c r="E611" s="1"/>
      <c r="F611" s="1"/>
      <c r="G611" s="1"/>
      <c r="H611" s="1"/>
      <c r="I611" s="1"/>
      <c r="J611" s="1"/>
      <c r="K611" s="1"/>
      <c r="L611" s="1"/>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row>
    <row r="612" spans="1:51" x14ac:dyDescent="0.25">
      <c r="A612" s="1"/>
      <c r="B612" s="1"/>
      <c r="C612" s="1"/>
      <c r="D612" s="1"/>
      <c r="E612" s="1"/>
      <c r="F612" s="1"/>
      <c r="G612" s="1"/>
      <c r="H612" s="1"/>
      <c r="I612" s="1"/>
      <c r="J612" s="1"/>
      <c r="K612" s="1"/>
      <c r="L612" s="1"/>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row>
    <row r="613" spans="1:51" x14ac:dyDescent="0.25">
      <c r="A613" s="1"/>
      <c r="B613" s="1"/>
      <c r="C613" s="1"/>
      <c r="D613" s="1"/>
      <c r="E613" s="1"/>
      <c r="F613" s="1"/>
      <c r="G613" s="1"/>
      <c r="H613" s="1"/>
      <c r="I613" s="1"/>
      <c r="J613" s="1"/>
      <c r="K613" s="1"/>
      <c r="L613" s="1"/>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row>
    <row r="614" spans="1:51" x14ac:dyDescent="0.25">
      <c r="A614" s="1"/>
      <c r="B614" s="1"/>
      <c r="C614" s="1"/>
      <c r="D614" s="1"/>
      <c r="E614" s="1"/>
      <c r="F614" s="1"/>
      <c r="G614" s="1"/>
      <c r="H614" s="1"/>
      <c r="I614" s="1"/>
      <c r="J614" s="1"/>
      <c r="K614" s="1"/>
      <c r="L614" s="1"/>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row>
    <row r="615" spans="1:51" x14ac:dyDescent="0.25">
      <c r="A615" s="1"/>
      <c r="B615" s="1"/>
      <c r="C615" s="1"/>
      <c r="D615" s="1"/>
      <c r="E615" s="1"/>
      <c r="F615" s="1"/>
      <c r="G615" s="1"/>
      <c r="H615" s="1"/>
      <c r="I615" s="1"/>
      <c r="J615" s="1"/>
      <c r="K615" s="1"/>
      <c r="L615" s="1"/>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x14ac:dyDescent="0.25">
      <c r="A616" s="1"/>
      <c r="B616" s="1"/>
      <c r="C616" s="1"/>
      <c r="D616" s="1"/>
      <c r="E616" s="1"/>
      <c r="F616" s="1"/>
      <c r="G616" s="1"/>
      <c r="H616" s="1"/>
      <c r="I616" s="1"/>
      <c r="J616" s="1"/>
      <c r="K616" s="1"/>
      <c r="L616" s="1"/>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x14ac:dyDescent="0.25">
      <c r="A617" s="1"/>
      <c r="B617" s="1"/>
      <c r="C617" s="1"/>
      <c r="D617" s="1"/>
      <c r="E617" s="1"/>
      <c r="F617" s="1"/>
      <c r="G617" s="1"/>
      <c r="H617" s="1"/>
      <c r="I617" s="1"/>
      <c r="J617" s="1"/>
      <c r="K617" s="1"/>
      <c r="L617" s="1"/>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x14ac:dyDescent="0.25">
      <c r="A618" s="1"/>
      <c r="B618" s="1"/>
      <c r="C618" s="1"/>
      <c r="D618" s="1"/>
      <c r="E618" s="1"/>
      <c r="F618" s="1"/>
      <c r="G618" s="1"/>
      <c r="H618" s="1"/>
      <c r="I618" s="1"/>
      <c r="J618" s="1"/>
      <c r="K618" s="1"/>
      <c r="L618" s="1"/>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x14ac:dyDescent="0.25">
      <c r="A619" s="1"/>
      <c r="B619" s="1"/>
      <c r="C619" s="1"/>
      <c r="D619" s="1"/>
      <c r="E619" s="1"/>
      <c r="F619" s="1"/>
      <c r="G619" s="1"/>
      <c r="H619" s="1"/>
      <c r="I619" s="1"/>
      <c r="J619" s="1"/>
      <c r="K619" s="1"/>
      <c r="L619" s="1"/>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x14ac:dyDescent="0.25">
      <c r="A620" s="1"/>
      <c r="B620" s="1"/>
      <c r="C620" s="1"/>
      <c r="D620" s="1"/>
      <c r="E620" s="1"/>
      <c r="F620" s="1"/>
      <c r="G620" s="1"/>
      <c r="H620" s="1"/>
      <c r="I620" s="1"/>
      <c r="J620" s="1"/>
      <c r="K620" s="1"/>
      <c r="L620" s="1"/>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x14ac:dyDescent="0.25">
      <c r="A621" s="1"/>
      <c r="B621" s="1"/>
      <c r="C621" s="1"/>
      <c r="D621" s="1"/>
      <c r="E621" s="1"/>
      <c r="F621" s="1"/>
      <c r="G621" s="1"/>
      <c r="H621" s="1"/>
      <c r="I621" s="1"/>
      <c r="J621" s="1"/>
      <c r="K621" s="1"/>
      <c r="L621" s="1"/>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x14ac:dyDescent="0.25">
      <c r="A622" s="1"/>
      <c r="B622" s="1"/>
      <c r="C622" s="1"/>
      <c r="D622" s="1"/>
      <c r="E622" s="1"/>
      <c r="F622" s="1"/>
      <c r="G622" s="1"/>
      <c r="H622" s="1"/>
      <c r="I622" s="1"/>
      <c r="J622" s="1"/>
      <c r="K622" s="1"/>
      <c r="L622" s="1"/>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x14ac:dyDescent="0.25">
      <c r="A623" s="1"/>
      <c r="B623" s="1"/>
      <c r="C623" s="1"/>
      <c r="D623" s="1"/>
      <c r="E623" s="1"/>
      <c r="F623" s="1"/>
      <c r="G623" s="1"/>
      <c r="H623" s="1"/>
      <c r="I623" s="1"/>
      <c r="J623" s="1"/>
      <c r="K623" s="1"/>
      <c r="L623" s="1"/>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x14ac:dyDescent="0.25">
      <c r="A624" s="1"/>
      <c r="B624" s="1"/>
      <c r="C624" s="1"/>
      <c r="D624" s="1"/>
      <c r="E624" s="1"/>
      <c r="F624" s="1"/>
      <c r="G624" s="1"/>
      <c r="H624" s="1"/>
      <c r="I624" s="1"/>
      <c r="J624" s="1"/>
      <c r="K624" s="1"/>
      <c r="L624" s="1"/>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x14ac:dyDescent="0.25">
      <c r="A625" s="1"/>
      <c r="B625" s="1"/>
      <c r="C625" s="1"/>
      <c r="D625" s="1"/>
      <c r="E625" s="1"/>
      <c r="F625" s="1"/>
      <c r="G625" s="1"/>
      <c r="H625" s="1"/>
      <c r="I625" s="1"/>
      <c r="J625" s="1"/>
      <c r="K625" s="1"/>
      <c r="L625" s="1"/>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x14ac:dyDescent="0.25">
      <c r="A626" s="1"/>
      <c r="B626" s="1"/>
      <c r="C626" s="1"/>
      <c r="D626" s="1"/>
      <c r="E626" s="1"/>
      <c r="F626" s="1"/>
      <c r="G626" s="1"/>
      <c r="H626" s="1"/>
      <c r="I626" s="1"/>
      <c r="J626" s="1"/>
      <c r="K626" s="1"/>
      <c r="L626" s="1"/>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x14ac:dyDescent="0.25">
      <c r="A627" s="1"/>
      <c r="B627" s="1"/>
      <c r="C627" s="1"/>
      <c r="D627" s="1"/>
      <c r="E627" s="1"/>
      <c r="F627" s="1"/>
      <c r="G627" s="1"/>
      <c r="H627" s="1"/>
      <c r="I627" s="1"/>
      <c r="J627" s="1"/>
      <c r="K627" s="1"/>
      <c r="L627" s="1"/>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x14ac:dyDescent="0.25">
      <c r="A628" s="1"/>
      <c r="B628" s="1"/>
      <c r="C628" s="1"/>
      <c r="D628" s="1"/>
      <c r="E628" s="1"/>
      <c r="F628" s="1"/>
      <c r="G628" s="1"/>
      <c r="H628" s="1"/>
      <c r="I628" s="1"/>
      <c r="J628" s="1"/>
      <c r="K628" s="1"/>
      <c r="L628" s="1"/>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x14ac:dyDescent="0.25">
      <c r="A629" s="1"/>
      <c r="B629" s="1"/>
      <c r="C629" s="1"/>
      <c r="D629" s="1"/>
      <c r="E629" s="1"/>
      <c r="F629" s="1"/>
      <c r="G629" s="1"/>
      <c r="H629" s="1"/>
      <c r="I629" s="1"/>
      <c r="J629" s="1"/>
      <c r="K629" s="1"/>
      <c r="L629" s="1"/>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x14ac:dyDescent="0.25">
      <c r="A630" s="1"/>
      <c r="B630" s="1"/>
      <c r="C630" s="1"/>
      <c r="D630" s="1"/>
      <c r="E630" s="1"/>
      <c r="F630" s="1"/>
      <c r="G630" s="1"/>
      <c r="H630" s="1"/>
      <c r="I630" s="1"/>
      <c r="J630" s="1"/>
      <c r="K630" s="1"/>
      <c r="L630" s="1"/>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x14ac:dyDescent="0.25">
      <c r="A631" s="1"/>
      <c r="B631" s="1"/>
      <c r="C631" s="1"/>
      <c r="D631" s="1"/>
      <c r="E631" s="1"/>
      <c r="F631" s="1"/>
      <c r="G631" s="1"/>
      <c r="H631" s="1"/>
      <c r="I631" s="1"/>
      <c r="J631" s="1"/>
      <c r="K631" s="1"/>
      <c r="L631" s="1"/>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x14ac:dyDescent="0.25">
      <c r="A632" s="1"/>
      <c r="B632" s="1"/>
      <c r="C632" s="1"/>
      <c r="D632" s="1"/>
      <c r="E632" s="1"/>
      <c r="F632" s="1"/>
      <c r="G632" s="1"/>
      <c r="H632" s="1"/>
      <c r="I632" s="1"/>
      <c r="J632" s="1"/>
      <c r="K632" s="1"/>
      <c r="L632" s="1"/>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x14ac:dyDescent="0.25">
      <c r="A633" s="1"/>
      <c r="B633" s="1"/>
      <c r="C633" s="1"/>
      <c r="D633" s="1"/>
      <c r="E633" s="1"/>
      <c r="F633" s="1"/>
      <c r="G633" s="1"/>
      <c r="H633" s="1"/>
      <c r="I633" s="1"/>
      <c r="J633" s="1"/>
      <c r="K633" s="1"/>
      <c r="L633" s="1"/>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x14ac:dyDescent="0.25">
      <c r="A634" s="1"/>
      <c r="B634" s="1"/>
      <c r="C634" s="1"/>
      <c r="D634" s="1"/>
      <c r="E634" s="1"/>
      <c r="F634" s="1"/>
      <c r="G634" s="1"/>
      <c r="H634" s="1"/>
      <c r="I634" s="1"/>
      <c r="J634" s="1"/>
      <c r="K634" s="1"/>
      <c r="L634" s="1"/>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x14ac:dyDescent="0.25">
      <c r="A635" s="1"/>
      <c r="B635" s="1"/>
      <c r="C635" s="1"/>
      <c r="D635" s="1"/>
      <c r="E635" s="1"/>
      <c r="F635" s="1"/>
      <c r="G635" s="1"/>
      <c r="H635" s="1"/>
      <c r="I635" s="1"/>
      <c r="J635" s="1"/>
      <c r="K635" s="1"/>
      <c r="L635" s="1"/>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x14ac:dyDescent="0.25">
      <c r="A636" s="1"/>
      <c r="B636" s="1"/>
      <c r="C636" s="1"/>
      <c r="D636" s="1"/>
      <c r="E636" s="1"/>
      <c r="F636" s="1"/>
      <c r="G636" s="1"/>
      <c r="H636" s="1"/>
      <c r="I636" s="1"/>
      <c r="J636" s="1"/>
      <c r="K636" s="1"/>
      <c r="L636" s="1"/>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x14ac:dyDescent="0.25">
      <c r="A637" s="1"/>
      <c r="B637" s="1"/>
      <c r="C637" s="1"/>
      <c r="D637" s="1"/>
      <c r="E637" s="1"/>
      <c r="F637" s="1"/>
      <c r="G637" s="1"/>
      <c r="H637" s="1"/>
      <c r="I637" s="1"/>
      <c r="J637" s="1"/>
      <c r="K637" s="1"/>
      <c r="L637" s="1"/>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x14ac:dyDescent="0.25">
      <c r="A638" s="1"/>
      <c r="B638" s="1"/>
      <c r="C638" s="1"/>
      <c r="D638" s="1"/>
      <c r="E638" s="1"/>
      <c r="F638" s="1"/>
      <c r="G638" s="1"/>
      <c r="H638" s="1"/>
      <c r="I638" s="1"/>
      <c r="J638" s="1"/>
      <c r="K638" s="1"/>
      <c r="L638" s="1"/>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x14ac:dyDescent="0.25">
      <c r="A639" s="1"/>
      <c r="B639" s="1"/>
      <c r="C639" s="1"/>
      <c r="D639" s="1"/>
      <c r="E639" s="1"/>
      <c r="F639" s="1"/>
      <c r="G639" s="1"/>
      <c r="H639" s="1"/>
      <c r="I639" s="1"/>
      <c r="J639" s="1"/>
      <c r="K639" s="1"/>
      <c r="L639" s="1"/>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x14ac:dyDescent="0.25">
      <c r="A640" s="1"/>
      <c r="B640" s="1"/>
      <c r="C640" s="1"/>
      <c r="D640" s="1"/>
      <c r="E640" s="1"/>
      <c r="F640" s="1"/>
      <c r="G640" s="1"/>
      <c r="H640" s="1"/>
      <c r="I640" s="1"/>
      <c r="J640" s="1"/>
      <c r="K640" s="1"/>
      <c r="L640" s="1"/>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x14ac:dyDescent="0.25">
      <c r="A641" s="1"/>
      <c r="B641" s="1"/>
      <c r="C641" s="1"/>
      <c r="D641" s="1"/>
      <c r="E641" s="1"/>
      <c r="F641" s="1"/>
      <c r="G641" s="1"/>
      <c r="H641" s="1"/>
      <c r="I641" s="1"/>
      <c r="J641" s="1"/>
      <c r="K641" s="1"/>
      <c r="L641" s="1"/>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x14ac:dyDescent="0.25">
      <c r="A642" s="1"/>
      <c r="B642" s="1"/>
      <c r="C642" s="1"/>
      <c r="D642" s="1"/>
      <c r="E642" s="1"/>
      <c r="F642" s="1"/>
      <c r="G642" s="1"/>
      <c r="H642" s="1"/>
      <c r="I642" s="1"/>
      <c r="J642" s="1"/>
      <c r="K642" s="1"/>
      <c r="L642" s="1"/>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x14ac:dyDescent="0.25">
      <c r="A643" s="1"/>
      <c r="B643" s="1"/>
      <c r="C643" s="1"/>
      <c r="D643" s="1"/>
      <c r="E643" s="1"/>
      <c r="F643" s="1"/>
      <c r="G643" s="1"/>
      <c r="H643" s="1"/>
      <c r="I643" s="1"/>
      <c r="J643" s="1"/>
      <c r="K643" s="1"/>
      <c r="L643" s="1"/>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x14ac:dyDescent="0.25">
      <c r="A644" s="1"/>
      <c r="B644" s="1"/>
      <c r="C644" s="1"/>
      <c r="D644" s="1"/>
      <c r="E644" s="1"/>
      <c r="F644" s="1"/>
      <c r="G644" s="1"/>
      <c r="H644" s="1"/>
      <c r="I644" s="1"/>
      <c r="J644" s="1"/>
      <c r="K644" s="1"/>
      <c r="L644" s="1"/>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x14ac:dyDescent="0.25">
      <c r="A645" s="1"/>
      <c r="B645" s="1"/>
      <c r="C645" s="1"/>
      <c r="D645" s="1"/>
      <c r="E645" s="1"/>
      <c r="F645" s="1"/>
      <c r="G645" s="1"/>
      <c r="H645" s="1"/>
      <c r="I645" s="1"/>
      <c r="J645" s="1"/>
      <c r="K645" s="1"/>
      <c r="L645" s="1"/>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x14ac:dyDescent="0.25">
      <c r="A646" s="1"/>
      <c r="B646" s="1"/>
      <c r="C646" s="1"/>
      <c r="D646" s="1"/>
      <c r="E646" s="1"/>
      <c r="F646" s="1"/>
      <c r="G646" s="1"/>
      <c r="H646" s="1"/>
      <c r="I646" s="1"/>
      <c r="J646" s="1"/>
      <c r="K646" s="1"/>
      <c r="L646" s="1"/>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x14ac:dyDescent="0.25">
      <c r="A647" s="1"/>
      <c r="B647" s="1"/>
      <c r="C647" s="1"/>
      <c r="D647" s="1"/>
      <c r="E647" s="1"/>
      <c r="F647" s="1"/>
      <c r="G647" s="1"/>
      <c r="H647" s="1"/>
      <c r="I647" s="1"/>
      <c r="J647" s="1"/>
      <c r="K647" s="1"/>
      <c r="L647" s="1"/>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x14ac:dyDescent="0.25">
      <c r="A648" s="1"/>
      <c r="B648" s="1"/>
      <c r="C648" s="1"/>
      <c r="D648" s="1"/>
      <c r="E648" s="1"/>
      <c r="F648" s="1"/>
      <c r="G648" s="1"/>
      <c r="H648" s="1"/>
      <c r="I648" s="1"/>
      <c r="J648" s="1"/>
      <c r="K648" s="1"/>
      <c r="L648" s="1"/>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x14ac:dyDescent="0.25">
      <c r="A649" s="1"/>
      <c r="B649" s="1"/>
      <c r="C649" s="1"/>
      <c r="D649" s="1"/>
      <c r="E649" s="1"/>
      <c r="F649" s="1"/>
      <c r="G649" s="1"/>
      <c r="H649" s="1"/>
      <c r="I649" s="1"/>
      <c r="J649" s="1"/>
      <c r="K649" s="1"/>
      <c r="L649" s="1"/>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x14ac:dyDescent="0.25">
      <c r="A650" s="1"/>
      <c r="B650" s="1"/>
      <c r="C650" s="1"/>
      <c r="D650" s="1"/>
      <c r="E650" s="1"/>
      <c r="F650" s="1"/>
      <c r="G650" s="1"/>
      <c r="H650" s="1"/>
      <c r="I650" s="1"/>
      <c r="J650" s="1"/>
      <c r="K650" s="1"/>
      <c r="L650" s="1"/>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x14ac:dyDescent="0.25">
      <c r="A651" s="1"/>
      <c r="B651" s="1"/>
      <c r="C651" s="1"/>
      <c r="D651" s="1"/>
      <c r="E651" s="1"/>
      <c r="F651" s="1"/>
      <c r="G651" s="1"/>
      <c r="H651" s="1"/>
      <c r="I651" s="1"/>
      <c r="J651" s="1"/>
      <c r="K651" s="1"/>
      <c r="L651" s="1"/>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x14ac:dyDescent="0.25">
      <c r="A652" s="1"/>
      <c r="B652" s="1"/>
      <c r="C652" s="1"/>
      <c r="D652" s="1"/>
      <c r="E652" s="1"/>
      <c r="F652" s="1"/>
      <c r="G652" s="1"/>
      <c r="H652" s="1"/>
      <c r="I652" s="1"/>
      <c r="J652" s="1"/>
      <c r="K652" s="1"/>
      <c r="L652" s="1"/>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x14ac:dyDescent="0.25">
      <c r="A653" s="1"/>
      <c r="B653" s="1"/>
      <c r="C653" s="1"/>
      <c r="D653" s="1"/>
      <c r="E653" s="1"/>
      <c r="F653" s="1"/>
      <c r="G653" s="1"/>
      <c r="H653" s="1"/>
      <c r="I653" s="1"/>
      <c r="J653" s="1"/>
      <c r="K653" s="1"/>
      <c r="L653" s="1"/>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x14ac:dyDescent="0.25">
      <c r="A654" s="1"/>
      <c r="B654" s="1"/>
      <c r="C654" s="1"/>
      <c r="D654" s="1"/>
      <c r="E654" s="1"/>
      <c r="F654" s="1"/>
      <c r="G654" s="1"/>
      <c r="H654" s="1"/>
      <c r="I654" s="1"/>
      <c r="J654" s="1"/>
      <c r="K654" s="1"/>
      <c r="L654" s="1"/>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x14ac:dyDescent="0.25">
      <c r="A655" s="1"/>
      <c r="B655" s="1"/>
      <c r="C655" s="1"/>
      <c r="D655" s="1"/>
      <c r="E655" s="1"/>
      <c r="F655" s="1"/>
      <c r="G655" s="1"/>
      <c r="H655" s="1"/>
      <c r="I655" s="1"/>
      <c r="J655" s="1"/>
      <c r="K655" s="1"/>
      <c r="L655" s="1"/>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x14ac:dyDescent="0.25">
      <c r="A656" s="1"/>
      <c r="B656" s="1"/>
      <c r="C656" s="1"/>
      <c r="D656" s="1"/>
      <c r="E656" s="1"/>
      <c r="F656" s="1"/>
      <c r="G656" s="1"/>
      <c r="H656" s="1"/>
      <c r="I656" s="1"/>
      <c r="J656" s="1"/>
      <c r="K656" s="1"/>
      <c r="L656" s="1"/>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x14ac:dyDescent="0.25">
      <c r="A657" s="1"/>
      <c r="B657" s="1"/>
      <c r="C657" s="1"/>
      <c r="D657" s="1"/>
      <c r="E657" s="1"/>
      <c r="F657" s="1"/>
      <c r="G657" s="1"/>
      <c r="H657" s="1"/>
      <c r="I657" s="1"/>
      <c r="J657" s="1"/>
      <c r="K657" s="1"/>
      <c r="L657" s="1"/>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x14ac:dyDescent="0.25">
      <c r="A658" s="1"/>
      <c r="B658" s="1"/>
      <c r="C658" s="1"/>
      <c r="D658" s="1"/>
      <c r="E658" s="1"/>
      <c r="F658" s="1"/>
      <c r="G658" s="1"/>
      <c r="H658" s="1"/>
      <c r="I658" s="1"/>
      <c r="J658" s="1"/>
      <c r="K658" s="1"/>
      <c r="L658" s="1"/>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x14ac:dyDescent="0.25">
      <c r="A659" s="1"/>
      <c r="B659" s="1"/>
      <c r="C659" s="1"/>
      <c r="D659" s="1"/>
      <c r="E659" s="1"/>
      <c r="F659" s="1"/>
      <c r="G659" s="1"/>
      <c r="H659" s="1"/>
      <c r="I659" s="1"/>
      <c r="J659" s="1"/>
      <c r="K659" s="1"/>
      <c r="L659" s="1"/>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x14ac:dyDescent="0.25">
      <c r="A660" s="1"/>
      <c r="B660" s="1"/>
      <c r="C660" s="1"/>
      <c r="D660" s="1"/>
      <c r="E660" s="1"/>
      <c r="F660" s="1"/>
      <c r="G660" s="1"/>
      <c r="H660" s="1"/>
      <c r="I660" s="1"/>
      <c r="J660" s="1"/>
      <c r="K660" s="1"/>
      <c r="L660" s="1"/>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x14ac:dyDescent="0.25">
      <c r="A661" s="1"/>
      <c r="B661" s="1"/>
      <c r="C661" s="1"/>
      <c r="D661" s="1"/>
      <c r="E661" s="1"/>
      <c r="F661" s="1"/>
      <c r="G661" s="1"/>
      <c r="H661" s="1"/>
      <c r="I661" s="1"/>
      <c r="J661" s="1"/>
      <c r="K661" s="1"/>
      <c r="L661" s="1"/>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x14ac:dyDescent="0.25">
      <c r="A662" s="1"/>
      <c r="B662" s="1"/>
      <c r="C662" s="1"/>
      <c r="D662" s="1"/>
      <c r="E662" s="1"/>
      <c r="F662" s="1"/>
      <c r="G662" s="1"/>
      <c r="H662" s="1"/>
      <c r="I662" s="1"/>
      <c r="J662" s="1"/>
      <c r="K662" s="1"/>
      <c r="L662" s="1"/>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x14ac:dyDescent="0.25">
      <c r="A663" s="1"/>
      <c r="B663" s="1"/>
      <c r="C663" s="1"/>
      <c r="D663" s="1"/>
      <c r="E663" s="1"/>
      <c r="F663" s="1"/>
      <c r="G663" s="1"/>
      <c r="H663" s="1"/>
      <c r="I663" s="1"/>
      <c r="J663" s="1"/>
      <c r="K663" s="1"/>
      <c r="L663" s="1"/>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x14ac:dyDescent="0.25">
      <c r="A664" s="1"/>
      <c r="B664" s="1"/>
      <c r="C664" s="1"/>
      <c r="D664" s="1"/>
      <c r="E664" s="1"/>
      <c r="F664" s="1"/>
      <c r="G664" s="1"/>
      <c r="H664" s="1"/>
      <c r="I664" s="1"/>
      <c r="J664" s="1"/>
      <c r="K664" s="1"/>
      <c r="L664" s="1"/>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x14ac:dyDescent="0.25">
      <c r="A665" s="1"/>
      <c r="B665" s="1"/>
      <c r="C665" s="1"/>
      <c r="D665" s="1"/>
      <c r="E665" s="1"/>
      <c r="F665" s="1"/>
      <c r="G665" s="1"/>
      <c r="H665" s="1"/>
      <c r="I665" s="1"/>
      <c r="J665" s="1"/>
      <c r="K665" s="1"/>
      <c r="L665" s="1"/>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x14ac:dyDescent="0.25">
      <c r="A666" s="1"/>
      <c r="B666" s="1"/>
      <c r="C666" s="1"/>
      <c r="D666" s="1"/>
      <c r="E666" s="1"/>
      <c r="F666" s="1"/>
      <c r="G666" s="1"/>
      <c r="H666" s="1"/>
      <c r="I666" s="1"/>
      <c r="J666" s="1"/>
      <c r="K666" s="1"/>
      <c r="L666" s="1"/>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x14ac:dyDescent="0.25">
      <c r="A667" s="1"/>
      <c r="B667" s="1"/>
      <c r="C667" s="1"/>
      <c r="D667" s="1"/>
      <c r="E667" s="1"/>
      <c r="F667" s="1"/>
      <c r="G667" s="1"/>
      <c r="H667" s="1"/>
      <c r="I667" s="1"/>
      <c r="J667" s="1"/>
      <c r="K667" s="1"/>
      <c r="L667" s="1"/>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x14ac:dyDescent="0.25">
      <c r="A668" s="1"/>
      <c r="B668" s="1"/>
      <c r="C668" s="1"/>
      <c r="D668" s="1"/>
      <c r="E668" s="1"/>
      <c r="F668" s="1"/>
      <c r="G668" s="1"/>
      <c r="H668" s="1"/>
      <c r="I668" s="1"/>
      <c r="J668" s="1"/>
      <c r="K668" s="1"/>
      <c r="L668" s="1"/>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x14ac:dyDescent="0.25">
      <c r="A669" s="1"/>
      <c r="B669" s="1"/>
      <c r="C669" s="1"/>
      <c r="D669" s="1"/>
      <c r="E669" s="1"/>
      <c r="F669" s="1"/>
      <c r="G669" s="1"/>
      <c r="H669" s="1"/>
      <c r="I669" s="1"/>
      <c r="J669" s="1"/>
      <c r="K669" s="1"/>
      <c r="L669" s="1"/>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x14ac:dyDescent="0.25">
      <c r="A670" s="1"/>
      <c r="B670" s="1"/>
      <c r="C670" s="1"/>
      <c r="D670" s="1"/>
      <c r="E670" s="1"/>
      <c r="F670" s="1"/>
      <c r="G670" s="1"/>
      <c r="H670" s="1"/>
      <c r="I670" s="1"/>
      <c r="J670" s="1"/>
      <c r="K670" s="1"/>
      <c r="L670" s="1"/>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row>
    <row r="671" spans="1:51" x14ac:dyDescent="0.25">
      <c r="A671" s="1"/>
      <c r="B671" s="1"/>
      <c r="C671" s="1"/>
      <c r="D671" s="1"/>
      <c r="E671" s="1"/>
      <c r="F671" s="1"/>
      <c r="G671" s="1"/>
      <c r="H671" s="1"/>
      <c r="I671" s="1"/>
      <c r="J671" s="1"/>
      <c r="K671" s="1"/>
      <c r="L671" s="1"/>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row>
    <row r="672" spans="1:51" x14ac:dyDescent="0.25">
      <c r="A672" s="1"/>
      <c r="B672" s="1"/>
      <c r="C672" s="1"/>
      <c r="D672" s="1"/>
      <c r="E672" s="1"/>
      <c r="F672" s="1"/>
      <c r="G672" s="1"/>
      <c r="H672" s="1"/>
      <c r="I672" s="1"/>
      <c r="J672" s="1"/>
      <c r="K672" s="1"/>
      <c r="L672" s="1"/>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row>
    <row r="673" spans="1:51" x14ac:dyDescent="0.25">
      <c r="A673" s="1"/>
      <c r="B673" s="1"/>
      <c r="C673" s="1"/>
      <c r="D673" s="1"/>
      <c r="E673" s="1"/>
      <c r="F673" s="1"/>
      <c r="G673" s="1"/>
      <c r="H673" s="1"/>
      <c r="I673" s="1"/>
      <c r="J673" s="1"/>
      <c r="K673" s="1"/>
      <c r="L673" s="1"/>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row>
    <row r="674" spans="1:51" x14ac:dyDescent="0.25">
      <c r="A674" s="1"/>
      <c r="B674" s="1"/>
      <c r="C674" s="1"/>
      <c r="D674" s="1"/>
      <c r="E674" s="1"/>
      <c r="F674" s="1"/>
      <c r="G674" s="1"/>
      <c r="H674" s="1"/>
      <c r="I674" s="1"/>
      <c r="J674" s="1"/>
      <c r="K674" s="1"/>
      <c r="L674" s="1"/>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x14ac:dyDescent="0.25">
      <c r="A675" s="1"/>
      <c r="B675" s="1"/>
      <c r="C675" s="1"/>
      <c r="D675" s="1"/>
      <c r="E675" s="1"/>
      <c r="F675" s="1"/>
      <c r="G675" s="1"/>
      <c r="H675" s="1"/>
      <c r="I675" s="1"/>
      <c r="J675" s="1"/>
      <c r="K675" s="1"/>
      <c r="L675" s="1"/>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x14ac:dyDescent="0.25">
      <c r="A676" s="1"/>
      <c r="B676" s="1"/>
      <c r="C676" s="1"/>
      <c r="D676" s="1"/>
      <c r="E676" s="1"/>
      <c r="F676" s="1"/>
      <c r="G676" s="1"/>
      <c r="H676" s="1"/>
      <c r="I676" s="1"/>
      <c r="J676" s="1"/>
      <c r="K676" s="1"/>
      <c r="L676" s="1"/>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x14ac:dyDescent="0.25">
      <c r="A677" s="1"/>
      <c r="B677" s="1"/>
      <c r="C677" s="1"/>
      <c r="D677" s="1"/>
      <c r="E677" s="1"/>
      <c r="F677" s="1"/>
      <c r="G677" s="1"/>
      <c r="H677" s="1"/>
      <c r="I677" s="1"/>
      <c r="J677" s="1"/>
      <c r="K677" s="1"/>
      <c r="L677" s="1"/>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x14ac:dyDescent="0.25">
      <c r="A678" s="1"/>
      <c r="B678" s="1"/>
      <c r="C678" s="1"/>
      <c r="D678" s="1"/>
      <c r="E678" s="1"/>
      <c r="F678" s="1"/>
      <c r="G678" s="1"/>
      <c r="H678" s="1"/>
      <c r="I678" s="1"/>
      <c r="J678" s="1"/>
      <c r="K678" s="1"/>
      <c r="L678" s="1"/>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x14ac:dyDescent="0.25">
      <c r="A679" s="1"/>
      <c r="B679" s="1"/>
      <c r="C679" s="1"/>
      <c r="D679" s="1"/>
      <c r="E679" s="1"/>
      <c r="F679" s="1"/>
      <c r="G679" s="1"/>
      <c r="H679" s="1"/>
      <c r="I679" s="1"/>
      <c r="J679" s="1"/>
      <c r="K679" s="1"/>
      <c r="L679" s="1"/>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x14ac:dyDescent="0.25">
      <c r="A680" s="1"/>
      <c r="B680" s="1"/>
      <c r="C680" s="1"/>
      <c r="D680" s="1"/>
      <c r="E680" s="1"/>
      <c r="F680" s="1"/>
      <c r="G680" s="1"/>
      <c r="H680" s="1"/>
      <c r="I680" s="1"/>
      <c r="J680" s="1"/>
      <c r="K680" s="1"/>
      <c r="L680" s="1"/>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row>
    <row r="681" spans="1:51" x14ac:dyDescent="0.25">
      <c r="A681" s="1"/>
      <c r="B681" s="1"/>
      <c r="C681" s="1"/>
      <c r="D681" s="1"/>
      <c r="E681" s="1"/>
      <c r="F681" s="1"/>
      <c r="G681" s="1"/>
      <c r="H681" s="1"/>
      <c r="I681" s="1"/>
      <c r="J681" s="1"/>
      <c r="K681" s="1"/>
      <c r="L681" s="1"/>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row>
    <row r="682" spans="1:51" x14ac:dyDescent="0.25">
      <c r="A682" s="1"/>
      <c r="B682" s="1"/>
      <c r="C682" s="1"/>
      <c r="D682" s="1"/>
      <c r="E682" s="1"/>
      <c r="F682" s="1"/>
      <c r="G682" s="1"/>
      <c r="H682" s="1"/>
      <c r="I682" s="1"/>
      <c r="J682" s="1"/>
      <c r="K682" s="1"/>
      <c r="L682" s="1"/>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row>
    <row r="683" spans="1:51" x14ac:dyDescent="0.25">
      <c r="A683" s="1"/>
      <c r="B683" s="1"/>
      <c r="C683" s="1"/>
      <c r="D683" s="1"/>
      <c r="E683" s="1"/>
      <c r="F683" s="1"/>
      <c r="G683" s="1"/>
      <c r="H683" s="1"/>
      <c r="I683" s="1"/>
      <c r="J683" s="1"/>
      <c r="K683" s="1"/>
      <c r="L683" s="1"/>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row>
    <row r="684" spans="1:51" x14ac:dyDescent="0.25">
      <c r="A684" s="1"/>
      <c r="B684" s="1"/>
      <c r="C684" s="1"/>
      <c r="D684" s="1"/>
      <c r="E684" s="1"/>
      <c r="F684" s="1"/>
      <c r="G684" s="1"/>
      <c r="H684" s="1"/>
      <c r="I684" s="1"/>
      <c r="J684" s="1"/>
      <c r="K684" s="1"/>
      <c r="L684" s="1"/>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row>
    <row r="685" spans="1:51" x14ac:dyDescent="0.25">
      <c r="A685" s="1"/>
      <c r="B685" s="1"/>
      <c r="C685" s="1"/>
      <c r="D685" s="1"/>
      <c r="E685" s="1"/>
      <c r="F685" s="1"/>
      <c r="G685" s="1"/>
      <c r="H685" s="1"/>
      <c r="I685" s="1"/>
      <c r="J685" s="1"/>
      <c r="K685" s="1"/>
      <c r="L685" s="1"/>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row>
    <row r="686" spans="1:51" x14ac:dyDescent="0.25">
      <c r="A686" s="1"/>
      <c r="B686" s="1"/>
      <c r="C686" s="1"/>
      <c r="D686" s="1"/>
      <c r="E686" s="1"/>
      <c r="F686" s="1"/>
      <c r="G686" s="1"/>
      <c r="H686" s="1"/>
      <c r="I686" s="1"/>
      <c r="J686" s="1"/>
      <c r="K686" s="1"/>
      <c r="L686" s="1"/>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row>
    <row r="687" spans="1:51" x14ac:dyDescent="0.25">
      <c r="A687" s="1"/>
      <c r="B687" s="1"/>
      <c r="C687" s="1"/>
      <c r="D687" s="1"/>
      <c r="E687" s="1"/>
      <c r="F687" s="1"/>
      <c r="G687" s="1"/>
      <c r="H687" s="1"/>
      <c r="I687" s="1"/>
      <c r="J687" s="1"/>
      <c r="K687" s="1"/>
      <c r="L687" s="1"/>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row>
    <row r="688" spans="1:51" x14ac:dyDescent="0.25">
      <c r="A688" s="1"/>
      <c r="B688" s="1"/>
      <c r="C688" s="1"/>
      <c r="D688" s="1"/>
      <c r="E688" s="1"/>
      <c r="F688" s="1"/>
      <c r="G688" s="1"/>
      <c r="H688" s="1"/>
      <c r="I688" s="1"/>
      <c r="J688" s="1"/>
      <c r="K688" s="1"/>
      <c r="L688" s="1"/>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row>
    <row r="689" spans="1:51" x14ac:dyDescent="0.25">
      <c r="A689" s="1"/>
      <c r="B689" s="1"/>
      <c r="C689" s="1"/>
      <c r="D689" s="1"/>
      <c r="E689" s="1"/>
      <c r="F689" s="1"/>
      <c r="G689" s="1"/>
      <c r="H689" s="1"/>
      <c r="I689" s="1"/>
      <c r="J689" s="1"/>
      <c r="K689" s="1"/>
      <c r="L689" s="1"/>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row>
    <row r="690" spans="1:51" x14ac:dyDescent="0.25">
      <c r="A690" s="1"/>
      <c r="B690" s="1"/>
      <c r="C690" s="1"/>
      <c r="D690" s="1"/>
      <c r="E690" s="1"/>
      <c r="F690" s="1"/>
      <c r="G690" s="1"/>
      <c r="H690" s="1"/>
      <c r="I690" s="1"/>
      <c r="J690" s="1"/>
      <c r="K690" s="1"/>
      <c r="L690" s="1"/>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row>
    <row r="691" spans="1:51" x14ac:dyDescent="0.25">
      <c r="A691" s="1"/>
      <c r="B691" s="1"/>
      <c r="C691" s="1"/>
      <c r="D691" s="1"/>
      <c r="E691" s="1"/>
      <c r="F691" s="1"/>
      <c r="G691" s="1"/>
      <c r="H691" s="1"/>
      <c r="I691" s="1"/>
      <c r="J691" s="1"/>
      <c r="K691" s="1"/>
      <c r="L691" s="1"/>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row>
    <row r="692" spans="1:51" x14ac:dyDescent="0.25">
      <c r="A692" s="1"/>
      <c r="B692" s="1"/>
      <c r="C692" s="1"/>
      <c r="D692" s="1"/>
      <c r="E692" s="1"/>
      <c r="F692" s="1"/>
      <c r="G692" s="1"/>
      <c r="H692" s="1"/>
      <c r="I692" s="1"/>
      <c r="J692" s="1"/>
      <c r="K692" s="1"/>
      <c r="L692" s="1"/>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row>
    <row r="693" spans="1:51" x14ac:dyDescent="0.25">
      <c r="A693" s="1"/>
      <c r="B693" s="1"/>
      <c r="C693" s="1"/>
      <c r="D693" s="1"/>
      <c r="E693" s="1"/>
      <c r="F693" s="1"/>
      <c r="G693" s="1"/>
      <c r="H693" s="1"/>
      <c r="I693" s="1"/>
      <c r="J693" s="1"/>
      <c r="K693" s="1"/>
      <c r="L693" s="1"/>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row>
    <row r="694" spans="1:51" x14ac:dyDescent="0.25">
      <c r="A694" s="1"/>
      <c r="B694" s="1"/>
      <c r="C694" s="1"/>
      <c r="D694" s="1"/>
      <c r="E694" s="1"/>
      <c r="F694" s="1"/>
      <c r="G694" s="1"/>
      <c r="H694" s="1"/>
      <c r="I694" s="1"/>
      <c r="J694" s="1"/>
      <c r="K694" s="1"/>
      <c r="L694" s="1"/>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row>
    <row r="695" spans="1:51" x14ac:dyDescent="0.25">
      <c r="A695" s="1"/>
      <c r="B695" s="1"/>
      <c r="C695" s="1"/>
      <c r="D695" s="1"/>
      <c r="E695" s="1"/>
      <c r="F695" s="1"/>
      <c r="G695" s="1"/>
      <c r="H695" s="1"/>
      <c r="I695" s="1"/>
      <c r="J695" s="1"/>
      <c r="K695" s="1"/>
      <c r="L695" s="1"/>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row>
    <row r="696" spans="1:51" x14ac:dyDescent="0.25">
      <c r="A696" s="1"/>
      <c r="B696" s="1"/>
      <c r="C696" s="1"/>
      <c r="D696" s="1"/>
      <c r="E696" s="1"/>
      <c r="F696" s="1"/>
      <c r="G696" s="1"/>
      <c r="H696" s="1"/>
      <c r="I696" s="1"/>
      <c r="J696" s="1"/>
      <c r="K696" s="1"/>
      <c r="L696" s="1"/>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row>
    <row r="697" spans="1:51" x14ac:dyDescent="0.25">
      <c r="A697" s="1"/>
      <c r="B697" s="1"/>
      <c r="C697" s="1"/>
      <c r="D697" s="1"/>
      <c r="E697" s="1"/>
      <c r="F697" s="1"/>
      <c r="G697" s="1"/>
      <c r="H697" s="1"/>
      <c r="I697" s="1"/>
      <c r="J697" s="1"/>
      <c r="K697" s="1"/>
      <c r="L697" s="1"/>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row>
    <row r="698" spans="1:51" x14ac:dyDescent="0.25">
      <c r="A698" s="1"/>
      <c r="B698" s="1"/>
      <c r="C698" s="1"/>
      <c r="D698" s="1"/>
      <c r="E698" s="1"/>
      <c r="F698" s="1"/>
      <c r="G698" s="1"/>
      <c r="H698" s="1"/>
      <c r="I698" s="1"/>
      <c r="J698" s="1"/>
      <c r="K698" s="1"/>
      <c r="L698" s="1"/>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row>
    <row r="699" spans="1:51" x14ac:dyDescent="0.25">
      <c r="A699" s="1"/>
      <c r="B699" s="1"/>
      <c r="C699" s="1"/>
      <c r="D699" s="1"/>
      <c r="E699" s="1"/>
      <c r="F699" s="1"/>
      <c r="G699" s="1"/>
      <c r="H699" s="1"/>
      <c r="I699" s="1"/>
      <c r="J699" s="1"/>
      <c r="K699" s="1"/>
      <c r="L699" s="1"/>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row>
    <row r="700" spans="1:51" x14ac:dyDescent="0.25">
      <c r="A700" s="1"/>
      <c r="B700" s="1"/>
      <c r="C700" s="1"/>
      <c r="D700" s="1"/>
      <c r="E700" s="1"/>
      <c r="F700" s="1"/>
      <c r="G700" s="1"/>
      <c r="H700" s="1"/>
      <c r="I700" s="1"/>
      <c r="J700" s="1"/>
      <c r="K700" s="1"/>
      <c r="L700" s="1"/>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row>
    <row r="701" spans="1:51" x14ac:dyDescent="0.25">
      <c r="A701" s="1"/>
      <c r="B701" s="1"/>
      <c r="C701" s="1"/>
      <c r="D701" s="1"/>
      <c r="E701" s="1"/>
      <c r="F701" s="1"/>
      <c r="G701" s="1"/>
      <c r="H701" s="1"/>
      <c r="I701" s="1"/>
      <c r="J701" s="1"/>
      <c r="K701" s="1"/>
      <c r="L701" s="1"/>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row>
    <row r="702" spans="1:51" x14ac:dyDescent="0.25">
      <c r="A702" s="1"/>
      <c r="B702" s="1"/>
      <c r="C702" s="1"/>
      <c r="D702" s="1"/>
      <c r="E702" s="1"/>
      <c r="F702" s="1"/>
      <c r="G702" s="1"/>
      <c r="H702" s="1"/>
      <c r="I702" s="1"/>
      <c r="J702" s="1"/>
      <c r="K702" s="1"/>
      <c r="L702" s="1"/>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row>
    <row r="703" spans="1:51" x14ac:dyDescent="0.25">
      <c r="A703" s="1"/>
      <c r="B703" s="1"/>
      <c r="C703" s="1"/>
      <c r="D703" s="1"/>
      <c r="E703" s="1"/>
      <c r="F703" s="1"/>
      <c r="G703" s="1"/>
      <c r="H703" s="1"/>
      <c r="I703" s="1"/>
      <c r="J703" s="1"/>
      <c r="K703" s="1"/>
      <c r="L703" s="1"/>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row>
    <row r="704" spans="1:51" x14ac:dyDescent="0.25">
      <c r="A704" s="1"/>
      <c r="B704" s="1"/>
      <c r="C704" s="1"/>
      <c r="D704" s="1"/>
      <c r="E704" s="1"/>
      <c r="F704" s="1"/>
      <c r="G704" s="1"/>
      <c r="H704" s="1"/>
      <c r="I704" s="1"/>
      <c r="J704" s="1"/>
      <c r="K704" s="1"/>
      <c r="L704" s="1"/>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row>
    <row r="705" spans="1:51" x14ac:dyDescent="0.25">
      <c r="A705" s="1"/>
      <c r="B705" s="1"/>
      <c r="C705" s="1"/>
      <c r="D705" s="1"/>
      <c r="E705" s="1"/>
      <c r="F705" s="1"/>
      <c r="G705" s="1"/>
      <c r="H705" s="1"/>
      <c r="I705" s="1"/>
      <c r="J705" s="1"/>
      <c r="K705" s="1"/>
      <c r="L705" s="1"/>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row>
    <row r="706" spans="1:51" x14ac:dyDescent="0.25">
      <c r="A706" s="1"/>
      <c r="B706" s="1"/>
      <c r="C706" s="1"/>
      <c r="D706" s="1"/>
      <c r="E706" s="1"/>
      <c r="F706" s="1"/>
      <c r="G706" s="1"/>
      <c r="H706" s="1"/>
      <c r="I706" s="1"/>
      <c r="J706" s="1"/>
      <c r="K706" s="1"/>
      <c r="L706" s="1"/>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x14ac:dyDescent="0.25">
      <c r="A707" s="1"/>
      <c r="B707" s="1"/>
      <c r="C707" s="1"/>
      <c r="D707" s="1"/>
      <c r="E707" s="1"/>
      <c r="F707" s="1"/>
      <c r="G707" s="1"/>
      <c r="H707" s="1"/>
      <c r="I707" s="1"/>
      <c r="J707" s="1"/>
      <c r="K707" s="1"/>
      <c r="L707" s="1"/>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x14ac:dyDescent="0.25">
      <c r="A708" s="1"/>
      <c r="B708" s="1"/>
      <c r="C708" s="1"/>
      <c r="D708" s="1"/>
      <c r="E708" s="1"/>
      <c r="F708" s="1"/>
      <c r="G708" s="1"/>
      <c r="H708" s="1"/>
      <c r="I708" s="1"/>
      <c r="J708" s="1"/>
      <c r="K708" s="1"/>
      <c r="L708" s="1"/>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x14ac:dyDescent="0.25">
      <c r="A709" s="1"/>
      <c r="B709" s="1"/>
      <c r="C709" s="1"/>
      <c r="D709" s="1"/>
      <c r="E709" s="1"/>
      <c r="F709" s="1"/>
      <c r="G709" s="1"/>
      <c r="H709" s="1"/>
      <c r="I709" s="1"/>
      <c r="J709" s="1"/>
      <c r="K709" s="1"/>
      <c r="L709" s="1"/>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x14ac:dyDescent="0.25">
      <c r="A710" s="1"/>
      <c r="B710" s="1"/>
      <c r="C710" s="1"/>
      <c r="D710" s="1"/>
      <c r="E710" s="1"/>
      <c r="F710" s="1"/>
      <c r="G710" s="1"/>
      <c r="H710" s="1"/>
      <c r="I710" s="1"/>
      <c r="J710" s="1"/>
      <c r="K710" s="1"/>
      <c r="L710" s="1"/>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x14ac:dyDescent="0.25">
      <c r="A711" s="1"/>
      <c r="B711" s="1"/>
      <c r="C711" s="1"/>
      <c r="D711" s="1"/>
      <c r="E711" s="1"/>
      <c r="F711" s="1"/>
      <c r="G711" s="1"/>
      <c r="H711" s="1"/>
      <c r="I711" s="1"/>
      <c r="J711" s="1"/>
      <c r="K711" s="1"/>
      <c r="L711" s="1"/>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x14ac:dyDescent="0.25">
      <c r="A712" s="1"/>
      <c r="B712" s="1"/>
      <c r="C712" s="1"/>
      <c r="D712" s="1"/>
      <c r="E712" s="1"/>
      <c r="F712" s="1"/>
      <c r="G712" s="1"/>
      <c r="H712" s="1"/>
      <c r="I712" s="1"/>
      <c r="J712" s="1"/>
      <c r="K712" s="1"/>
      <c r="L712" s="1"/>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x14ac:dyDescent="0.25">
      <c r="A713" s="1"/>
      <c r="B713" s="1"/>
      <c r="C713" s="1"/>
      <c r="D713" s="1"/>
      <c r="E713" s="1"/>
      <c r="F713" s="1"/>
      <c r="G713" s="1"/>
      <c r="H713" s="1"/>
      <c r="I713" s="1"/>
      <c r="J713" s="1"/>
      <c r="K713" s="1"/>
      <c r="L713" s="1"/>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x14ac:dyDescent="0.25">
      <c r="A714" s="1"/>
      <c r="B714" s="1"/>
      <c r="C714" s="1"/>
      <c r="D714" s="1"/>
      <c r="E714" s="1"/>
      <c r="F714" s="1"/>
      <c r="G714" s="1"/>
      <c r="H714" s="1"/>
      <c r="I714" s="1"/>
      <c r="J714" s="1"/>
      <c r="K714" s="1"/>
      <c r="L714" s="1"/>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x14ac:dyDescent="0.25">
      <c r="A715" s="1"/>
      <c r="B715" s="1"/>
      <c r="C715" s="1"/>
      <c r="D715" s="1"/>
      <c r="E715" s="1"/>
      <c r="F715" s="1"/>
      <c r="G715" s="1"/>
      <c r="H715" s="1"/>
      <c r="I715" s="1"/>
      <c r="J715" s="1"/>
      <c r="K715" s="1"/>
      <c r="L715" s="1"/>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x14ac:dyDescent="0.25">
      <c r="A716" s="1"/>
      <c r="B716" s="1"/>
      <c r="C716" s="1"/>
      <c r="D716" s="1"/>
      <c r="E716" s="1"/>
      <c r="F716" s="1"/>
      <c r="G716" s="1"/>
      <c r="H716" s="1"/>
      <c r="I716" s="1"/>
      <c r="J716" s="1"/>
      <c r="K716" s="1"/>
      <c r="L716" s="1"/>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x14ac:dyDescent="0.25">
      <c r="A717" s="1"/>
      <c r="B717" s="1"/>
      <c r="C717" s="1"/>
      <c r="D717" s="1"/>
      <c r="E717" s="1"/>
      <c r="F717" s="1"/>
      <c r="G717" s="1"/>
      <c r="H717" s="1"/>
      <c r="I717" s="1"/>
      <c r="J717" s="1"/>
      <c r="K717" s="1"/>
      <c r="L717" s="1"/>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x14ac:dyDescent="0.25">
      <c r="A718" s="1"/>
      <c r="B718" s="1"/>
      <c r="C718" s="1"/>
      <c r="D718" s="1"/>
      <c r="E718" s="1"/>
      <c r="F718" s="1"/>
      <c r="G718" s="1"/>
      <c r="H718" s="1"/>
      <c r="I718" s="1"/>
      <c r="J718" s="1"/>
      <c r="K718" s="1"/>
      <c r="L718" s="1"/>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x14ac:dyDescent="0.25">
      <c r="A719" s="1"/>
      <c r="B719" s="1"/>
      <c r="C719" s="1"/>
      <c r="D719" s="1"/>
      <c r="E719" s="1"/>
      <c r="F719" s="1"/>
      <c r="G719" s="1"/>
      <c r="H719" s="1"/>
      <c r="I719" s="1"/>
      <c r="J719" s="1"/>
      <c r="K719" s="1"/>
      <c r="L719" s="1"/>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x14ac:dyDescent="0.25">
      <c r="A720" s="1"/>
      <c r="B720" s="1"/>
      <c r="C720" s="1"/>
      <c r="D720" s="1"/>
      <c r="E720" s="1"/>
      <c r="F720" s="1"/>
      <c r="G720" s="1"/>
      <c r="H720" s="1"/>
      <c r="I720" s="1"/>
      <c r="J720" s="1"/>
      <c r="K720" s="1"/>
      <c r="L720" s="1"/>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x14ac:dyDescent="0.25">
      <c r="A721" s="1"/>
      <c r="B721" s="1"/>
      <c r="C721" s="1"/>
      <c r="D721" s="1"/>
      <c r="E721" s="1"/>
      <c r="F721" s="1"/>
      <c r="G721" s="1"/>
      <c r="H721" s="1"/>
      <c r="I721" s="1"/>
      <c r="J721" s="1"/>
      <c r="K721" s="1"/>
      <c r="L721" s="1"/>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x14ac:dyDescent="0.25">
      <c r="A722" s="1"/>
      <c r="B722" s="1"/>
      <c r="C722" s="1"/>
      <c r="D722" s="1"/>
      <c r="E722" s="1"/>
      <c r="F722" s="1"/>
      <c r="G722" s="1"/>
      <c r="H722" s="1"/>
      <c r="I722" s="1"/>
      <c r="J722" s="1"/>
      <c r="K722" s="1"/>
      <c r="L722" s="1"/>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x14ac:dyDescent="0.25">
      <c r="A723" s="1"/>
      <c r="B723" s="1"/>
      <c r="C723" s="1"/>
      <c r="D723" s="1"/>
      <c r="E723" s="1"/>
      <c r="F723" s="1"/>
      <c r="G723" s="1"/>
      <c r="H723" s="1"/>
      <c r="I723" s="1"/>
      <c r="J723" s="1"/>
      <c r="K723" s="1"/>
      <c r="L723" s="1"/>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x14ac:dyDescent="0.25">
      <c r="A724" s="1"/>
      <c r="B724" s="1"/>
      <c r="C724" s="1"/>
      <c r="D724" s="1"/>
      <c r="E724" s="1"/>
      <c r="F724" s="1"/>
      <c r="G724" s="1"/>
      <c r="H724" s="1"/>
      <c r="I724" s="1"/>
      <c r="J724" s="1"/>
      <c r="K724" s="1"/>
      <c r="L724" s="1"/>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x14ac:dyDescent="0.25">
      <c r="A725" s="1"/>
      <c r="B725" s="1"/>
      <c r="C725" s="1"/>
      <c r="D725" s="1"/>
      <c r="E725" s="1"/>
      <c r="F725" s="1"/>
      <c r="G725" s="1"/>
      <c r="H725" s="1"/>
      <c r="I725" s="1"/>
      <c r="J725" s="1"/>
      <c r="K725" s="1"/>
      <c r="L725" s="1"/>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x14ac:dyDescent="0.25">
      <c r="A726" s="1"/>
      <c r="B726" s="1"/>
      <c r="C726" s="1"/>
      <c r="D726" s="1"/>
      <c r="E726" s="1"/>
      <c r="F726" s="1"/>
      <c r="G726" s="1"/>
      <c r="H726" s="1"/>
      <c r="I726" s="1"/>
      <c r="J726" s="1"/>
      <c r="K726" s="1"/>
      <c r="L726" s="1"/>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row>
    <row r="727" spans="1:51" x14ac:dyDescent="0.25">
      <c r="A727" s="1"/>
      <c r="B727" s="1"/>
      <c r="C727" s="1"/>
      <c r="D727" s="1"/>
      <c r="E727" s="1"/>
      <c r="F727" s="1"/>
      <c r="G727" s="1"/>
      <c r="H727" s="1"/>
      <c r="I727" s="1"/>
      <c r="J727" s="1"/>
      <c r="K727" s="1"/>
      <c r="L727" s="1"/>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row>
    <row r="728" spans="1:51" x14ac:dyDescent="0.25">
      <c r="A728" s="1"/>
      <c r="B728" s="1"/>
      <c r="C728" s="1"/>
      <c r="D728" s="1"/>
      <c r="E728" s="1"/>
      <c r="F728" s="1"/>
      <c r="G728" s="1"/>
      <c r="H728" s="1"/>
      <c r="I728" s="1"/>
      <c r="J728" s="1"/>
      <c r="K728" s="1"/>
      <c r="L728" s="1"/>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row>
    <row r="729" spans="1:51" x14ac:dyDescent="0.25">
      <c r="A729" s="1"/>
      <c r="B729" s="1"/>
      <c r="C729" s="1"/>
      <c r="D729" s="1"/>
      <c r="E729" s="1"/>
      <c r="F729" s="1"/>
      <c r="G729" s="1"/>
      <c r="H729" s="1"/>
      <c r="I729" s="1"/>
      <c r="J729" s="1"/>
      <c r="K729" s="1"/>
      <c r="L729" s="1"/>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row>
    <row r="730" spans="1:51" x14ac:dyDescent="0.25">
      <c r="A730" s="1"/>
      <c r="B730" s="1"/>
      <c r="C730" s="1"/>
      <c r="D730" s="1"/>
      <c r="E730" s="1"/>
      <c r="F730" s="1"/>
      <c r="G730" s="1"/>
      <c r="H730" s="1"/>
      <c r="I730" s="1"/>
      <c r="J730" s="1"/>
      <c r="K730" s="1"/>
      <c r="L730" s="1"/>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row>
    <row r="731" spans="1:51" x14ac:dyDescent="0.25">
      <c r="A731" s="1"/>
      <c r="B731" s="1"/>
      <c r="C731" s="1"/>
      <c r="D731" s="1"/>
      <c r="E731" s="1"/>
      <c r="F731" s="1"/>
      <c r="G731" s="1"/>
      <c r="H731" s="1"/>
      <c r="I731" s="1"/>
      <c r="J731" s="1"/>
      <c r="K731" s="1"/>
      <c r="L731" s="1"/>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row>
    <row r="732" spans="1:51" x14ac:dyDescent="0.25">
      <c r="A732" s="1"/>
      <c r="B732" s="1"/>
      <c r="C732" s="1"/>
      <c r="D732" s="1"/>
      <c r="E732" s="1"/>
      <c r="F732" s="1"/>
      <c r="G732" s="1"/>
      <c r="H732" s="1"/>
      <c r="I732" s="1"/>
      <c r="J732" s="1"/>
      <c r="K732" s="1"/>
      <c r="L732" s="1"/>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row>
    <row r="733" spans="1:51" x14ac:dyDescent="0.25">
      <c r="A733" s="1"/>
      <c r="B733" s="1"/>
      <c r="C733" s="1"/>
      <c r="D733" s="1"/>
      <c r="E733" s="1"/>
      <c r="F733" s="1"/>
      <c r="G733" s="1"/>
      <c r="H733" s="1"/>
      <c r="I733" s="1"/>
      <c r="J733" s="1"/>
      <c r="K733" s="1"/>
      <c r="L733" s="1"/>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row>
    <row r="734" spans="1:51" x14ac:dyDescent="0.25">
      <c r="A734" s="1"/>
      <c r="B734" s="1"/>
      <c r="C734" s="1"/>
      <c r="D734" s="1"/>
      <c r="E734" s="1"/>
      <c r="F734" s="1"/>
      <c r="G734" s="1"/>
      <c r="H734" s="1"/>
      <c r="I734" s="1"/>
      <c r="J734" s="1"/>
      <c r="K734" s="1"/>
      <c r="L734" s="1"/>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row>
    <row r="735" spans="1:51" x14ac:dyDescent="0.25">
      <c r="A735" s="1"/>
      <c r="B735" s="1"/>
      <c r="C735" s="1"/>
      <c r="D735" s="1"/>
      <c r="E735" s="1"/>
      <c r="F735" s="1"/>
      <c r="G735" s="1"/>
      <c r="H735" s="1"/>
      <c r="I735" s="1"/>
      <c r="J735" s="1"/>
      <c r="K735" s="1"/>
      <c r="L735" s="1"/>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row>
    <row r="736" spans="1:51" x14ac:dyDescent="0.25">
      <c r="A736" s="1"/>
      <c r="B736" s="1"/>
      <c r="C736" s="1"/>
      <c r="D736" s="1"/>
      <c r="E736" s="1"/>
      <c r="F736" s="1"/>
      <c r="G736" s="1"/>
      <c r="H736" s="1"/>
      <c r="I736" s="1"/>
      <c r="J736" s="1"/>
      <c r="K736" s="1"/>
      <c r="L736" s="1"/>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row>
    <row r="737" spans="1:51" x14ac:dyDescent="0.25">
      <c r="A737" s="1"/>
      <c r="B737" s="1"/>
      <c r="C737" s="1"/>
      <c r="D737" s="1"/>
      <c r="E737" s="1"/>
      <c r="F737" s="1"/>
      <c r="G737" s="1"/>
      <c r="H737" s="1"/>
      <c r="I737" s="1"/>
      <c r="J737" s="1"/>
      <c r="K737" s="1"/>
      <c r="L737" s="1"/>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row>
    <row r="738" spans="1:51" x14ac:dyDescent="0.25">
      <c r="A738" s="1"/>
      <c r="B738" s="1"/>
      <c r="C738" s="1"/>
      <c r="D738" s="1"/>
      <c r="E738" s="1"/>
      <c r="F738" s="1"/>
      <c r="G738" s="1"/>
      <c r="H738" s="1"/>
      <c r="I738" s="1"/>
      <c r="J738" s="1"/>
      <c r="K738" s="1"/>
      <c r="L738" s="1"/>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row>
    <row r="739" spans="1:51" x14ac:dyDescent="0.25">
      <c r="A739" s="1"/>
      <c r="B739" s="1"/>
      <c r="C739" s="1"/>
      <c r="D739" s="1"/>
      <c r="E739" s="1"/>
      <c r="F739" s="1"/>
      <c r="G739" s="1"/>
      <c r="H739" s="1"/>
      <c r="I739" s="1"/>
      <c r="J739" s="1"/>
      <c r="K739" s="1"/>
      <c r="L739" s="1"/>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row>
    <row r="740" spans="1:51" x14ac:dyDescent="0.25">
      <c r="A740" s="1"/>
      <c r="B740" s="1"/>
      <c r="C740" s="1"/>
      <c r="D740" s="1"/>
      <c r="E740" s="1"/>
      <c r="F740" s="1"/>
      <c r="G740" s="1"/>
      <c r="H740" s="1"/>
      <c r="I740" s="1"/>
      <c r="J740" s="1"/>
      <c r="K740" s="1"/>
      <c r="L740" s="1"/>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row>
    <row r="741" spans="1:51" x14ac:dyDescent="0.25">
      <c r="A741" s="1"/>
      <c r="B741" s="1"/>
      <c r="C741" s="1"/>
      <c r="D741" s="1"/>
      <c r="E741" s="1"/>
      <c r="F741" s="1"/>
      <c r="G741" s="1"/>
      <c r="H741" s="1"/>
      <c r="I741" s="1"/>
      <c r="J741" s="1"/>
      <c r="K741" s="1"/>
      <c r="L741" s="1"/>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row>
    <row r="742" spans="1:51" x14ac:dyDescent="0.25">
      <c r="A742" s="1"/>
      <c r="B742" s="1"/>
      <c r="C742" s="1"/>
      <c r="D742" s="1"/>
      <c r="E742" s="1"/>
      <c r="F742" s="1"/>
      <c r="G742" s="1"/>
      <c r="H742" s="1"/>
      <c r="I742" s="1"/>
      <c r="J742" s="1"/>
      <c r="K742" s="1"/>
      <c r="L742" s="1"/>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row>
    <row r="743" spans="1:51" x14ac:dyDescent="0.25">
      <c r="A743" s="1"/>
      <c r="B743" s="1"/>
      <c r="C743" s="1"/>
      <c r="D743" s="1"/>
      <c r="E743" s="1"/>
      <c r="F743" s="1"/>
      <c r="G743" s="1"/>
      <c r="H743" s="1"/>
      <c r="I743" s="1"/>
      <c r="J743" s="1"/>
      <c r="K743" s="1"/>
      <c r="L743" s="1"/>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row>
    <row r="744" spans="1:51" x14ac:dyDescent="0.25">
      <c r="A744" s="1"/>
      <c r="B744" s="1"/>
      <c r="C744" s="1"/>
      <c r="D744" s="1"/>
      <c r="E744" s="1"/>
      <c r="F744" s="1"/>
      <c r="G744" s="1"/>
      <c r="H744" s="1"/>
      <c r="I744" s="1"/>
      <c r="J744" s="1"/>
      <c r="K744" s="1"/>
      <c r="L744" s="1"/>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row>
    <row r="745" spans="1:51" x14ac:dyDescent="0.25">
      <c r="A745" s="1"/>
      <c r="B745" s="1"/>
      <c r="C745" s="1"/>
      <c r="D745" s="1"/>
      <c r="E745" s="1"/>
      <c r="F745" s="1"/>
      <c r="G745" s="1"/>
      <c r="H745" s="1"/>
      <c r="I745" s="1"/>
      <c r="J745" s="1"/>
      <c r="K745" s="1"/>
      <c r="L745" s="1"/>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row>
    <row r="746" spans="1:51" x14ac:dyDescent="0.25">
      <c r="A746" s="1"/>
      <c r="B746" s="1"/>
      <c r="C746" s="1"/>
      <c r="D746" s="1"/>
      <c r="E746" s="1"/>
      <c r="F746" s="1"/>
      <c r="G746" s="1"/>
      <c r="H746" s="1"/>
      <c r="I746" s="1"/>
      <c r="J746" s="1"/>
      <c r="K746" s="1"/>
      <c r="L746" s="1"/>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row>
    <row r="747" spans="1:51" x14ac:dyDescent="0.25">
      <c r="A747" s="1"/>
      <c r="B747" s="1"/>
      <c r="C747" s="1"/>
      <c r="D747" s="1"/>
      <c r="E747" s="1"/>
      <c r="F747" s="1"/>
      <c r="G747" s="1"/>
      <c r="H747" s="1"/>
      <c r="I747" s="1"/>
      <c r="J747" s="1"/>
      <c r="K747" s="1"/>
      <c r="L747" s="1"/>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row>
    <row r="748" spans="1:51" x14ac:dyDescent="0.25">
      <c r="A748" s="1"/>
      <c r="B748" s="1"/>
      <c r="C748" s="1"/>
      <c r="D748" s="1"/>
      <c r="E748" s="1"/>
      <c r="F748" s="1"/>
      <c r="G748" s="1"/>
      <c r="H748" s="1"/>
      <c r="I748" s="1"/>
      <c r="J748" s="1"/>
      <c r="K748" s="1"/>
      <c r="L748" s="1"/>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row>
    <row r="749" spans="1:51" x14ac:dyDescent="0.25">
      <c r="A749" s="1"/>
      <c r="B749" s="1"/>
      <c r="C749" s="1"/>
      <c r="D749" s="1"/>
      <c r="E749" s="1"/>
      <c r="F749" s="1"/>
      <c r="G749" s="1"/>
      <c r="H749" s="1"/>
      <c r="I749" s="1"/>
      <c r="J749" s="1"/>
      <c r="K749" s="1"/>
      <c r="L749" s="1"/>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row>
    <row r="750" spans="1:51" x14ac:dyDescent="0.25">
      <c r="A750" s="1"/>
      <c r="B750" s="1"/>
      <c r="C750" s="1"/>
      <c r="D750" s="1"/>
      <c r="E750" s="1"/>
      <c r="F750" s="1"/>
      <c r="G750" s="1"/>
      <c r="H750" s="1"/>
      <c r="I750" s="1"/>
      <c r="J750" s="1"/>
      <c r="K750" s="1"/>
      <c r="L750" s="1"/>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row>
    <row r="751" spans="1:51" x14ac:dyDescent="0.25">
      <c r="A751" s="1"/>
      <c r="B751" s="1"/>
      <c r="C751" s="1"/>
      <c r="D751" s="1"/>
      <c r="E751" s="1"/>
      <c r="F751" s="1"/>
      <c r="G751" s="1"/>
      <c r="H751" s="1"/>
      <c r="I751" s="1"/>
      <c r="J751" s="1"/>
      <c r="K751" s="1"/>
      <c r="L751" s="1"/>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row>
    <row r="752" spans="1:51" x14ac:dyDescent="0.25">
      <c r="A752" s="1"/>
      <c r="B752" s="1"/>
      <c r="C752" s="1"/>
      <c r="D752" s="1"/>
      <c r="E752" s="1"/>
      <c r="F752" s="1"/>
      <c r="G752" s="1"/>
      <c r="H752" s="1"/>
      <c r="I752" s="1"/>
      <c r="J752" s="1"/>
      <c r="K752" s="1"/>
      <c r="L752" s="1"/>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row>
    <row r="753" spans="1:51" x14ac:dyDescent="0.25">
      <c r="A753" s="1"/>
      <c r="B753" s="1"/>
      <c r="C753" s="1"/>
      <c r="D753" s="1"/>
      <c r="E753" s="1"/>
      <c r="F753" s="1"/>
      <c r="G753" s="1"/>
      <c r="H753" s="1"/>
      <c r="I753" s="1"/>
      <c r="J753" s="1"/>
      <c r="K753" s="1"/>
      <c r="L753" s="1"/>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row>
    <row r="754" spans="1:51" x14ac:dyDescent="0.25">
      <c r="A754" s="1"/>
      <c r="B754" s="1"/>
      <c r="C754" s="1"/>
      <c r="D754" s="1"/>
      <c r="E754" s="1"/>
      <c r="F754" s="1"/>
      <c r="G754" s="1"/>
      <c r="H754" s="1"/>
      <c r="I754" s="1"/>
      <c r="J754" s="1"/>
      <c r="K754" s="1"/>
      <c r="L754" s="1"/>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row>
    <row r="755" spans="1:51" x14ac:dyDescent="0.25">
      <c r="A755" s="1"/>
      <c r="B755" s="1"/>
      <c r="C755" s="1"/>
      <c r="D755" s="1"/>
      <c r="E755" s="1"/>
      <c r="F755" s="1"/>
      <c r="G755" s="1"/>
      <c r="H755" s="1"/>
      <c r="I755" s="1"/>
      <c r="J755" s="1"/>
      <c r="K755" s="1"/>
      <c r="L755" s="1"/>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row>
    <row r="756" spans="1:51" x14ac:dyDescent="0.25">
      <c r="A756" s="1"/>
      <c r="B756" s="1"/>
      <c r="C756" s="1"/>
      <c r="D756" s="1"/>
      <c r="E756" s="1"/>
      <c r="F756" s="1"/>
      <c r="G756" s="1"/>
      <c r="H756" s="1"/>
      <c r="I756" s="1"/>
      <c r="J756" s="1"/>
      <c r="K756" s="1"/>
      <c r="L756" s="1"/>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row>
    <row r="757" spans="1:51" x14ac:dyDescent="0.25">
      <c r="A757" s="1"/>
      <c r="B757" s="1"/>
      <c r="C757" s="1"/>
      <c r="D757" s="1"/>
      <c r="E757" s="1"/>
      <c r="F757" s="1"/>
      <c r="G757" s="1"/>
      <c r="H757" s="1"/>
      <c r="I757" s="1"/>
      <c r="J757" s="1"/>
      <c r="K757" s="1"/>
      <c r="L757" s="1"/>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row>
    <row r="758" spans="1:51" x14ac:dyDescent="0.25">
      <c r="A758" s="1"/>
      <c r="B758" s="1"/>
      <c r="C758" s="1"/>
      <c r="D758" s="1"/>
      <c r="E758" s="1"/>
      <c r="F758" s="1"/>
      <c r="G758" s="1"/>
      <c r="H758" s="1"/>
      <c r="I758" s="1"/>
      <c r="J758" s="1"/>
      <c r="K758" s="1"/>
      <c r="L758" s="1"/>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row>
    <row r="759" spans="1:51" x14ac:dyDescent="0.25">
      <c r="A759" s="1"/>
      <c r="B759" s="1"/>
      <c r="C759" s="1"/>
      <c r="D759" s="1"/>
      <c r="E759" s="1"/>
      <c r="F759" s="1"/>
      <c r="G759" s="1"/>
      <c r="H759" s="1"/>
      <c r="I759" s="1"/>
      <c r="J759" s="1"/>
      <c r="K759" s="1"/>
      <c r="L759" s="1"/>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row>
    <row r="760" spans="1:51" x14ac:dyDescent="0.25">
      <c r="A760" s="1"/>
      <c r="B760" s="1"/>
      <c r="C760" s="1"/>
      <c r="D760" s="1"/>
      <c r="E760" s="1"/>
      <c r="F760" s="1"/>
      <c r="G760" s="1"/>
      <c r="H760" s="1"/>
      <c r="I760" s="1"/>
      <c r="J760" s="1"/>
      <c r="K760" s="1"/>
      <c r="L760" s="1"/>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row>
    <row r="761" spans="1:51" x14ac:dyDescent="0.25">
      <c r="A761" s="1"/>
      <c r="B761" s="1"/>
      <c r="C761" s="1"/>
      <c r="D761" s="1"/>
      <c r="E761" s="1"/>
      <c r="F761" s="1"/>
      <c r="G761" s="1"/>
      <c r="H761" s="1"/>
      <c r="I761" s="1"/>
      <c r="J761" s="1"/>
      <c r="K761" s="1"/>
      <c r="L761" s="1"/>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row>
    <row r="762" spans="1:51" x14ac:dyDescent="0.25">
      <c r="A762" s="1"/>
      <c r="B762" s="1"/>
      <c r="C762" s="1"/>
      <c r="D762" s="1"/>
      <c r="E762" s="1"/>
      <c r="F762" s="1"/>
      <c r="G762" s="1"/>
      <c r="H762" s="1"/>
      <c r="I762" s="1"/>
      <c r="J762" s="1"/>
      <c r="K762" s="1"/>
      <c r="L762" s="1"/>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row>
    <row r="763" spans="1:51" x14ac:dyDescent="0.25">
      <c r="A763" s="1"/>
      <c r="B763" s="1"/>
      <c r="C763" s="1"/>
      <c r="D763" s="1"/>
      <c r="E763" s="1"/>
      <c r="F763" s="1"/>
      <c r="G763" s="1"/>
      <c r="H763" s="1"/>
      <c r="I763" s="1"/>
      <c r="J763" s="1"/>
      <c r="K763" s="1"/>
      <c r="L763" s="1"/>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row>
    <row r="764" spans="1:51" x14ac:dyDescent="0.25">
      <c r="A764" s="1"/>
      <c r="B764" s="1"/>
      <c r="C764" s="1"/>
      <c r="D764" s="1"/>
      <c r="E764" s="1"/>
      <c r="F764" s="1"/>
      <c r="G764" s="1"/>
      <c r="H764" s="1"/>
      <c r="I764" s="1"/>
      <c r="J764" s="1"/>
      <c r="K764" s="1"/>
      <c r="L764" s="1"/>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row>
    <row r="765" spans="1:51" x14ac:dyDescent="0.25">
      <c r="A765" s="1"/>
      <c r="B765" s="1"/>
      <c r="C765" s="1"/>
      <c r="D765" s="1"/>
      <c r="E765" s="1"/>
      <c r="F765" s="1"/>
      <c r="G765" s="1"/>
      <c r="H765" s="1"/>
      <c r="I765" s="1"/>
      <c r="J765" s="1"/>
      <c r="K765" s="1"/>
      <c r="L765" s="1"/>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row>
    <row r="766" spans="1:51" x14ac:dyDescent="0.25">
      <c r="A766" s="1"/>
      <c r="B766" s="1"/>
      <c r="C766" s="1"/>
      <c r="D766" s="1"/>
      <c r="E766" s="1"/>
      <c r="F766" s="1"/>
      <c r="G766" s="1"/>
      <c r="H766" s="1"/>
      <c r="I766" s="1"/>
      <c r="J766" s="1"/>
      <c r="K766" s="1"/>
      <c r="L766" s="1"/>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row>
    <row r="767" spans="1:51" x14ac:dyDescent="0.25">
      <c r="A767" s="1"/>
      <c r="B767" s="1"/>
      <c r="C767" s="1"/>
      <c r="D767" s="1"/>
      <c r="E767" s="1"/>
      <c r="F767" s="1"/>
      <c r="G767" s="1"/>
      <c r="H767" s="1"/>
      <c r="I767" s="1"/>
      <c r="J767" s="1"/>
      <c r="K767" s="1"/>
      <c r="L767" s="1"/>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row>
    <row r="768" spans="1:51" x14ac:dyDescent="0.25">
      <c r="A768" s="1"/>
      <c r="B768" s="1"/>
      <c r="C768" s="1"/>
      <c r="D768" s="1"/>
      <c r="E768" s="1"/>
      <c r="F768" s="1"/>
      <c r="G768" s="1"/>
      <c r="H768" s="1"/>
      <c r="I768" s="1"/>
      <c r="J768" s="1"/>
      <c r="K768" s="1"/>
      <c r="L768" s="1"/>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row>
    <row r="769" spans="1:51" x14ac:dyDescent="0.25">
      <c r="A769" s="1"/>
      <c r="B769" s="1"/>
      <c r="C769" s="1"/>
      <c r="D769" s="1"/>
      <c r="E769" s="1"/>
      <c r="F769" s="1"/>
      <c r="G769" s="1"/>
      <c r="H769" s="1"/>
      <c r="I769" s="1"/>
      <c r="J769" s="1"/>
      <c r="K769" s="1"/>
      <c r="L769" s="1"/>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row>
    <row r="770" spans="1:51" x14ac:dyDescent="0.25">
      <c r="A770" s="1"/>
      <c r="B770" s="1"/>
      <c r="C770" s="1"/>
      <c r="D770" s="1"/>
      <c r="E770" s="1"/>
      <c r="F770" s="1"/>
      <c r="G770" s="1"/>
      <c r="H770" s="1"/>
      <c r="I770" s="1"/>
      <c r="J770" s="1"/>
      <c r="K770" s="1"/>
      <c r="L770" s="1"/>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row>
    <row r="771" spans="1:51" x14ac:dyDescent="0.25">
      <c r="A771" s="1"/>
      <c r="B771" s="1"/>
      <c r="C771" s="1"/>
      <c r="D771" s="1"/>
      <c r="E771" s="1"/>
      <c r="F771" s="1"/>
      <c r="G771" s="1"/>
      <c r="H771" s="1"/>
      <c r="I771" s="1"/>
      <c r="J771" s="1"/>
      <c r="K771" s="1"/>
      <c r="L771" s="1"/>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row>
    <row r="772" spans="1:51" x14ac:dyDescent="0.25">
      <c r="A772" s="1"/>
      <c r="B772" s="1"/>
      <c r="C772" s="1"/>
      <c r="D772" s="1"/>
      <c r="E772" s="1"/>
      <c r="F772" s="1"/>
      <c r="G772" s="1"/>
      <c r="H772" s="1"/>
      <c r="I772" s="1"/>
      <c r="J772" s="1"/>
      <c r="K772" s="1"/>
      <c r="L772" s="1"/>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row>
    <row r="773" spans="1:51" x14ac:dyDescent="0.25">
      <c r="A773" s="1"/>
      <c r="B773" s="1"/>
      <c r="C773" s="1"/>
      <c r="D773" s="1"/>
      <c r="E773" s="1"/>
      <c r="F773" s="1"/>
      <c r="G773" s="1"/>
      <c r="H773" s="1"/>
      <c r="I773" s="1"/>
      <c r="J773" s="1"/>
      <c r="K773" s="1"/>
      <c r="L773" s="1"/>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row>
    <row r="774" spans="1:51" x14ac:dyDescent="0.25">
      <c r="A774" s="1"/>
      <c r="B774" s="1"/>
      <c r="C774" s="1"/>
      <c r="D774" s="1"/>
      <c r="E774" s="1"/>
      <c r="F774" s="1"/>
      <c r="G774" s="1"/>
      <c r="H774" s="1"/>
      <c r="I774" s="1"/>
      <c r="J774" s="1"/>
      <c r="K774" s="1"/>
      <c r="L774" s="1"/>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row>
    <row r="775" spans="1:51" x14ac:dyDescent="0.25">
      <c r="A775" s="1"/>
      <c r="B775" s="1"/>
      <c r="C775" s="1"/>
      <c r="D775" s="1"/>
      <c r="E775" s="1"/>
      <c r="F775" s="1"/>
      <c r="G775" s="1"/>
      <c r="H775" s="1"/>
      <c r="I775" s="1"/>
      <c r="J775" s="1"/>
      <c r="K775" s="1"/>
      <c r="L775" s="1"/>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row>
    <row r="776" spans="1:51" x14ac:dyDescent="0.25">
      <c r="A776" s="1"/>
      <c r="B776" s="1"/>
      <c r="C776" s="1"/>
      <c r="D776" s="1"/>
      <c r="E776" s="1"/>
      <c r="F776" s="1"/>
      <c r="G776" s="1"/>
      <c r="H776" s="1"/>
      <c r="I776" s="1"/>
      <c r="J776" s="1"/>
      <c r="K776" s="1"/>
      <c r="L776" s="1"/>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row>
    <row r="777" spans="1:51" x14ac:dyDescent="0.25">
      <c r="A777" s="1"/>
      <c r="B777" s="1"/>
      <c r="C777" s="1"/>
      <c r="D777" s="1"/>
      <c r="E777" s="1"/>
      <c r="F777" s="1"/>
      <c r="G777" s="1"/>
      <c r="H777" s="1"/>
      <c r="I777" s="1"/>
      <c r="J777" s="1"/>
      <c r="K777" s="1"/>
      <c r="L777" s="1"/>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row>
    <row r="778" spans="1:51" x14ac:dyDescent="0.25">
      <c r="A778" s="1"/>
      <c r="B778" s="1"/>
      <c r="C778" s="1"/>
      <c r="D778" s="1"/>
      <c r="E778" s="1"/>
      <c r="F778" s="1"/>
      <c r="G778" s="1"/>
      <c r="H778" s="1"/>
      <c r="I778" s="1"/>
      <c r="J778" s="1"/>
      <c r="K778" s="1"/>
      <c r="L778" s="1"/>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row>
    <row r="779" spans="1:51" x14ac:dyDescent="0.25">
      <c r="A779" s="1"/>
      <c r="B779" s="1"/>
      <c r="C779" s="1"/>
      <c r="D779" s="1"/>
      <c r="E779" s="1"/>
      <c r="F779" s="1"/>
      <c r="G779" s="1"/>
      <c r="H779" s="1"/>
      <c r="I779" s="1"/>
      <c r="J779" s="1"/>
      <c r="K779" s="1"/>
      <c r="L779" s="1"/>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row>
    <row r="780" spans="1:51" x14ac:dyDescent="0.25">
      <c r="A780" s="1"/>
      <c r="B780" s="1"/>
      <c r="C780" s="1"/>
      <c r="D780" s="1"/>
      <c r="E780" s="1"/>
      <c r="F780" s="1"/>
      <c r="G780" s="1"/>
      <c r="H780" s="1"/>
      <c r="I780" s="1"/>
      <c r="J780" s="1"/>
      <c r="K780" s="1"/>
      <c r="L780" s="1"/>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row>
    <row r="781" spans="1:51" x14ac:dyDescent="0.25">
      <c r="A781" s="1"/>
      <c r="B781" s="1"/>
      <c r="C781" s="1"/>
      <c r="D781" s="1"/>
      <c r="E781" s="1"/>
      <c r="F781" s="1"/>
      <c r="G781" s="1"/>
      <c r="H781" s="1"/>
      <c r="I781" s="1"/>
      <c r="J781" s="1"/>
      <c r="K781" s="1"/>
      <c r="L781" s="1"/>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row>
    <row r="782" spans="1:51" x14ac:dyDescent="0.25">
      <c r="A782" s="1"/>
      <c r="B782" s="1"/>
      <c r="C782" s="1"/>
      <c r="D782" s="1"/>
      <c r="E782" s="1"/>
      <c r="F782" s="1"/>
      <c r="G782" s="1"/>
      <c r="H782" s="1"/>
      <c r="I782" s="1"/>
      <c r="J782" s="1"/>
      <c r="K782" s="1"/>
      <c r="L782" s="1"/>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row>
    <row r="783" spans="1:51" x14ac:dyDescent="0.25">
      <c r="A783" s="1"/>
      <c r="B783" s="1"/>
      <c r="C783" s="1"/>
      <c r="D783" s="1"/>
      <c r="E783" s="1"/>
      <c r="F783" s="1"/>
      <c r="G783" s="1"/>
      <c r="H783" s="1"/>
      <c r="I783" s="1"/>
      <c r="J783" s="1"/>
      <c r="K783" s="1"/>
      <c r="L783" s="1"/>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row>
    <row r="784" spans="1:51" x14ac:dyDescent="0.25">
      <c r="A784" s="1"/>
      <c r="B784" s="1"/>
      <c r="C784" s="1"/>
      <c r="D784" s="1"/>
      <c r="E784" s="1"/>
      <c r="F784" s="1"/>
      <c r="G784" s="1"/>
      <c r="H784" s="1"/>
      <c r="I784" s="1"/>
      <c r="J784" s="1"/>
      <c r="K784" s="1"/>
      <c r="L784" s="1"/>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row>
    <row r="785" spans="1:51" x14ac:dyDescent="0.25">
      <c r="A785" s="1"/>
      <c r="B785" s="1"/>
      <c r="C785" s="1"/>
      <c r="D785" s="1"/>
      <c r="E785" s="1"/>
      <c r="F785" s="1"/>
      <c r="G785" s="1"/>
      <c r="H785" s="1"/>
      <c r="I785" s="1"/>
      <c r="J785" s="1"/>
      <c r="K785" s="1"/>
      <c r="L785" s="1"/>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row>
    <row r="786" spans="1:51" x14ac:dyDescent="0.25">
      <c r="A786" s="1"/>
      <c r="B786" s="1"/>
      <c r="C786" s="1"/>
      <c r="D786" s="1"/>
      <c r="E786" s="1"/>
      <c r="F786" s="1"/>
      <c r="G786" s="1"/>
      <c r="H786" s="1"/>
      <c r="I786" s="1"/>
      <c r="J786" s="1"/>
      <c r="K786" s="1"/>
      <c r="L786" s="1"/>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row>
    <row r="787" spans="1:51" x14ac:dyDescent="0.25">
      <c r="A787" s="1"/>
      <c r="B787" s="1"/>
      <c r="C787" s="1"/>
      <c r="D787" s="1"/>
      <c r="E787" s="1"/>
      <c r="F787" s="1"/>
      <c r="G787" s="1"/>
      <c r="H787" s="1"/>
      <c r="I787" s="1"/>
      <c r="J787" s="1"/>
      <c r="K787" s="1"/>
      <c r="L787" s="1"/>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row>
    <row r="788" spans="1:51" x14ac:dyDescent="0.25">
      <c r="A788" s="1"/>
      <c r="B788" s="1"/>
      <c r="C788" s="1"/>
      <c r="D788" s="1"/>
      <c r="E788" s="1"/>
      <c r="F788" s="1"/>
      <c r="G788" s="1"/>
      <c r="H788" s="1"/>
      <c r="I788" s="1"/>
      <c r="J788" s="1"/>
      <c r="K788" s="1"/>
      <c r="L788" s="1"/>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row>
    <row r="789" spans="1:51" x14ac:dyDescent="0.25">
      <c r="A789" s="1"/>
      <c r="B789" s="1"/>
      <c r="C789" s="1"/>
      <c r="D789" s="1"/>
      <c r="E789" s="1"/>
      <c r="F789" s="1"/>
      <c r="G789" s="1"/>
      <c r="H789" s="1"/>
      <c r="I789" s="1"/>
      <c r="J789" s="1"/>
      <c r="K789" s="1"/>
      <c r="L789" s="1"/>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row>
    <row r="790" spans="1:51" x14ac:dyDescent="0.25">
      <c r="A790" s="1"/>
      <c r="B790" s="1"/>
      <c r="C790" s="1"/>
      <c r="D790" s="1"/>
      <c r="E790" s="1"/>
      <c r="F790" s="1"/>
      <c r="G790" s="1"/>
      <c r="H790" s="1"/>
      <c r="I790" s="1"/>
      <c r="J790" s="1"/>
      <c r="K790" s="1"/>
      <c r="L790" s="1"/>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row>
    <row r="791" spans="1:51" x14ac:dyDescent="0.25">
      <c r="A791" s="1"/>
      <c r="B791" s="1"/>
      <c r="C791" s="1"/>
      <c r="D791" s="1"/>
      <c r="E791" s="1"/>
      <c r="F791" s="1"/>
      <c r="G791" s="1"/>
      <c r="H791" s="1"/>
      <c r="I791" s="1"/>
      <c r="J791" s="1"/>
      <c r="K791" s="1"/>
      <c r="L791" s="1"/>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row>
    <row r="792" spans="1:51" x14ac:dyDescent="0.25">
      <c r="A792" s="1"/>
      <c r="B792" s="1"/>
      <c r="C792" s="1"/>
      <c r="D792" s="1"/>
      <c r="E792" s="1"/>
      <c r="F792" s="1"/>
      <c r="G792" s="1"/>
      <c r="H792" s="1"/>
      <c r="I792" s="1"/>
      <c r="J792" s="1"/>
      <c r="K792" s="1"/>
      <c r="L792" s="1"/>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row>
    <row r="793" spans="1:51" x14ac:dyDescent="0.25">
      <c r="A793" s="1"/>
      <c r="B793" s="1"/>
      <c r="C793" s="1"/>
      <c r="D793" s="1"/>
      <c r="E793" s="1"/>
      <c r="F793" s="1"/>
      <c r="G793" s="1"/>
      <c r="H793" s="1"/>
      <c r="I793" s="1"/>
      <c r="J793" s="1"/>
      <c r="K793" s="1"/>
      <c r="L793" s="1"/>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row>
    <row r="794" spans="1:51" x14ac:dyDescent="0.25">
      <c r="A794" s="1"/>
      <c r="B794" s="1"/>
      <c r="C794" s="1"/>
      <c r="D794" s="1"/>
      <c r="E794" s="1"/>
      <c r="F794" s="1"/>
      <c r="G794" s="1"/>
      <c r="H794" s="1"/>
      <c r="I794" s="1"/>
      <c r="J794" s="1"/>
      <c r="K794" s="1"/>
      <c r="L794" s="1"/>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row>
    <row r="795" spans="1:51" x14ac:dyDescent="0.25">
      <c r="A795" s="1"/>
      <c r="B795" s="1"/>
      <c r="C795" s="1"/>
      <c r="D795" s="1"/>
      <c r="E795" s="1"/>
      <c r="F795" s="1"/>
      <c r="G795" s="1"/>
      <c r="H795" s="1"/>
      <c r="I795" s="1"/>
      <c r="J795" s="1"/>
      <c r="K795" s="1"/>
      <c r="L795" s="1"/>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row>
    <row r="796" spans="1:51" x14ac:dyDescent="0.25">
      <c r="A796" s="1"/>
      <c r="B796" s="1"/>
      <c r="C796" s="1"/>
      <c r="D796" s="1"/>
      <c r="E796" s="1"/>
      <c r="F796" s="1"/>
      <c r="G796" s="1"/>
      <c r="H796" s="1"/>
      <c r="I796" s="1"/>
      <c r="J796" s="1"/>
      <c r="K796" s="1"/>
      <c r="L796" s="1"/>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row>
    <row r="797" spans="1:51" x14ac:dyDescent="0.25">
      <c r="A797" s="1"/>
      <c r="B797" s="1"/>
      <c r="C797" s="1"/>
      <c r="D797" s="1"/>
      <c r="E797" s="1"/>
      <c r="F797" s="1"/>
      <c r="G797" s="1"/>
      <c r="H797" s="1"/>
      <c r="I797" s="1"/>
      <c r="J797" s="1"/>
      <c r="K797" s="1"/>
      <c r="L797" s="1"/>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row>
    <row r="798" spans="1:51" x14ac:dyDescent="0.25">
      <c r="A798" s="1"/>
      <c r="B798" s="1"/>
      <c r="C798" s="1"/>
      <c r="D798" s="1"/>
      <c r="E798" s="1"/>
      <c r="F798" s="1"/>
      <c r="G798" s="1"/>
      <c r="H798" s="1"/>
      <c r="I798" s="1"/>
      <c r="J798" s="1"/>
      <c r="K798" s="1"/>
      <c r="L798" s="1"/>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row>
    <row r="799" spans="1:51" x14ac:dyDescent="0.25">
      <c r="A799" s="1"/>
      <c r="B799" s="1"/>
      <c r="C799" s="1"/>
      <c r="D799" s="1"/>
      <c r="E799" s="1"/>
      <c r="F799" s="1"/>
      <c r="G799" s="1"/>
      <c r="H799" s="1"/>
      <c r="I799" s="1"/>
      <c r="J799" s="1"/>
      <c r="K799" s="1"/>
      <c r="L799" s="1"/>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row>
    <row r="800" spans="1:51" x14ac:dyDescent="0.25">
      <c r="A800" s="1"/>
      <c r="B800" s="1"/>
      <c r="C800" s="1"/>
      <c r="D800" s="1"/>
      <c r="E800" s="1"/>
      <c r="F800" s="1"/>
      <c r="G800" s="1"/>
      <c r="H800" s="1"/>
      <c r="I800" s="1"/>
      <c r="J800" s="1"/>
      <c r="K800" s="1"/>
      <c r="L800" s="1"/>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row>
    <row r="801" spans="1:51" x14ac:dyDescent="0.25">
      <c r="A801" s="1"/>
      <c r="B801" s="1"/>
      <c r="C801" s="1"/>
      <c r="D801" s="1"/>
      <c r="E801" s="1"/>
      <c r="F801" s="1"/>
      <c r="G801" s="1"/>
      <c r="H801" s="1"/>
      <c r="I801" s="1"/>
      <c r="J801" s="1"/>
      <c r="K801" s="1"/>
      <c r="L801" s="1"/>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row>
    <row r="802" spans="1:51" x14ac:dyDescent="0.25">
      <c r="A802" s="1"/>
      <c r="B802" s="1"/>
      <c r="C802" s="1"/>
      <c r="D802" s="1"/>
      <c r="E802" s="1"/>
      <c r="F802" s="1"/>
      <c r="G802" s="1"/>
      <c r="H802" s="1"/>
      <c r="I802" s="1"/>
      <c r="J802" s="1"/>
      <c r="K802" s="1"/>
      <c r="L802" s="1"/>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row>
    <row r="803" spans="1:51" x14ac:dyDescent="0.25">
      <c r="A803" s="1"/>
      <c r="B803" s="1"/>
      <c r="C803" s="1"/>
      <c r="D803" s="1"/>
      <c r="E803" s="1"/>
      <c r="F803" s="1"/>
      <c r="G803" s="1"/>
      <c r="H803" s="1"/>
      <c r="I803" s="1"/>
      <c r="J803" s="1"/>
      <c r="K803" s="1"/>
      <c r="L803" s="1"/>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row>
    <row r="804" spans="1:51" x14ac:dyDescent="0.25">
      <c r="A804" s="1"/>
      <c r="B804" s="1"/>
      <c r="C804" s="1"/>
      <c r="D804" s="1"/>
      <c r="E804" s="1"/>
      <c r="F804" s="1"/>
      <c r="G804" s="1"/>
      <c r="H804" s="1"/>
      <c r="I804" s="1"/>
      <c r="J804" s="1"/>
      <c r="K804" s="1"/>
      <c r="L804" s="1"/>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row>
    <row r="805" spans="1:51" x14ac:dyDescent="0.25">
      <c r="A805" s="1"/>
      <c r="B805" s="1"/>
      <c r="C805" s="1"/>
      <c r="D805" s="1"/>
      <c r="E805" s="1"/>
      <c r="F805" s="1"/>
      <c r="G805" s="1"/>
      <c r="H805" s="1"/>
      <c r="I805" s="1"/>
      <c r="J805" s="1"/>
      <c r="K805" s="1"/>
      <c r="L805" s="1"/>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row>
    <row r="806" spans="1:51" x14ac:dyDescent="0.25">
      <c r="A806" s="1"/>
      <c r="B806" s="1"/>
      <c r="C806" s="1"/>
      <c r="D806" s="1"/>
      <c r="E806" s="1"/>
      <c r="F806" s="1"/>
      <c r="G806" s="1"/>
      <c r="H806" s="1"/>
      <c r="I806" s="1"/>
      <c r="J806" s="1"/>
      <c r="K806" s="1"/>
      <c r="L806" s="1"/>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row>
    <row r="807" spans="1:51" x14ac:dyDescent="0.25">
      <c r="A807" s="1"/>
      <c r="B807" s="1"/>
      <c r="C807" s="1"/>
      <c r="D807" s="1"/>
      <c r="E807" s="1"/>
      <c r="F807" s="1"/>
      <c r="G807" s="1"/>
      <c r="H807" s="1"/>
      <c r="I807" s="1"/>
      <c r="J807" s="1"/>
      <c r="K807" s="1"/>
      <c r="L807" s="1"/>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row>
    <row r="808" spans="1:51" x14ac:dyDescent="0.25">
      <c r="A808" s="1"/>
      <c r="B808" s="1"/>
      <c r="C808" s="1"/>
      <c r="D808" s="1"/>
      <c r="E808" s="1"/>
      <c r="F808" s="1"/>
      <c r="G808" s="1"/>
      <c r="H808" s="1"/>
      <c r="I808" s="1"/>
      <c r="J808" s="1"/>
      <c r="K808" s="1"/>
      <c r="L808" s="1"/>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row>
    <row r="809" spans="1:51" x14ac:dyDescent="0.25">
      <c r="A809" s="1"/>
      <c r="B809" s="1"/>
      <c r="C809" s="1"/>
      <c r="D809" s="1"/>
      <c r="E809" s="1"/>
      <c r="F809" s="1"/>
      <c r="G809" s="1"/>
      <c r="H809" s="1"/>
      <c r="I809" s="1"/>
      <c r="J809" s="1"/>
      <c r="K809" s="1"/>
      <c r="L809" s="1"/>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row>
    <row r="810" spans="1:51" x14ac:dyDescent="0.25">
      <c r="A810" s="1"/>
      <c r="B810" s="1"/>
      <c r="C810" s="1"/>
      <c r="D810" s="1"/>
      <c r="E810" s="1"/>
      <c r="F810" s="1"/>
      <c r="G810" s="1"/>
      <c r="H810" s="1"/>
      <c r="I810" s="1"/>
      <c r="J810" s="1"/>
      <c r="K810" s="1"/>
      <c r="L810" s="1"/>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row>
    <row r="811" spans="1:51" x14ac:dyDescent="0.25">
      <c r="A811" s="1"/>
      <c r="B811" s="1"/>
      <c r="C811" s="1"/>
      <c r="D811" s="1"/>
      <c r="E811" s="1"/>
      <c r="F811" s="1"/>
      <c r="G811" s="1"/>
      <c r="H811" s="1"/>
      <c r="I811" s="1"/>
      <c r="J811" s="1"/>
      <c r="K811" s="1"/>
      <c r="L811" s="1"/>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row>
    <row r="812" spans="1:51" x14ac:dyDescent="0.25">
      <c r="A812" s="1"/>
      <c r="B812" s="1"/>
      <c r="C812" s="1"/>
      <c r="D812" s="1"/>
      <c r="E812" s="1"/>
      <c r="F812" s="1"/>
      <c r="G812" s="1"/>
      <c r="H812" s="1"/>
      <c r="I812" s="1"/>
      <c r="J812" s="1"/>
      <c r="K812" s="1"/>
      <c r="L812" s="1"/>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row>
    <row r="813" spans="1:51" x14ac:dyDescent="0.25">
      <c r="A813" s="1"/>
      <c r="B813" s="1"/>
      <c r="C813" s="1"/>
      <c r="D813" s="1"/>
      <c r="E813" s="1"/>
      <c r="F813" s="1"/>
      <c r="G813" s="1"/>
      <c r="H813" s="1"/>
      <c r="I813" s="1"/>
      <c r="J813" s="1"/>
      <c r="K813" s="1"/>
      <c r="L813" s="1"/>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row>
    <row r="814" spans="1:51" x14ac:dyDescent="0.25">
      <c r="A814" s="1"/>
      <c r="B814" s="1"/>
      <c r="C814" s="1"/>
      <c r="D814" s="1"/>
      <c r="E814" s="1"/>
      <c r="F814" s="1"/>
      <c r="G814" s="1"/>
      <c r="H814" s="1"/>
      <c r="I814" s="1"/>
      <c r="J814" s="1"/>
      <c r="K814" s="1"/>
      <c r="L814" s="1"/>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row>
    <row r="815" spans="1:51" x14ac:dyDescent="0.25">
      <c r="A815" s="1"/>
      <c r="B815" s="1"/>
      <c r="C815" s="1"/>
      <c r="D815" s="1"/>
      <c r="E815" s="1"/>
      <c r="F815" s="1"/>
      <c r="G815" s="1"/>
      <c r="H815" s="1"/>
      <c r="I815" s="1"/>
      <c r="J815" s="1"/>
      <c r="K815" s="1"/>
      <c r="L815" s="1"/>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row>
    <row r="816" spans="1:51" x14ac:dyDescent="0.25">
      <c r="A816" s="1"/>
      <c r="B816" s="1"/>
      <c r="C816" s="1"/>
      <c r="D816" s="1"/>
      <c r="E816" s="1"/>
      <c r="F816" s="1"/>
      <c r="G816" s="1"/>
      <c r="H816" s="1"/>
      <c r="I816" s="1"/>
      <c r="J816" s="1"/>
      <c r="K816" s="1"/>
      <c r="L816" s="1"/>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row>
    <row r="817" spans="1:51" x14ac:dyDescent="0.25">
      <c r="A817" s="1"/>
      <c r="B817" s="1"/>
      <c r="C817" s="1"/>
      <c r="D817" s="1"/>
      <c r="E817" s="1"/>
      <c r="F817" s="1"/>
      <c r="G817" s="1"/>
      <c r="H817" s="1"/>
      <c r="I817" s="1"/>
      <c r="J817" s="1"/>
      <c r="K817" s="1"/>
      <c r="L817" s="1"/>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row>
    <row r="818" spans="1:51" x14ac:dyDescent="0.25">
      <c r="A818" s="1"/>
      <c r="B818" s="1"/>
      <c r="C818" s="1"/>
      <c r="D818" s="1"/>
      <c r="E818" s="1"/>
      <c r="F818" s="1"/>
      <c r="G818" s="1"/>
      <c r="H818" s="1"/>
      <c r="I818" s="1"/>
      <c r="J818" s="1"/>
      <c r="K818" s="1"/>
      <c r="L818" s="1"/>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row>
    <row r="819" spans="1:51" x14ac:dyDescent="0.25">
      <c r="A819" s="1"/>
      <c r="B819" s="1"/>
      <c r="C819" s="1"/>
      <c r="D819" s="1"/>
      <c r="E819" s="1"/>
      <c r="F819" s="1"/>
      <c r="G819" s="1"/>
      <c r="H819" s="1"/>
      <c r="I819" s="1"/>
      <c r="J819" s="1"/>
      <c r="K819" s="1"/>
      <c r="L819" s="1"/>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row>
    <row r="820" spans="1:51" x14ac:dyDescent="0.25">
      <c r="A820" s="1"/>
      <c r="B820" s="1"/>
      <c r="C820" s="1"/>
      <c r="D820" s="1"/>
      <c r="E820" s="1"/>
      <c r="F820" s="1"/>
      <c r="G820" s="1"/>
      <c r="H820" s="1"/>
      <c r="I820" s="1"/>
      <c r="J820" s="1"/>
      <c r="K820" s="1"/>
      <c r="L820" s="1"/>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row>
    <row r="821" spans="1:51" x14ac:dyDescent="0.25">
      <c r="A821" s="1"/>
      <c r="B821" s="1"/>
      <c r="C821" s="1"/>
      <c r="D821" s="1"/>
      <c r="E821" s="1"/>
      <c r="F821" s="1"/>
      <c r="G821" s="1"/>
      <c r="H821" s="1"/>
      <c r="I821" s="1"/>
      <c r="J821" s="1"/>
      <c r="K821" s="1"/>
      <c r="L821" s="1"/>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row>
    <row r="822" spans="1:51" x14ac:dyDescent="0.25">
      <c r="A822" s="1"/>
      <c r="B822" s="1"/>
      <c r="C822" s="1"/>
      <c r="D822" s="1"/>
      <c r="E822" s="1"/>
      <c r="F822" s="1"/>
      <c r="G822" s="1"/>
      <c r="H822" s="1"/>
      <c r="I822" s="1"/>
      <c r="J822" s="1"/>
      <c r="K822" s="1"/>
      <c r="L822" s="1"/>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row>
    <row r="823" spans="1:51" x14ac:dyDescent="0.25">
      <c r="A823" s="1"/>
      <c r="B823" s="1"/>
      <c r="C823" s="1"/>
      <c r="D823" s="1"/>
      <c r="E823" s="1"/>
      <c r="F823" s="1"/>
      <c r="G823" s="1"/>
      <c r="H823" s="1"/>
      <c r="I823" s="1"/>
      <c r="J823" s="1"/>
      <c r="K823" s="1"/>
      <c r="L823" s="1"/>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row>
    <row r="824" spans="1:51" x14ac:dyDescent="0.25">
      <c r="A824" s="1"/>
      <c r="B824" s="1"/>
      <c r="C824" s="1"/>
      <c r="D824" s="1"/>
      <c r="E824" s="1"/>
      <c r="F824" s="1"/>
      <c r="G824" s="1"/>
      <c r="H824" s="1"/>
      <c r="I824" s="1"/>
      <c r="J824" s="1"/>
      <c r="K824" s="1"/>
      <c r="L824" s="1"/>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row>
    <row r="825" spans="1:51" x14ac:dyDescent="0.25">
      <c r="A825" s="1"/>
      <c r="B825" s="1"/>
      <c r="C825" s="1"/>
      <c r="D825" s="1"/>
      <c r="E825" s="1"/>
      <c r="F825" s="1"/>
      <c r="G825" s="1"/>
      <c r="H825" s="1"/>
      <c r="I825" s="1"/>
      <c r="J825" s="1"/>
      <c r="K825" s="1"/>
      <c r="L825" s="1"/>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row>
    <row r="826" spans="1:51" x14ac:dyDescent="0.25">
      <c r="A826" s="1"/>
      <c r="B826" s="1"/>
      <c r="C826" s="1"/>
      <c r="D826" s="1"/>
      <c r="E826" s="1"/>
      <c r="F826" s="1"/>
      <c r="G826" s="1"/>
      <c r="H826" s="1"/>
      <c r="I826" s="1"/>
      <c r="J826" s="1"/>
      <c r="K826" s="1"/>
      <c r="L826" s="1"/>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row>
    <row r="827" spans="1:51" x14ac:dyDescent="0.25">
      <c r="A827" s="1"/>
      <c r="B827" s="1"/>
      <c r="C827" s="1"/>
      <c r="D827" s="1"/>
      <c r="E827" s="1"/>
      <c r="F827" s="1"/>
      <c r="G827" s="1"/>
      <c r="H827" s="1"/>
      <c r="I827" s="1"/>
      <c r="J827" s="1"/>
      <c r="K827" s="1"/>
      <c r="L827" s="1"/>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row>
    <row r="828" spans="1:51" x14ac:dyDescent="0.25">
      <c r="A828" s="1"/>
      <c r="B828" s="1"/>
      <c r="C828" s="1"/>
      <c r="D828" s="1"/>
      <c r="E828" s="1"/>
      <c r="F828" s="1"/>
      <c r="G828" s="1"/>
      <c r="H828" s="1"/>
      <c r="I828" s="1"/>
      <c r="J828" s="1"/>
      <c r="K828" s="1"/>
      <c r="L828" s="1"/>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row>
    <row r="829" spans="1:51" x14ac:dyDescent="0.25">
      <c r="A829" s="1"/>
      <c r="B829" s="1"/>
      <c r="C829" s="1"/>
      <c r="D829" s="1"/>
      <c r="E829" s="1"/>
      <c r="F829" s="1"/>
      <c r="G829" s="1"/>
      <c r="H829" s="1"/>
      <c r="I829" s="1"/>
      <c r="J829" s="1"/>
      <c r="K829" s="1"/>
      <c r="L829" s="1"/>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row>
    <row r="830" spans="1:51" x14ac:dyDescent="0.25">
      <c r="A830" s="1"/>
      <c r="B830" s="1"/>
      <c r="C830" s="1"/>
      <c r="D830" s="1"/>
      <c r="E830" s="1"/>
      <c r="F830" s="1"/>
      <c r="G830" s="1"/>
      <c r="H830" s="1"/>
      <c r="I830" s="1"/>
      <c r="J830" s="1"/>
      <c r="K830" s="1"/>
      <c r="L830" s="1"/>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row>
    <row r="831" spans="1:51" x14ac:dyDescent="0.25">
      <c r="A831" s="1"/>
      <c r="B831" s="1"/>
      <c r="C831" s="1"/>
      <c r="D831" s="1"/>
      <c r="E831" s="1"/>
      <c r="F831" s="1"/>
      <c r="G831" s="1"/>
      <c r="H831" s="1"/>
      <c r="I831" s="1"/>
      <c r="J831" s="1"/>
      <c r="K831" s="1"/>
      <c r="L831" s="1"/>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row>
    <row r="832" spans="1:51" x14ac:dyDescent="0.25">
      <c r="A832" s="1"/>
      <c r="B832" s="1"/>
      <c r="C832" s="1"/>
      <c r="D832" s="1"/>
      <c r="E832" s="1"/>
      <c r="F832" s="1"/>
      <c r="G832" s="1"/>
      <c r="H832" s="1"/>
      <c r="I832" s="1"/>
      <c r="J832" s="1"/>
      <c r="K832" s="1"/>
      <c r="L832" s="1"/>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row>
    <row r="833" spans="1:51" x14ac:dyDescent="0.25">
      <c r="A833" s="1"/>
      <c r="B833" s="1"/>
      <c r="C833" s="1"/>
      <c r="D833" s="1"/>
      <c r="E833" s="1"/>
      <c r="F833" s="1"/>
      <c r="G833" s="1"/>
      <c r="H833" s="1"/>
      <c r="I833" s="1"/>
      <c r="J833" s="1"/>
      <c r="K833" s="1"/>
      <c r="L833" s="1"/>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row>
    <row r="834" spans="1:51" x14ac:dyDescent="0.25">
      <c r="A834" s="1"/>
      <c r="B834" s="1"/>
      <c r="C834" s="1"/>
      <c r="D834" s="1"/>
      <c r="E834" s="1"/>
      <c r="F834" s="1"/>
      <c r="G834" s="1"/>
      <c r="H834" s="1"/>
      <c r="I834" s="1"/>
      <c r="J834" s="1"/>
      <c r="K834" s="1"/>
      <c r="L834" s="1"/>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row>
    <row r="835" spans="1:51" x14ac:dyDescent="0.25">
      <c r="A835" s="1"/>
      <c r="B835" s="1"/>
      <c r="C835" s="1"/>
      <c r="D835" s="1"/>
      <c r="E835" s="1"/>
      <c r="F835" s="1"/>
      <c r="G835" s="1"/>
      <c r="H835" s="1"/>
      <c r="I835" s="1"/>
      <c r="J835" s="1"/>
      <c r="K835" s="1"/>
      <c r="L835" s="1"/>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row>
    <row r="836" spans="1:51" x14ac:dyDescent="0.25">
      <c r="A836" s="1"/>
      <c r="B836" s="1"/>
      <c r="C836" s="1"/>
      <c r="D836" s="1"/>
      <c r="E836" s="1"/>
      <c r="F836" s="1"/>
      <c r="G836" s="1"/>
      <c r="H836" s="1"/>
      <c r="I836" s="1"/>
      <c r="J836" s="1"/>
      <c r="K836" s="1"/>
      <c r="L836" s="1"/>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row>
    <row r="837" spans="1:51" x14ac:dyDescent="0.25">
      <c r="A837" s="1"/>
      <c r="B837" s="1"/>
      <c r="C837" s="1"/>
      <c r="D837" s="1"/>
      <c r="E837" s="1"/>
      <c r="F837" s="1"/>
      <c r="G837" s="1"/>
      <c r="H837" s="1"/>
      <c r="I837" s="1"/>
      <c r="J837" s="1"/>
      <c r="K837" s="1"/>
      <c r="L837" s="1"/>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row>
    <row r="838" spans="1:51" x14ac:dyDescent="0.25">
      <c r="A838" s="1"/>
      <c r="B838" s="1"/>
      <c r="C838" s="1"/>
      <c r="D838" s="1"/>
      <c r="E838" s="1"/>
      <c r="F838" s="1"/>
      <c r="G838" s="1"/>
      <c r="H838" s="1"/>
      <c r="I838" s="1"/>
      <c r="J838" s="1"/>
      <c r="K838" s="1"/>
      <c r="L838" s="1"/>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row>
    <row r="839" spans="1:51" x14ac:dyDescent="0.25">
      <c r="A839" s="1"/>
      <c r="B839" s="1"/>
      <c r="C839" s="1"/>
      <c r="D839" s="1"/>
      <c r="E839" s="1"/>
      <c r="F839" s="1"/>
      <c r="G839" s="1"/>
      <c r="H839" s="1"/>
      <c r="I839" s="1"/>
      <c r="J839" s="1"/>
      <c r="K839" s="1"/>
      <c r="L839" s="1"/>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row>
    <row r="840" spans="1:51" x14ac:dyDescent="0.25">
      <c r="A840" s="1"/>
      <c r="B840" s="1"/>
      <c r="C840" s="1"/>
      <c r="D840" s="1"/>
      <c r="E840" s="1"/>
      <c r="F840" s="1"/>
      <c r="G840" s="1"/>
      <c r="H840" s="1"/>
      <c r="I840" s="1"/>
      <c r="J840" s="1"/>
      <c r="K840" s="1"/>
      <c r="L840" s="1"/>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row>
    <row r="841" spans="1:51" x14ac:dyDescent="0.25">
      <c r="A841" s="1"/>
      <c r="B841" s="1"/>
      <c r="C841" s="1"/>
      <c r="D841" s="1"/>
      <c r="E841" s="1"/>
      <c r="F841" s="1"/>
      <c r="G841" s="1"/>
      <c r="H841" s="1"/>
      <c r="I841" s="1"/>
      <c r="J841" s="1"/>
      <c r="K841" s="1"/>
      <c r="L841" s="1"/>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row>
    <row r="842" spans="1:51" x14ac:dyDescent="0.25">
      <c r="A842" s="1"/>
      <c r="B842" s="1"/>
      <c r="C842" s="1"/>
      <c r="D842" s="1"/>
      <c r="E842" s="1"/>
      <c r="F842" s="1"/>
      <c r="G842" s="1"/>
      <c r="H842" s="1"/>
      <c r="I842" s="1"/>
      <c r="J842" s="1"/>
      <c r="K842" s="1"/>
      <c r="L842" s="1"/>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row>
    <row r="843" spans="1:51" x14ac:dyDescent="0.25">
      <c r="A843" s="1"/>
      <c r="B843" s="1"/>
      <c r="C843" s="1"/>
      <c r="D843" s="1"/>
      <c r="E843" s="1"/>
      <c r="F843" s="1"/>
      <c r="G843" s="1"/>
      <c r="H843" s="1"/>
      <c r="I843" s="1"/>
      <c r="J843" s="1"/>
      <c r="K843" s="1"/>
      <c r="L843" s="1"/>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row>
    <row r="844" spans="1:51" x14ac:dyDescent="0.25">
      <c r="A844" s="1"/>
      <c r="B844" s="1"/>
      <c r="C844" s="1"/>
      <c r="D844" s="1"/>
      <c r="E844" s="1"/>
      <c r="F844" s="1"/>
      <c r="G844" s="1"/>
      <c r="H844" s="1"/>
      <c r="I844" s="1"/>
      <c r="J844" s="1"/>
      <c r="K844" s="1"/>
      <c r="L844" s="1"/>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row>
    <row r="845" spans="1:51" x14ac:dyDescent="0.25">
      <c r="A845" s="1"/>
      <c r="B845" s="1"/>
      <c r="C845" s="1"/>
      <c r="D845" s="1"/>
      <c r="E845" s="1"/>
      <c r="F845" s="1"/>
      <c r="G845" s="1"/>
      <c r="H845" s="1"/>
      <c r="I845" s="1"/>
      <c r="J845" s="1"/>
      <c r="K845" s="1"/>
      <c r="L845" s="1"/>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row>
    <row r="846" spans="1:51" x14ac:dyDescent="0.25">
      <c r="A846" s="1"/>
      <c r="B846" s="1"/>
      <c r="C846" s="1"/>
      <c r="D846" s="1"/>
      <c r="E846" s="1"/>
      <c r="F846" s="1"/>
      <c r="G846" s="1"/>
      <c r="H846" s="1"/>
      <c r="I846" s="1"/>
      <c r="J846" s="1"/>
      <c r="K846" s="1"/>
      <c r="L846" s="1"/>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row>
    <row r="847" spans="1:51" x14ac:dyDescent="0.25">
      <c r="A847" s="1"/>
      <c r="B847" s="1"/>
      <c r="C847" s="1"/>
      <c r="D847" s="1"/>
      <c r="E847" s="1"/>
      <c r="F847" s="1"/>
      <c r="G847" s="1"/>
      <c r="H847" s="1"/>
      <c r="I847" s="1"/>
      <c r="J847" s="1"/>
      <c r="K847" s="1"/>
      <c r="L847" s="1"/>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row>
    <row r="848" spans="1:51" x14ac:dyDescent="0.25">
      <c r="A848" s="1"/>
      <c r="B848" s="1"/>
      <c r="C848" s="1"/>
      <c r="D848" s="1"/>
      <c r="E848" s="1"/>
      <c r="F848" s="1"/>
      <c r="G848" s="1"/>
      <c r="H848" s="1"/>
      <c r="I848" s="1"/>
      <c r="J848" s="1"/>
      <c r="K848" s="1"/>
      <c r="L848" s="1"/>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51" x14ac:dyDescent="0.25">
      <c r="A849" s="1"/>
      <c r="B849" s="1"/>
      <c r="C849" s="1"/>
      <c r="D849" s="1"/>
      <c r="E849" s="1"/>
      <c r="F849" s="1"/>
      <c r="G849" s="1"/>
      <c r="H849" s="1"/>
      <c r="I849" s="1"/>
      <c r="J849" s="1"/>
      <c r="K849" s="1"/>
      <c r="L849" s="1"/>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row>
    <row r="850" spans="1:51" x14ac:dyDescent="0.25">
      <c r="A850" s="1"/>
      <c r="B850" s="1"/>
      <c r="C850" s="1"/>
      <c r="D850" s="1"/>
      <c r="E850" s="1"/>
      <c r="F850" s="1"/>
      <c r="G850" s="1"/>
      <c r="H850" s="1"/>
      <c r="I850" s="1"/>
      <c r="J850" s="1"/>
      <c r="K850" s="1"/>
      <c r="L850" s="1"/>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row>
    <row r="851" spans="1:51" x14ac:dyDescent="0.25">
      <c r="A851" s="1"/>
      <c r="B851" s="1"/>
      <c r="C851" s="1"/>
      <c r="D851" s="1"/>
      <c r="E851" s="1"/>
      <c r="F851" s="1"/>
      <c r="G851" s="1"/>
      <c r="H851" s="1"/>
      <c r="I851" s="1"/>
      <c r="J851" s="1"/>
      <c r="K851" s="1"/>
      <c r="L851" s="1"/>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row>
    <row r="852" spans="1:51" x14ac:dyDescent="0.25">
      <c r="A852" s="1"/>
      <c r="B852" s="1"/>
      <c r="C852" s="1"/>
      <c r="D852" s="1"/>
      <c r="E852" s="1"/>
      <c r="F852" s="1"/>
      <c r="G852" s="1"/>
      <c r="H852" s="1"/>
      <c r="I852" s="1"/>
      <c r="J852" s="1"/>
      <c r="K852" s="1"/>
      <c r="L852" s="1"/>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row>
    <row r="853" spans="1:51" x14ac:dyDescent="0.25">
      <c r="A853" s="1"/>
      <c r="B853" s="1"/>
      <c r="C853" s="1"/>
      <c r="D853" s="1"/>
      <c r="E853" s="1"/>
      <c r="F853" s="1"/>
      <c r="G853" s="1"/>
      <c r="H853" s="1"/>
      <c r="I853" s="1"/>
      <c r="J853" s="1"/>
      <c r="K853" s="1"/>
      <c r="L853" s="1"/>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row>
    <row r="854" spans="1:51" x14ac:dyDescent="0.25">
      <c r="A854" s="1"/>
      <c r="B854" s="1"/>
      <c r="C854" s="1"/>
      <c r="D854" s="1"/>
      <c r="E854" s="1"/>
      <c r="F854" s="1"/>
      <c r="G854" s="1"/>
      <c r="H854" s="1"/>
      <c r="I854" s="1"/>
      <c r="J854" s="1"/>
      <c r="K854" s="1"/>
      <c r="L854" s="1"/>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row>
    <row r="855" spans="1:51" x14ac:dyDescent="0.25">
      <c r="A855" s="1"/>
      <c r="B855" s="1"/>
      <c r="C855" s="1"/>
      <c r="D855" s="1"/>
      <c r="E855" s="1"/>
      <c r="F855" s="1"/>
      <c r="G855" s="1"/>
      <c r="H855" s="1"/>
      <c r="I855" s="1"/>
      <c r="J855" s="1"/>
      <c r="K855" s="1"/>
      <c r="L855" s="1"/>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row>
    <row r="856" spans="1:51" x14ac:dyDescent="0.25">
      <c r="A856" s="1"/>
      <c r="B856" s="1"/>
      <c r="C856" s="1"/>
      <c r="D856" s="1"/>
      <c r="E856" s="1"/>
      <c r="F856" s="1"/>
      <c r="G856" s="1"/>
      <c r="H856" s="1"/>
      <c r="I856" s="1"/>
      <c r="J856" s="1"/>
      <c r="K856" s="1"/>
      <c r="L856" s="1"/>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row>
    <row r="857" spans="1:51" x14ac:dyDescent="0.25">
      <c r="A857" s="1"/>
      <c r="B857" s="1"/>
      <c r="C857" s="1"/>
      <c r="D857" s="1"/>
      <c r="E857" s="1"/>
      <c r="F857" s="1"/>
      <c r="G857" s="1"/>
      <c r="H857" s="1"/>
      <c r="I857" s="1"/>
      <c r="J857" s="1"/>
      <c r="K857" s="1"/>
      <c r="L857" s="1"/>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row>
    <row r="858" spans="1:51" x14ac:dyDescent="0.25">
      <c r="A858" s="1"/>
      <c r="B858" s="1"/>
      <c r="C858" s="1"/>
      <c r="D858" s="1"/>
      <c r="E858" s="1"/>
      <c r="F858" s="1"/>
      <c r="G858" s="1"/>
      <c r="H858" s="1"/>
      <c r="I858" s="1"/>
      <c r="J858" s="1"/>
      <c r="K858" s="1"/>
      <c r="L858" s="1"/>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row>
    <row r="859" spans="1:51" x14ac:dyDescent="0.25">
      <c r="A859" s="1"/>
      <c r="B859" s="1"/>
      <c r="C859" s="1"/>
      <c r="D859" s="1"/>
      <c r="E859" s="1"/>
      <c r="F859" s="1"/>
      <c r="G859" s="1"/>
      <c r="H859" s="1"/>
      <c r="I859" s="1"/>
      <c r="J859" s="1"/>
      <c r="K859" s="1"/>
      <c r="L859" s="1"/>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row>
    <row r="860" spans="1:51" x14ac:dyDescent="0.25">
      <c r="A860" s="1"/>
      <c r="B860" s="1"/>
      <c r="C860" s="1"/>
      <c r="D860" s="1"/>
      <c r="E860" s="1"/>
      <c r="F860" s="1"/>
      <c r="G860" s="1"/>
      <c r="H860" s="1"/>
      <c r="I860" s="1"/>
      <c r="J860" s="1"/>
      <c r="K860" s="1"/>
      <c r="L860" s="1"/>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row>
    <row r="861" spans="1:51" x14ac:dyDescent="0.25">
      <c r="A861" s="1"/>
      <c r="B861" s="1"/>
      <c r="C861" s="1"/>
      <c r="D861" s="1"/>
      <c r="E861" s="1"/>
      <c r="F861" s="1"/>
      <c r="G861" s="1"/>
      <c r="H861" s="1"/>
      <c r="I861" s="1"/>
      <c r="J861" s="1"/>
      <c r="K861" s="1"/>
      <c r="L861" s="1"/>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row>
    <row r="862" spans="1:51" x14ac:dyDescent="0.25">
      <c r="A862" s="1"/>
      <c r="B862" s="1"/>
      <c r="C862" s="1"/>
      <c r="D862" s="1"/>
      <c r="E862" s="1"/>
      <c r="F862" s="1"/>
      <c r="G862" s="1"/>
      <c r="H862" s="1"/>
      <c r="I862" s="1"/>
      <c r="J862" s="1"/>
      <c r="K862" s="1"/>
      <c r="L862" s="1"/>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row>
    <row r="863" spans="1:51" x14ac:dyDescent="0.25">
      <c r="A863" s="1"/>
      <c r="B863" s="1"/>
      <c r="C863" s="1"/>
      <c r="D863" s="1"/>
      <c r="E863" s="1"/>
      <c r="F863" s="1"/>
      <c r="G863" s="1"/>
      <c r="H863" s="1"/>
      <c r="I863" s="1"/>
      <c r="J863" s="1"/>
      <c r="K863" s="1"/>
      <c r="L863" s="1"/>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row>
    <row r="864" spans="1:51" x14ac:dyDescent="0.25">
      <c r="A864" s="1"/>
      <c r="B864" s="1"/>
      <c r="C864" s="1"/>
      <c r="D864" s="1"/>
      <c r="E864" s="1"/>
      <c r="F864" s="1"/>
      <c r="G864" s="1"/>
      <c r="H864" s="1"/>
      <c r="I864" s="1"/>
      <c r="J864" s="1"/>
      <c r="K864" s="1"/>
      <c r="L864" s="1"/>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row>
    <row r="865" spans="1:51" x14ac:dyDescent="0.25">
      <c r="A865" s="1"/>
      <c r="B865" s="1"/>
      <c r="C865" s="1"/>
      <c r="D865" s="1"/>
      <c r="E865" s="1"/>
      <c r="F865" s="1"/>
      <c r="G865" s="1"/>
      <c r="H865" s="1"/>
      <c r="I865" s="1"/>
      <c r="J865" s="1"/>
      <c r="K865" s="1"/>
      <c r="L865" s="1"/>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row>
    <row r="866" spans="1:51" x14ac:dyDescent="0.25">
      <c r="A866" s="1"/>
      <c r="B866" s="1"/>
      <c r="C866" s="1"/>
      <c r="D866" s="1"/>
      <c r="E866" s="1"/>
      <c r="F866" s="1"/>
      <c r="G866" s="1"/>
      <c r="H866" s="1"/>
      <c r="I866" s="1"/>
      <c r="J866" s="1"/>
      <c r="K866" s="1"/>
      <c r="L866" s="1"/>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row>
    <row r="867" spans="1:51" x14ac:dyDescent="0.25">
      <c r="A867" s="1"/>
      <c r="B867" s="1"/>
      <c r="C867" s="1"/>
      <c r="D867" s="1"/>
      <c r="E867" s="1"/>
      <c r="F867" s="1"/>
      <c r="G867" s="1"/>
      <c r="H867" s="1"/>
      <c r="I867" s="1"/>
      <c r="J867" s="1"/>
      <c r="K867" s="1"/>
      <c r="L867" s="1"/>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row>
    <row r="868" spans="1:51" x14ac:dyDescent="0.25">
      <c r="A868" s="1"/>
      <c r="B868" s="1"/>
      <c r="C868" s="1"/>
      <c r="D868" s="1"/>
      <c r="E868" s="1"/>
      <c r="F868" s="1"/>
      <c r="G868" s="1"/>
      <c r="H868" s="1"/>
      <c r="I868" s="1"/>
      <c r="J868" s="1"/>
      <c r="K868" s="1"/>
      <c r="L868" s="1"/>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x14ac:dyDescent="0.25">
      <c r="A869" s="1"/>
      <c r="B869" s="1"/>
      <c r="C869" s="1"/>
      <c r="D869" s="1"/>
      <c r="E869" s="1"/>
      <c r="F869" s="1"/>
      <c r="G869" s="1"/>
      <c r="H869" s="1"/>
      <c r="I869" s="1"/>
      <c r="J869" s="1"/>
      <c r="K869" s="1"/>
      <c r="L869" s="1"/>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row>
    <row r="870" spans="1:51" x14ac:dyDescent="0.25">
      <c r="A870" s="1"/>
      <c r="B870" s="1"/>
      <c r="C870" s="1"/>
      <c r="D870" s="1"/>
      <c r="E870" s="1"/>
      <c r="F870" s="1"/>
      <c r="G870" s="1"/>
      <c r="H870" s="1"/>
      <c r="I870" s="1"/>
      <c r="J870" s="1"/>
      <c r="K870" s="1"/>
      <c r="L870" s="1"/>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row>
    <row r="871" spans="1:51" x14ac:dyDescent="0.25">
      <c r="A871" s="1"/>
      <c r="B871" s="1"/>
      <c r="C871" s="1"/>
      <c r="D871" s="1"/>
      <c r="E871" s="1"/>
      <c r="F871" s="1"/>
      <c r="G871" s="1"/>
      <c r="H871" s="1"/>
      <c r="I871" s="1"/>
      <c r="J871" s="1"/>
      <c r="K871" s="1"/>
      <c r="L871" s="1"/>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row>
    <row r="872" spans="1:51" x14ac:dyDescent="0.25">
      <c r="A872" s="1"/>
      <c r="B872" s="1"/>
      <c r="C872" s="1"/>
      <c r="D872" s="1"/>
      <c r="E872" s="1"/>
      <c r="F872" s="1"/>
      <c r="G872" s="1"/>
      <c r="H872" s="1"/>
      <c r="I872" s="1"/>
      <c r="J872" s="1"/>
      <c r="K872" s="1"/>
      <c r="L872" s="1"/>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row>
    <row r="873" spans="1:51" x14ac:dyDescent="0.25">
      <c r="A873" s="1"/>
      <c r="B873" s="1"/>
      <c r="C873" s="1"/>
      <c r="D873" s="1"/>
      <c r="E873" s="1"/>
      <c r="F873" s="1"/>
      <c r="G873" s="1"/>
      <c r="H873" s="1"/>
      <c r="I873" s="1"/>
      <c r="J873" s="1"/>
      <c r="K873" s="1"/>
      <c r="L873" s="1"/>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row>
    <row r="874" spans="1:51" x14ac:dyDescent="0.25">
      <c r="A874" s="1"/>
      <c r="B874" s="1"/>
      <c r="C874" s="1"/>
      <c r="D874" s="1"/>
      <c r="E874" s="1"/>
      <c r="F874" s="1"/>
      <c r="G874" s="1"/>
      <c r="H874" s="1"/>
      <c r="I874" s="1"/>
      <c r="J874" s="1"/>
      <c r="K874" s="1"/>
      <c r="L874" s="1"/>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row>
    <row r="875" spans="1:51" x14ac:dyDescent="0.25">
      <c r="A875" s="1"/>
      <c r="B875" s="1"/>
      <c r="C875" s="1"/>
      <c r="D875" s="1"/>
      <c r="E875" s="1"/>
      <c r="F875" s="1"/>
      <c r="G875" s="1"/>
      <c r="H875" s="1"/>
      <c r="I875" s="1"/>
      <c r="J875" s="1"/>
      <c r="K875" s="1"/>
      <c r="L875" s="1"/>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row>
    <row r="876" spans="1:51" x14ac:dyDescent="0.25">
      <c r="A876" s="1"/>
      <c r="B876" s="1"/>
      <c r="C876" s="1"/>
      <c r="D876" s="1"/>
      <c r="E876" s="1"/>
      <c r="F876" s="1"/>
      <c r="G876" s="1"/>
      <c r="H876" s="1"/>
      <c r="I876" s="1"/>
      <c r="J876" s="1"/>
      <c r="K876" s="1"/>
      <c r="L876" s="1"/>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row>
    <row r="877" spans="1:51" x14ac:dyDescent="0.25">
      <c r="A877" s="1"/>
      <c r="B877" s="1"/>
      <c r="C877" s="1"/>
      <c r="D877" s="1"/>
      <c r="E877" s="1"/>
      <c r="F877" s="1"/>
      <c r="G877" s="1"/>
      <c r="H877" s="1"/>
      <c r="I877" s="1"/>
      <c r="J877" s="1"/>
      <c r="K877" s="1"/>
      <c r="L877" s="1"/>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row>
    <row r="878" spans="1:51" x14ac:dyDescent="0.25">
      <c r="A878" s="1"/>
      <c r="B878" s="1"/>
      <c r="C878" s="1"/>
      <c r="D878" s="1"/>
      <c r="E878" s="1"/>
      <c r="F878" s="1"/>
      <c r="G878" s="1"/>
      <c r="H878" s="1"/>
      <c r="I878" s="1"/>
      <c r="J878" s="1"/>
      <c r="K878" s="1"/>
      <c r="L878" s="1"/>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row>
    <row r="879" spans="1:51" x14ac:dyDescent="0.25">
      <c r="A879" s="1"/>
      <c r="B879" s="1"/>
      <c r="C879" s="1"/>
      <c r="D879" s="1"/>
      <c r="E879" s="1"/>
      <c r="F879" s="1"/>
      <c r="G879" s="1"/>
      <c r="H879" s="1"/>
      <c r="I879" s="1"/>
      <c r="J879" s="1"/>
      <c r="K879" s="1"/>
      <c r="L879" s="1"/>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row>
    <row r="880" spans="1:51" x14ac:dyDescent="0.25">
      <c r="A880" s="1"/>
      <c r="B880" s="1"/>
      <c r="C880" s="1"/>
      <c r="D880" s="1"/>
      <c r="E880" s="1"/>
      <c r="F880" s="1"/>
      <c r="G880" s="1"/>
      <c r="H880" s="1"/>
      <c r="I880" s="1"/>
      <c r="J880" s="1"/>
      <c r="K880" s="1"/>
      <c r="L880" s="1"/>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row>
    <row r="881" spans="1:51" x14ac:dyDescent="0.25">
      <c r="A881" s="1"/>
      <c r="B881" s="1"/>
      <c r="C881" s="1"/>
      <c r="D881" s="1"/>
      <c r="E881" s="1"/>
      <c r="F881" s="1"/>
      <c r="G881" s="1"/>
      <c r="H881" s="1"/>
      <c r="I881" s="1"/>
      <c r="J881" s="1"/>
      <c r="K881" s="1"/>
      <c r="L881" s="1"/>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row>
    <row r="882" spans="1:51" x14ac:dyDescent="0.25">
      <c r="A882" s="1"/>
      <c r="B882" s="1"/>
      <c r="C882" s="1"/>
      <c r="D882" s="1"/>
      <c r="E882" s="1"/>
      <c r="F882" s="1"/>
      <c r="G882" s="1"/>
      <c r="H882" s="1"/>
      <c r="I882" s="1"/>
      <c r="J882" s="1"/>
      <c r="K882" s="1"/>
      <c r="L882" s="1"/>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row>
    <row r="883" spans="1:51" x14ac:dyDescent="0.25">
      <c r="A883" s="1"/>
      <c r="B883" s="1"/>
      <c r="C883" s="1"/>
      <c r="D883" s="1"/>
      <c r="E883" s="1"/>
      <c r="F883" s="1"/>
      <c r="G883" s="1"/>
      <c r="H883" s="1"/>
      <c r="I883" s="1"/>
      <c r="J883" s="1"/>
      <c r="K883" s="1"/>
      <c r="L883" s="1"/>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row>
    <row r="884" spans="1:51" x14ac:dyDescent="0.25">
      <c r="A884" s="1"/>
      <c r="B884" s="1"/>
      <c r="C884" s="1"/>
      <c r="D884" s="1"/>
      <c r="E884" s="1"/>
      <c r="F884" s="1"/>
      <c r="G884" s="1"/>
      <c r="H884" s="1"/>
      <c r="I884" s="1"/>
      <c r="J884" s="1"/>
      <c r="K884" s="1"/>
      <c r="L884" s="1"/>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row>
    <row r="885" spans="1:51" x14ac:dyDescent="0.25">
      <c r="A885" s="1"/>
      <c r="B885" s="1"/>
      <c r="C885" s="1"/>
      <c r="D885" s="1"/>
      <c r="E885" s="1"/>
      <c r="F885" s="1"/>
      <c r="G885" s="1"/>
      <c r="H885" s="1"/>
      <c r="I885" s="1"/>
      <c r="J885" s="1"/>
      <c r="K885" s="1"/>
      <c r="L885" s="1"/>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row>
    <row r="886" spans="1:51" x14ac:dyDescent="0.25">
      <c r="A886" s="1"/>
      <c r="B886" s="1"/>
      <c r="C886" s="1"/>
      <c r="D886" s="1"/>
      <c r="E886" s="1"/>
      <c r="F886" s="1"/>
      <c r="G886" s="1"/>
      <c r="H886" s="1"/>
      <c r="I886" s="1"/>
      <c r="J886" s="1"/>
      <c r="K886" s="1"/>
      <c r="L886" s="1"/>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row>
    <row r="887" spans="1:51" x14ac:dyDescent="0.25">
      <c r="A887" s="1"/>
      <c r="B887" s="1"/>
      <c r="C887" s="1"/>
      <c r="D887" s="1"/>
      <c r="E887" s="1"/>
      <c r="F887" s="1"/>
      <c r="G887" s="1"/>
      <c r="H887" s="1"/>
      <c r="I887" s="1"/>
      <c r="J887" s="1"/>
      <c r="K887" s="1"/>
      <c r="L887" s="1"/>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row>
    <row r="888" spans="1:51" x14ac:dyDescent="0.25">
      <c r="A888" s="1"/>
      <c r="B888" s="1"/>
      <c r="C888" s="1"/>
      <c r="D888" s="1"/>
      <c r="E888" s="1"/>
      <c r="F888" s="1"/>
      <c r="G888" s="1"/>
      <c r="H888" s="1"/>
      <c r="I888" s="1"/>
      <c r="J888" s="1"/>
      <c r="K888" s="1"/>
      <c r="L888" s="1"/>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row>
    <row r="889" spans="1:51" x14ac:dyDescent="0.25">
      <c r="A889" s="1"/>
      <c r="B889" s="1"/>
      <c r="C889" s="1"/>
      <c r="D889" s="1"/>
      <c r="E889" s="1"/>
      <c r="F889" s="1"/>
      <c r="G889" s="1"/>
      <c r="H889" s="1"/>
      <c r="I889" s="1"/>
      <c r="J889" s="1"/>
      <c r="K889" s="1"/>
      <c r="L889" s="1"/>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row>
    <row r="890" spans="1:51" x14ac:dyDescent="0.25">
      <c r="A890" s="1"/>
      <c r="B890" s="1"/>
      <c r="C890" s="1"/>
      <c r="D890" s="1"/>
      <c r="E890" s="1"/>
      <c r="F890" s="1"/>
      <c r="G890" s="1"/>
      <c r="H890" s="1"/>
      <c r="I890" s="1"/>
      <c r="J890" s="1"/>
      <c r="K890" s="1"/>
      <c r="L890" s="1"/>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row>
    <row r="891" spans="1:51" x14ac:dyDescent="0.25">
      <c r="A891" s="1"/>
      <c r="B891" s="1"/>
      <c r="C891" s="1"/>
      <c r="D891" s="1"/>
      <c r="E891" s="1"/>
      <c r="F891" s="1"/>
      <c r="G891" s="1"/>
      <c r="H891" s="1"/>
      <c r="I891" s="1"/>
      <c r="J891" s="1"/>
      <c r="K891" s="1"/>
      <c r="L891" s="1"/>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row>
    <row r="892" spans="1:51" x14ac:dyDescent="0.25">
      <c r="A892" s="1"/>
      <c r="B892" s="1"/>
      <c r="C892" s="1"/>
      <c r="D892" s="1"/>
      <c r="E892" s="1"/>
      <c r="F892" s="1"/>
      <c r="G892" s="1"/>
      <c r="H892" s="1"/>
      <c r="I892" s="1"/>
      <c r="J892" s="1"/>
      <c r="K892" s="1"/>
      <c r="L892" s="1"/>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row>
    <row r="893" spans="1:51" x14ac:dyDescent="0.25">
      <c r="A893" s="1"/>
      <c r="B893" s="1"/>
      <c r="C893" s="1"/>
      <c r="D893" s="1"/>
      <c r="E893" s="1"/>
      <c r="F893" s="1"/>
      <c r="G893" s="1"/>
      <c r="H893" s="1"/>
      <c r="I893" s="1"/>
      <c r="J893" s="1"/>
      <c r="K893" s="1"/>
      <c r="L893" s="1"/>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row>
    <row r="894" spans="1:51" x14ac:dyDescent="0.25">
      <c r="A894" s="1"/>
      <c r="B894" s="1"/>
      <c r="C894" s="1"/>
      <c r="D894" s="1"/>
      <c r="E894" s="1"/>
      <c r="F894" s="1"/>
      <c r="G894" s="1"/>
      <c r="H894" s="1"/>
      <c r="I894" s="1"/>
      <c r="J894" s="1"/>
      <c r="K894" s="1"/>
      <c r="L894" s="1"/>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row>
    <row r="895" spans="1:51" x14ac:dyDescent="0.25">
      <c r="A895" s="1"/>
      <c r="B895" s="1"/>
      <c r="C895" s="1"/>
      <c r="D895" s="1"/>
      <c r="E895" s="1"/>
      <c r="F895" s="1"/>
      <c r="G895" s="1"/>
      <c r="H895" s="1"/>
      <c r="I895" s="1"/>
      <c r="J895" s="1"/>
      <c r="K895" s="1"/>
      <c r="L895" s="1"/>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row>
    <row r="896" spans="1:51" x14ac:dyDescent="0.25">
      <c r="A896" s="1"/>
      <c r="B896" s="1"/>
      <c r="C896" s="1"/>
      <c r="D896" s="1"/>
      <c r="E896" s="1"/>
      <c r="F896" s="1"/>
      <c r="G896" s="1"/>
      <c r="H896" s="1"/>
      <c r="I896" s="1"/>
      <c r="J896" s="1"/>
      <c r="K896" s="1"/>
      <c r="L896" s="1"/>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row>
    <row r="897" spans="1:51" x14ac:dyDescent="0.25">
      <c r="A897" s="1"/>
      <c r="B897" s="1"/>
      <c r="C897" s="1"/>
      <c r="D897" s="1"/>
      <c r="E897" s="1"/>
      <c r="F897" s="1"/>
      <c r="G897" s="1"/>
      <c r="H897" s="1"/>
      <c r="I897" s="1"/>
      <c r="J897" s="1"/>
      <c r="K897" s="1"/>
      <c r="L897" s="1"/>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row>
    <row r="898" spans="1:51" x14ac:dyDescent="0.25">
      <c r="A898" s="1"/>
      <c r="B898" s="1"/>
      <c r="C898" s="1"/>
      <c r="D898" s="1"/>
      <c r="E898" s="1"/>
      <c r="F898" s="1"/>
      <c r="G898" s="1"/>
      <c r="H898" s="1"/>
      <c r="I898" s="1"/>
      <c r="J898" s="1"/>
      <c r="K898" s="1"/>
      <c r="L898" s="1"/>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row>
    <row r="899" spans="1:51" x14ac:dyDescent="0.25">
      <c r="A899" s="1"/>
      <c r="B899" s="1"/>
      <c r="C899" s="1"/>
      <c r="D899" s="1"/>
      <c r="E899" s="1"/>
      <c r="F899" s="1"/>
      <c r="G899" s="1"/>
      <c r="H899" s="1"/>
      <c r="I899" s="1"/>
      <c r="J899" s="1"/>
      <c r="K899" s="1"/>
      <c r="L899" s="1"/>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row>
    <row r="900" spans="1:51" x14ac:dyDescent="0.25">
      <c r="A900" s="1"/>
      <c r="B900" s="1"/>
      <c r="C900" s="1"/>
      <c r="D900" s="1"/>
      <c r="E900" s="1"/>
      <c r="F900" s="1"/>
      <c r="G900" s="1"/>
      <c r="H900" s="1"/>
      <c r="I900" s="1"/>
      <c r="J900" s="1"/>
      <c r="K900" s="1"/>
      <c r="L900" s="1"/>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row>
    <row r="901" spans="1:51" x14ac:dyDescent="0.25">
      <c r="A901" s="1"/>
      <c r="B901" s="1"/>
      <c r="C901" s="1"/>
      <c r="D901" s="1"/>
      <c r="E901" s="1"/>
      <c r="F901" s="1"/>
      <c r="G901" s="1"/>
      <c r="H901" s="1"/>
      <c r="I901" s="1"/>
      <c r="J901" s="1"/>
      <c r="K901" s="1"/>
      <c r="L901" s="1"/>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row>
    <row r="902" spans="1:51" x14ac:dyDescent="0.25">
      <c r="A902" s="1"/>
      <c r="B902" s="1"/>
      <c r="C902" s="1"/>
      <c r="D902" s="1"/>
      <c r="E902" s="1"/>
      <c r="F902" s="1"/>
      <c r="G902" s="1"/>
      <c r="H902" s="1"/>
      <c r="I902" s="1"/>
      <c r="J902" s="1"/>
      <c r="K902" s="1"/>
      <c r="L902" s="1"/>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row>
    <row r="903" spans="1:51" x14ac:dyDescent="0.25">
      <c r="A903" s="1"/>
      <c r="B903" s="1"/>
      <c r="C903" s="1"/>
      <c r="D903" s="1"/>
      <c r="E903" s="1"/>
      <c r="F903" s="1"/>
      <c r="G903" s="1"/>
      <c r="H903" s="1"/>
      <c r="I903" s="1"/>
      <c r="J903" s="1"/>
      <c r="K903" s="1"/>
      <c r="L903" s="1"/>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row>
    <row r="904" spans="1:51" x14ac:dyDescent="0.25">
      <c r="A904" s="1"/>
      <c r="B904" s="1"/>
      <c r="C904" s="1"/>
      <c r="D904" s="1"/>
      <c r="E904" s="1"/>
      <c r="F904" s="1"/>
      <c r="G904" s="1"/>
      <c r="H904" s="1"/>
      <c r="I904" s="1"/>
      <c r="J904" s="1"/>
      <c r="K904" s="1"/>
      <c r="L904" s="1"/>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row>
    <row r="905" spans="1:51" x14ac:dyDescent="0.25">
      <c r="A905" s="1"/>
      <c r="B905" s="1"/>
      <c r="C905" s="1"/>
      <c r="D905" s="1"/>
      <c r="E905" s="1"/>
      <c r="F905" s="1"/>
      <c r="G905" s="1"/>
      <c r="H905" s="1"/>
      <c r="I905" s="1"/>
      <c r="J905" s="1"/>
      <c r="K905" s="1"/>
      <c r="L905" s="1"/>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row>
    <row r="906" spans="1:51" x14ac:dyDescent="0.25">
      <c r="A906" s="1"/>
      <c r="B906" s="1"/>
      <c r="C906" s="1"/>
      <c r="D906" s="1"/>
      <c r="E906" s="1"/>
      <c r="F906" s="1"/>
      <c r="G906" s="1"/>
      <c r="H906" s="1"/>
      <c r="I906" s="1"/>
      <c r="J906" s="1"/>
      <c r="K906" s="1"/>
      <c r="L906" s="1"/>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row>
    <row r="907" spans="1:51" x14ac:dyDescent="0.25">
      <c r="A907" s="1"/>
      <c r="B907" s="1"/>
      <c r="C907" s="1"/>
      <c r="D907" s="1"/>
      <c r="E907" s="1"/>
      <c r="F907" s="1"/>
      <c r="G907" s="1"/>
      <c r="H907" s="1"/>
      <c r="I907" s="1"/>
      <c r="J907" s="1"/>
      <c r="K907" s="1"/>
      <c r="L907" s="1"/>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row>
    <row r="908" spans="1:51" x14ac:dyDescent="0.25">
      <c r="A908" s="1"/>
      <c r="B908" s="1"/>
      <c r="C908" s="1"/>
      <c r="D908" s="1"/>
      <c r="E908" s="1"/>
      <c r="F908" s="1"/>
      <c r="G908" s="1"/>
      <c r="H908" s="1"/>
      <c r="I908" s="1"/>
      <c r="J908" s="1"/>
      <c r="K908" s="1"/>
      <c r="L908" s="1"/>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row>
    <row r="909" spans="1:51" x14ac:dyDescent="0.25">
      <c r="A909" s="1"/>
      <c r="B909" s="1"/>
      <c r="C909" s="1"/>
      <c r="D909" s="1"/>
      <c r="E909" s="1"/>
      <c r="F909" s="1"/>
      <c r="G909" s="1"/>
      <c r="H909" s="1"/>
      <c r="I909" s="1"/>
      <c r="J909" s="1"/>
      <c r="K909" s="1"/>
      <c r="L909" s="1"/>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row>
    <row r="910" spans="1:51" x14ac:dyDescent="0.25">
      <c r="A910" s="1"/>
      <c r="B910" s="1"/>
      <c r="C910" s="1"/>
      <c r="D910" s="1"/>
      <c r="E910" s="1"/>
      <c r="F910" s="1"/>
      <c r="G910" s="1"/>
      <c r="H910" s="1"/>
      <c r="I910" s="1"/>
      <c r="J910" s="1"/>
      <c r="K910" s="1"/>
      <c r="L910" s="1"/>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row>
    <row r="911" spans="1:51" x14ac:dyDescent="0.25">
      <c r="A911" s="1"/>
      <c r="B911" s="1"/>
      <c r="C911" s="1"/>
      <c r="D911" s="1"/>
      <c r="E911" s="1"/>
      <c r="F911" s="1"/>
      <c r="G911" s="1"/>
      <c r="H911" s="1"/>
      <c r="I911" s="1"/>
      <c r="J911" s="1"/>
      <c r="K911" s="1"/>
      <c r="L911" s="1"/>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row>
    <row r="912" spans="1:51" x14ac:dyDescent="0.25">
      <c r="A912" s="1"/>
      <c r="B912" s="1"/>
      <c r="C912" s="1"/>
      <c r="D912" s="1"/>
      <c r="E912" s="1"/>
      <c r="F912" s="1"/>
      <c r="G912" s="1"/>
      <c r="H912" s="1"/>
      <c r="I912" s="1"/>
      <c r="J912" s="1"/>
      <c r="K912" s="1"/>
      <c r="L912" s="1"/>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row>
    <row r="913" spans="1:51" x14ac:dyDescent="0.25">
      <c r="A913" s="1"/>
      <c r="B913" s="1"/>
      <c r="C913" s="1"/>
      <c r="D913" s="1"/>
      <c r="E913" s="1"/>
      <c r="F913" s="1"/>
      <c r="G913" s="1"/>
      <c r="H913" s="1"/>
      <c r="I913" s="1"/>
      <c r="J913" s="1"/>
      <c r="K913" s="1"/>
      <c r="L913" s="1"/>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row>
    <row r="914" spans="1:51" x14ac:dyDescent="0.25">
      <c r="A914" s="1"/>
      <c r="B914" s="1"/>
      <c r="C914" s="1"/>
      <c r="D914" s="1"/>
      <c r="E914" s="1"/>
      <c r="F914" s="1"/>
      <c r="G914" s="1"/>
      <c r="H914" s="1"/>
      <c r="I914" s="1"/>
      <c r="J914" s="1"/>
      <c r="K914" s="1"/>
      <c r="L914" s="1"/>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row>
    <row r="915" spans="1:51" x14ac:dyDescent="0.25">
      <c r="A915" s="1"/>
      <c r="B915" s="1"/>
      <c r="C915" s="1"/>
      <c r="D915" s="1"/>
      <c r="E915" s="1"/>
      <c r="F915" s="1"/>
      <c r="G915" s="1"/>
      <c r="H915" s="1"/>
      <c r="I915" s="1"/>
      <c r="J915" s="1"/>
      <c r="K915" s="1"/>
      <c r="L915" s="1"/>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row>
    <row r="916" spans="1:51" x14ac:dyDescent="0.25">
      <c r="A916" s="1"/>
      <c r="B916" s="1"/>
      <c r="C916" s="1"/>
      <c r="D916" s="1"/>
      <c r="E916" s="1"/>
      <c r="F916" s="1"/>
      <c r="G916" s="1"/>
      <c r="H916" s="1"/>
      <c r="I916" s="1"/>
      <c r="J916" s="1"/>
      <c r="K916" s="1"/>
      <c r="L916" s="1"/>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row>
    <row r="917" spans="1:51" x14ac:dyDescent="0.25">
      <c r="A917" s="1"/>
      <c r="B917" s="1"/>
      <c r="C917" s="1"/>
      <c r="D917" s="1"/>
      <c r="E917" s="1"/>
      <c r="F917" s="1"/>
      <c r="G917" s="1"/>
      <c r="H917" s="1"/>
      <c r="I917" s="1"/>
      <c r="J917" s="1"/>
      <c r="K917" s="1"/>
      <c r="L917" s="1"/>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row>
    <row r="918" spans="1:51" x14ac:dyDescent="0.25">
      <c r="A918" s="1"/>
      <c r="B918" s="1"/>
      <c r="C918" s="1"/>
      <c r="D918" s="1"/>
      <c r="E918" s="1"/>
      <c r="F918" s="1"/>
      <c r="G918" s="1"/>
      <c r="H918" s="1"/>
      <c r="I918" s="1"/>
      <c r="J918" s="1"/>
      <c r="K918" s="1"/>
      <c r="L918" s="1"/>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row>
    <row r="919" spans="1:51" x14ac:dyDescent="0.25">
      <c r="A919" s="1"/>
      <c r="B919" s="1"/>
      <c r="C919" s="1"/>
      <c r="D919" s="1"/>
      <c r="E919" s="1"/>
      <c r="F919" s="1"/>
      <c r="G919" s="1"/>
      <c r="H919" s="1"/>
      <c r="I919" s="1"/>
      <c r="J919" s="1"/>
      <c r="K919" s="1"/>
      <c r="L919" s="1"/>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row>
    <row r="920" spans="1:51" x14ac:dyDescent="0.25">
      <c r="A920" s="1"/>
      <c r="B920" s="1"/>
      <c r="C920" s="1"/>
      <c r="D920" s="1"/>
      <c r="E920" s="1"/>
      <c r="F920" s="1"/>
      <c r="G920" s="1"/>
      <c r="H920" s="1"/>
      <c r="I920" s="1"/>
      <c r="J920" s="1"/>
      <c r="K920" s="1"/>
      <c r="L920" s="1"/>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row>
    <row r="921" spans="1:51" x14ac:dyDescent="0.25">
      <c r="A921" s="1"/>
      <c r="B921" s="1"/>
      <c r="C921" s="1"/>
      <c r="D921" s="1"/>
      <c r="E921" s="1"/>
      <c r="F921" s="1"/>
      <c r="G921" s="1"/>
      <c r="H921" s="1"/>
      <c r="I921" s="1"/>
      <c r="J921" s="1"/>
      <c r="K921" s="1"/>
      <c r="L921" s="1"/>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row>
    <row r="922" spans="1:51" x14ac:dyDescent="0.25">
      <c r="A922" s="1"/>
      <c r="B922" s="1"/>
      <c r="C922" s="1"/>
      <c r="D922" s="1"/>
      <c r="E922" s="1"/>
      <c r="F922" s="1"/>
      <c r="G922" s="1"/>
      <c r="H922" s="1"/>
      <c r="I922" s="1"/>
      <c r="J922" s="1"/>
      <c r="K922" s="1"/>
      <c r="L922" s="1"/>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row>
    <row r="923" spans="1:51" x14ac:dyDescent="0.25">
      <c r="A923" s="1"/>
      <c r="B923" s="1"/>
      <c r="C923" s="1"/>
      <c r="D923" s="1"/>
      <c r="E923" s="1"/>
      <c r="F923" s="1"/>
      <c r="G923" s="1"/>
      <c r="H923" s="1"/>
      <c r="I923" s="1"/>
      <c r="J923" s="1"/>
      <c r="K923" s="1"/>
      <c r="L923" s="1"/>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row>
    <row r="924" spans="1:51" x14ac:dyDescent="0.25">
      <c r="A924" s="1"/>
      <c r="B924" s="1"/>
      <c r="C924" s="1"/>
      <c r="D924" s="1"/>
      <c r="E924" s="1"/>
      <c r="F924" s="1"/>
      <c r="G924" s="1"/>
      <c r="H924" s="1"/>
      <c r="I924" s="1"/>
      <c r="J924" s="1"/>
      <c r="K924" s="1"/>
      <c r="L924" s="1"/>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row>
    <row r="925" spans="1:51" x14ac:dyDescent="0.25">
      <c r="A925" s="1"/>
      <c r="B925" s="1"/>
      <c r="C925" s="1"/>
      <c r="D925" s="1"/>
      <c r="E925" s="1"/>
      <c r="F925" s="1"/>
      <c r="G925" s="1"/>
      <c r="H925" s="1"/>
      <c r="I925" s="1"/>
      <c r="J925" s="1"/>
      <c r="K925" s="1"/>
      <c r="L925" s="1"/>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row>
    <row r="926" spans="1:51" x14ac:dyDescent="0.25">
      <c r="A926" s="1"/>
      <c r="B926" s="1"/>
      <c r="C926" s="1"/>
      <c r="D926" s="1"/>
      <c r="E926" s="1"/>
      <c r="F926" s="1"/>
      <c r="G926" s="1"/>
      <c r="H926" s="1"/>
      <c r="I926" s="1"/>
      <c r="J926" s="1"/>
      <c r="K926" s="1"/>
      <c r="L926" s="1"/>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row>
    <row r="927" spans="1:51" x14ac:dyDescent="0.25">
      <c r="A927" s="1"/>
      <c r="B927" s="1"/>
      <c r="C927" s="1"/>
      <c r="D927" s="1"/>
      <c r="E927" s="1"/>
      <c r="F927" s="1"/>
      <c r="G927" s="1"/>
      <c r="H927" s="1"/>
      <c r="I927" s="1"/>
      <c r="J927" s="1"/>
      <c r="K927" s="1"/>
      <c r="L927" s="1"/>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row>
    <row r="928" spans="1:51" x14ac:dyDescent="0.25">
      <c r="A928" s="1"/>
      <c r="B928" s="1"/>
      <c r="C928" s="1"/>
      <c r="D928" s="1"/>
      <c r="E928" s="1"/>
      <c r="F928" s="1"/>
      <c r="G928" s="1"/>
      <c r="H928" s="1"/>
      <c r="I928" s="1"/>
      <c r="J928" s="1"/>
      <c r="K928" s="1"/>
      <c r="L928" s="1"/>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row>
    <row r="929" spans="1:51" x14ac:dyDescent="0.25">
      <c r="A929" s="1"/>
      <c r="B929" s="1"/>
      <c r="C929" s="1"/>
      <c r="D929" s="1"/>
      <c r="E929" s="1"/>
      <c r="F929" s="1"/>
      <c r="G929" s="1"/>
      <c r="H929" s="1"/>
      <c r="I929" s="1"/>
      <c r="J929" s="1"/>
      <c r="K929" s="1"/>
      <c r="L929" s="1"/>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row>
    <row r="930" spans="1:51" x14ac:dyDescent="0.25">
      <c r="A930" s="1"/>
      <c r="B930" s="1"/>
      <c r="C930" s="1"/>
      <c r="D930" s="1"/>
      <c r="E930" s="1"/>
      <c r="F930" s="1"/>
      <c r="G930" s="1"/>
      <c r="H930" s="1"/>
      <c r="I930" s="1"/>
      <c r="J930" s="1"/>
      <c r="K930" s="1"/>
      <c r="L930" s="1"/>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row>
    <row r="931" spans="1:51" x14ac:dyDescent="0.25">
      <c r="A931" s="1"/>
      <c r="B931" s="1"/>
      <c r="C931" s="1"/>
      <c r="D931" s="1"/>
      <c r="E931" s="1"/>
      <c r="F931" s="1"/>
      <c r="G931" s="1"/>
      <c r="H931" s="1"/>
      <c r="I931" s="1"/>
      <c r="J931" s="1"/>
      <c r="K931" s="1"/>
      <c r="L931" s="1"/>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row>
    <row r="932" spans="1:51" x14ac:dyDescent="0.25">
      <c r="A932" s="1"/>
      <c r="B932" s="1"/>
      <c r="C932" s="1"/>
      <c r="D932" s="1"/>
      <c r="E932" s="1"/>
      <c r="F932" s="1"/>
      <c r="G932" s="1"/>
      <c r="H932" s="1"/>
      <c r="I932" s="1"/>
      <c r="J932" s="1"/>
      <c r="K932" s="1"/>
      <c r="L932" s="1"/>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row>
    <row r="933" spans="1:51" x14ac:dyDescent="0.25">
      <c r="A933" s="1"/>
      <c r="B933" s="1"/>
      <c r="C933" s="1"/>
      <c r="D933" s="1"/>
      <c r="E933" s="1"/>
      <c r="F933" s="1"/>
      <c r="G933" s="1"/>
      <c r="H933" s="1"/>
      <c r="I933" s="1"/>
      <c r="J933" s="1"/>
      <c r="K933" s="1"/>
      <c r="L933" s="1"/>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row>
    <row r="934" spans="1:51" x14ac:dyDescent="0.25">
      <c r="A934" s="1"/>
      <c r="B934" s="1"/>
      <c r="C934" s="1"/>
      <c r="D934" s="1"/>
      <c r="E934" s="1"/>
      <c r="F934" s="1"/>
      <c r="G934" s="1"/>
      <c r="H934" s="1"/>
      <c r="I934" s="1"/>
      <c r="J934" s="1"/>
      <c r="K934" s="1"/>
      <c r="L934" s="1"/>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row>
    <row r="935" spans="1:51" x14ac:dyDescent="0.25">
      <c r="A935" s="1"/>
      <c r="B935" s="1"/>
      <c r="C935" s="1"/>
      <c r="D935" s="1"/>
      <c r="E935" s="1"/>
      <c r="F935" s="1"/>
      <c r="G935" s="1"/>
      <c r="H935" s="1"/>
      <c r="I935" s="1"/>
      <c r="J935" s="1"/>
      <c r="K935" s="1"/>
      <c r="L935" s="1"/>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row>
    <row r="936" spans="1:51" x14ac:dyDescent="0.25">
      <c r="A936" s="1"/>
      <c r="B936" s="1"/>
      <c r="C936" s="1"/>
      <c r="D936" s="1"/>
      <c r="E936" s="1"/>
      <c r="F936" s="1"/>
      <c r="G936" s="1"/>
      <c r="H936" s="1"/>
      <c r="I936" s="1"/>
      <c r="J936" s="1"/>
      <c r="K936" s="1"/>
      <c r="L936" s="1"/>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row>
    <row r="937" spans="1:51" x14ac:dyDescent="0.25">
      <c r="A937" s="1"/>
      <c r="B937" s="1"/>
      <c r="C937" s="1"/>
      <c r="D937" s="1"/>
      <c r="E937" s="1"/>
      <c r="F937" s="1"/>
      <c r="G937" s="1"/>
      <c r="H937" s="1"/>
      <c r="I937" s="1"/>
      <c r="J937" s="1"/>
      <c r="K937" s="1"/>
      <c r="L937" s="1"/>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row>
    <row r="938" spans="1:51" x14ac:dyDescent="0.25">
      <c r="A938" s="1"/>
      <c r="B938" s="1"/>
      <c r="C938" s="1"/>
      <c r="D938" s="1"/>
      <c r="E938" s="1"/>
      <c r="F938" s="1"/>
      <c r="G938" s="1"/>
      <c r="H938" s="1"/>
      <c r="I938" s="1"/>
      <c r="J938" s="1"/>
      <c r="K938" s="1"/>
      <c r="L938" s="1"/>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row>
    <row r="939" spans="1:51" x14ac:dyDescent="0.25">
      <c r="A939" s="1"/>
      <c r="B939" s="1"/>
      <c r="C939" s="1"/>
      <c r="D939" s="1"/>
      <c r="E939" s="1"/>
      <c r="F939" s="1"/>
      <c r="G939" s="1"/>
      <c r="H939" s="1"/>
      <c r="I939" s="1"/>
      <c r="J939" s="1"/>
      <c r="K939" s="1"/>
      <c r="L939" s="1"/>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row>
    <row r="940" spans="1:51" x14ac:dyDescent="0.25">
      <c r="A940" s="1"/>
      <c r="B940" s="1"/>
      <c r="C940" s="1"/>
      <c r="D940" s="1"/>
      <c r="E940" s="1"/>
      <c r="F940" s="1"/>
      <c r="G940" s="1"/>
      <c r="H940" s="1"/>
      <c r="I940" s="1"/>
      <c r="J940" s="1"/>
      <c r="K940" s="1"/>
      <c r="L940" s="1"/>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row>
    <row r="941" spans="1:51" x14ac:dyDescent="0.25">
      <c r="A941" s="1"/>
      <c r="B941" s="1"/>
      <c r="C941" s="1"/>
      <c r="D941" s="1"/>
      <c r="E941" s="1"/>
      <c r="F941" s="1"/>
      <c r="G941" s="1"/>
      <c r="H941" s="1"/>
      <c r="I941" s="1"/>
      <c r="J941" s="1"/>
      <c r="K941" s="1"/>
      <c r="L941" s="1"/>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row>
    <row r="942" spans="1:51" x14ac:dyDescent="0.25">
      <c r="A942" s="1"/>
      <c r="B942" s="1"/>
      <c r="C942" s="1"/>
      <c r="D942" s="1"/>
      <c r="E942" s="1"/>
      <c r="F942" s="1"/>
      <c r="G942" s="1"/>
      <c r="H942" s="1"/>
      <c r="I942" s="1"/>
      <c r="J942" s="1"/>
      <c r="K942" s="1"/>
      <c r="L942" s="1"/>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x14ac:dyDescent="0.25">
      <c r="A943" s="1"/>
      <c r="B943" s="1"/>
      <c r="C943" s="1"/>
      <c r="D943" s="1"/>
      <c r="E943" s="1"/>
      <c r="F943" s="1"/>
      <c r="G943" s="1"/>
      <c r="H943" s="1"/>
      <c r="I943" s="1"/>
      <c r="J943" s="1"/>
      <c r="K943" s="1"/>
      <c r="L943" s="1"/>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x14ac:dyDescent="0.25">
      <c r="A944" s="1"/>
      <c r="B944" s="1"/>
      <c r="C944" s="1"/>
      <c r="D944" s="1"/>
      <c r="E944" s="1"/>
      <c r="F944" s="1"/>
      <c r="G944" s="1"/>
      <c r="H944" s="1"/>
      <c r="I944" s="1"/>
      <c r="J944" s="1"/>
      <c r="K944" s="1"/>
      <c r="L944" s="1"/>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x14ac:dyDescent="0.25">
      <c r="A945" s="1"/>
      <c r="B945" s="1"/>
      <c r="C945" s="1"/>
      <c r="D945" s="1"/>
      <c r="E945" s="1"/>
      <c r="F945" s="1"/>
      <c r="G945" s="1"/>
      <c r="H945" s="1"/>
      <c r="I945" s="1"/>
      <c r="J945" s="1"/>
      <c r="K945" s="1"/>
      <c r="L945" s="1"/>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x14ac:dyDescent="0.25">
      <c r="A946" s="1"/>
      <c r="B946" s="1"/>
      <c r="C946" s="1"/>
      <c r="D946" s="1"/>
      <c r="E946" s="1"/>
      <c r="F946" s="1"/>
      <c r="G946" s="1"/>
      <c r="H946" s="1"/>
      <c r="I946" s="1"/>
      <c r="J946" s="1"/>
      <c r="K946" s="1"/>
      <c r="L946" s="1"/>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x14ac:dyDescent="0.25">
      <c r="A947" s="1"/>
      <c r="B947" s="1"/>
      <c r="C947" s="1"/>
      <c r="D947" s="1"/>
      <c r="E947" s="1"/>
      <c r="F947" s="1"/>
      <c r="G947" s="1"/>
      <c r="H947" s="1"/>
      <c r="I947" s="1"/>
      <c r="J947" s="1"/>
      <c r="K947" s="1"/>
      <c r="L947" s="1"/>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x14ac:dyDescent="0.25">
      <c r="A948" s="1"/>
      <c r="B948" s="1"/>
      <c r="C948" s="1"/>
      <c r="D948" s="1"/>
      <c r="E948" s="1"/>
      <c r="F948" s="1"/>
      <c r="G948" s="1"/>
      <c r="H948" s="1"/>
      <c r="I948" s="1"/>
      <c r="J948" s="1"/>
      <c r="K948" s="1"/>
      <c r="L948" s="1"/>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x14ac:dyDescent="0.25">
      <c r="A949" s="1"/>
      <c r="B949" s="1"/>
      <c r="C949" s="1"/>
      <c r="D949" s="1"/>
      <c r="E949" s="1"/>
      <c r="F949" s="1"/>
      <c r="G949" s="1"/>
      <c r="H949" s="1"/>
      <c r="I949" s="1"/>
      <c r="J949" s="1"/>
      <c r="K949" s="1"/>
      <c r="L949" s="1"/>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row>
    <row r="950" spans="1:51" x14ac:dyDescent="0.25">
      <c r="A950" s="1"/>
      <c r="B950" s="1"/>
      <c r="C950" s="1"/>
      <c r="D950" s="1"/>
      <c r="E950" s="1"/>
      <c r="F950" s="1"/>
      <c r="G950" s="1"/>
      <c r="H950" s="1"/>
      <c r="I950" s="1"/>
      <c r="J950" s="1"/>
      <c r="K950" s="1"/>
      <c r="L950" s="1"/>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row>
    <row r="951" spans="1:51" x14ac:dyDescent="0.25">
      <c r="A951" s="1"/>
      <c r="B951" s="1"/>
      <c r="C951" s="1"/>
      <c r="D951" s="1"/>
      <c r="E951" s="1"/>
      <c r="F951" s="1"/>
      <c r="G951" s="1"/>
      <c r="H951" s="1"/>
      <c r="I951" s="1"/>
      <c r="J951" s="1"/>
      <c r="K951" s="1"/>
      <c r="L951" s="1"/>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row>
    <row r="952" spans="1:51" x14ac:dyDescent="0.25">
      <c r="A952" s="1"/>
      <c r="B952" s="1"/>
      <c r="C952" s="1"/>
      <c r="D952" s="1"/>
      <c r="E952" s="1"/>
      <c r="F952" s="1"/>
      <c r="G952" s="1"/>
      <c r="H952" s="1"/>
      <c r="I952" s="1"/>
      <c r="J952" s="1"/>
      <c r="K952" s="1"/>
      <c r="L952" s="1"/>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row>
    <row r="953" spans="1:51" x14ac:dyDescent="0.25">
      <c r="A953" s="1"/>
      <c r="B953" s="1"/>
      <c r="C953" s="1"/>
      <c r="D953" s="1"/>
      <c r="E953" s="1"/>
      <c r="F953" s="1"/>
      <c r="G953" s="1"/>
      <c r="H953" s="1"/>
      <c r="I953" s="1"/>
      <c r="J953" s="1"/>
      <c r="K953" s="1"/>
      <c r="L953" s="1"/>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row>
    <row r="954" spans="1:51" x14ac:dyDescent="0.25">
      <c r="A954" s="1"/>
      <c r="B954" s="1"/>
      <c r="C954" s="1"/>
      <c r="D954" s="1"/>
      <c r="E954" s="1"/>
      <c r="F954" s="1"/>
      <c r="G954" s="1"/>
      <c r="H954" s="1"/>
      <c r="I954" s="1"/>
      <c r="J954" s="1"/>
      <c r="K954" s="1"/>
      <c r="L954" s="1"/>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row>
    <row r="955" spans="1:51" x14ac:dyDescent="0.25">
      <c r="A955" s="1"/>
      <c r="B955" s="1"/>
      <c r="C955" s="1"/>
      <c r="D955" s="1"/>
      <c r="E955" s="1"/>
      <c r="F955" s="1"/>
      <c r="G955" s="1"/>
      <c r="H955" s="1"/>
      <c r="I955" s="1"/>
      <c r="J955" s="1"/>
      <c r="K955" s="1"/>
      <c r="L955" s="1"/>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row>
    <row r="956" spans="1:51" x14ac:dyDescent="0.25">
      <c r="A956" s="1"/>
      <c r="B956" s="1"/>
      <c r="C956" s="1"/>
      <c r="D956" s="1"/>
      <c r="E956" s="1"/>
      <c r="F956" s="1"/>
      <c r="G956" s="1"/>
      <c r="H956" s="1"/>
      <c r="I956" s="1"/>
      <c r="J956" s="1"/>
      <c r="K956" s="1"/>
      <c r="L956" s="1"/>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row>
    <row r="957" spans="1:51" x14ac:dyDescent="0.25">
      <c r="A957" s="1"/>
      <c r="B957" s="1"/>
      <c r="C957" s="1"/>
      <c r="D957" s="1"/>
      <c r="E957" s="1"/>
      <c r="F957" s="1"/>
      <c r="G957" s="1"/>
      <c r="H957" s="1"/>
      <c r="I957" s="1"/>
      <c r="J957" s="1"/>
      <c r="K957" s="1"/>
      <c r="L957" s="1"/>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row>
    <row r="958" spans="1:51" x14ac:dyDescent="0.25">
      <c r="A958" s="1"/>
      <c r="B958" s="1"/>
      <c r="C958" s="1"/>
      <c r="D958" s="1"/>
      <c r="E958" s="1"/>
      <c r="F958" s="1"/>
      <c r="G958" s="1"/>
      <c r="H958" s="1"/>
      <c r="I958" s="1"/>
      <c r="J958" s="1"/>
      <c r="K958" s="1"/>
      <c r="L958" s="1"/>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row>
    <row r="959" spans="1:51" x14ac:dyDescent="0.25">
      <c r="A959" s="1"/>
      <c r="B959" s="1"/>
      <c r="C959" s="1"/>
      <c r="D959" s="1"/>
      <c r="E959" s="1"/>
      <c r="F959" s="1"/>
      <c r="G959" s="1"/>
      <c r="H959" s="1"/>
      <c r="I959" s="1"/>
      <c r="J959" s="1"/>
      <c r="K959" s="1"/>
      <c r="L959" s="1"/>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row>
    <row r="960" spans="1:51" x14ac:dyDescent="0.25">
      <c r="A960" s="1"/>
      <c r="B960" s="1"/>
      <c r="C960" s="1"/>
      <c r="D960" s="1"/>
      <c r="E960" s="1"/>
      <c r="F960" s="1"/>
      <c r="G960" s="1"/>
      <c r="H960" s="1"/>
      <c r="I960" s="1"/>
      <c r="J960" s="1"/>
      <c r="K960" s="1"/>
      <c r="L960" s="1"/>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row>
    <row r="961" spans="1:51" x14ac:dyDescent="0.25">
      <c r="A961" s="1"/>
      <c r="B961" s="1"/>
      <c r="C961" s="1"/>
      <c r="D961" s="1"/>
      <c r="E961" s="1"/>
      <c r="F961" s="1"/>
      <c r="G961" s="1"/>
      <c r="H961" s="1"/>
      <c r="I961" s="1"/>
      <c r="J961" s="1"/>
      <c r="K961" s="1"/>
      <c r="L961" s="1"/>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row>
    <row r="962" spans="1:51" x14ac:dyDescent="0.25">
      <c r="A962" s="1"/>
      <c r="B962" s="1"/>
      <c r="C962" s="1"/>
      <c r="D962" s="1"/>
      <c r="E962" s="1"/>
      <c r="F962" s="1"/>
      <c r="G962" s="1"/>
      <c r="H962" s="1"/>
      <c r="I962" s="1"/>
      <c r="J962" s="1"/>
      <c r="K962" s="1"/>
      <c r="L962" s="1"/>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row>
    <row r="963" spans="1:51" x14ac:dyDescent="0.25">
      <c r="A963" s="1"/>
      <c r="B963" s="1"/>
      <c r="C963" s="1"/>
      <c r="D963" s="1"/>
      <c r="E963" s="1"/>
      <c r="F963" s="1"/>
      <c r="G963" s="1"/>
      <c r="H963" s="1"/>
      <c r="I963" s="1"/>
      <c r="J963" s="1"/>
      <c r="K963" s="1"/>
      <c r="L963" s="1"/>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row>
    <row r="964" spans="1:51" x14ac:dyDescent="0.25">
      <c r="A964" s="1"/>
      <c r="B964" s="1"/>
      <c r="C964" s="1"/>
      <c r="D964" s="1"/>
      <c r="E964" s="1"/>
      <c r="F964" s="1"/>
      <c r="G964" s="1"/>
      <c r="H964" s="1"/>
      <c r="I964" s="1"/>
      <c r="J964" s="1"/>
      <c r="K964" s="1"/>
      <c r="L964" s="1"/>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row>
    <row r="965" spans="1:51" x14ac:dyDescent="0.25">
      <c r="A965" s="1"/>
      <c r="B965" s="1"/>
      <c r="C965" s="1"/>
      <c r="D965" s="1"/>
      <c r="E965" s="1"/>
      <c r="F965" s="1"/>
      <c r="G965" s="1"/>
      <c r="H965" s="1"/>
      <c r="I965" s="1"/>
      <c r="J965" s="1"/>
      <c r="K965" s="1"/>
      <c r="L965" s="1"/>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row>
    <row r="966" spans="1:51" x14ac:dyDescent="0.25">
      <c r="A966" s="1"/>
      <c r="B966" s="1"/>
      <c r="C966" s="1"/>
      <c r="D966" s="1"/>
      <c r="E966" s="1"/>
      <c r="F966" s="1"/>
      <c r="G966" s="1"/>
      <c r="H966" s="1"/>
      <c r="I966" s="1"/>
      <c r="J966" s="1"/>
      <c r="K966" s="1"/>
      <c r="L966" s="1"/>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row>
    <row r="967" spans="1:51" x14ac:dyDescent="0.25">
      <c r="A967" s="1"/>
      <c r="B967" s="1"/>
      <c r="C967" s="1"/>
      <c r="D967" s="1"/>
      <c r="E967" s="1"/>
      <c r="F967" s="1"/>
      <c r="G967" s="1"/>
      <c r="H967" s="1"/>
      <c r="I967" s="1"/>
      <c r="J967" s="1"/>
      <c r="K967" s="1"/>
      <c r="L967" s="1"/>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row>
    <row r="968" spans="1:51" x14ac:dyDescent="0.25">
      <c r="A968" s="1"/>
      <c r="B968" s="1"/>
      <c r="C968" s="1"/>
      <c r="D968" s="1"/>
      <c r="E968" s="1"/>
      <c r="F968" s="1"/>
      <c r="G968" s="1"/>
      <c r="H968" s="1"/>
      <c r="I968" s="1"/>
      <c r="J968" s="1"/>
      <c r="K968" s="1"/>
      <c r="L968" s="1"/>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row>
    <row r="969" spans="1:51" x14ac:dyDescent="0.25">
      <c r="A969" s="1"/>
      <c r="B969" s="1"/>
      <c r="C969" s="1"/>
      <c r="D969" s="1"/>
      <c r="E969" s="1"/>
      <c r="F969" s="1"/>
      <c r="G969" s="1"/>
      <c r="H969" s="1"/>
      <c r="I969" s="1"/>
      <c r="J969" s="1"/>
      <c r="K969" s="1"/>
      <c r="L969" s="1"/>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row>
    <row r="970" spans="1:51" x14ac:dyDescent="0.25">
      <c r="A970" s="1"/>
      <c r="B970" s="1"/>
      <c r="C970" s="1"/>
      <c r="D970" s="1"/>
      <c r="E970" s="1"/>
      <c r="F970" s="1"/>
      <c r="G970" s="1"/>
      <c r="H970" s="1"/>
      <c r="I970" s="1"/>
      <c r="J970" s="1"/>
      <c r="K970" s="1"/>
      <c r="L970" s="1"/>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row>
    <row r="971" spans="1:51" x14ac:dyDescent="0.25">
      <c r="A971" s="1"/>
      <c r="B971" s="1"/>
      <c r="C971" s="1"/>
      <c r="D971" s="1"/>
      <c r="E971" s="1"/>
      <c r="F971" s="1"/>
      <c r="G971" s="1"/>
      <c r="H971" s="1"/>
      <c r="I971" s="1"/>
      <c r="J971" s="1"/>
      <c r="K971" s="1"/>
      <c r="L971" s="1"/>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row>
    <row r="972" spans="1:51" x14ac:dyDescent="0.25">
      <c r="A972" s="1"/>
      <c r="B972" s="1"/>
      <c r="C972" s="1"/>
      <c r="D972" s="1"/>
      <c r="E972" s="1"/>
      <c r="F972" s="1"/>
      <c r="G972" s="1"/>
      <c r="H972" s="1"/>
      <c r="I972" s="1"/>
      <c r="J972" s="1"/>
      <c r="K972" s="1"/>
      <c r="L972" s="1"/>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row>
    <row r="973" spans="1:51" x14ac:dyDescent="0.25">
      <c r="A973" s="1"/>
      <c r="B973" s="1"/>
      <c r="C973" s="1"/>
      <c r="D973" s="1"/>
      <c r="E973" s="1"/>
      <c r="F973" s="1"/>
      <c r="G973" s="1"/>
      <c r="H973" s="1"/>
      <c r="I973" s="1"/>
      <c r="J973" s="1"/>
      <c r="K973" s="1"/>
      <c r="L973" s="1"/>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row>
    <row r="974" spans="1:51" x14ac:dyDescent="0.25">
      <c r="A974" s="1"/>
      <c r="B974" s="1"/>
      <c r="C974" s="1"/>
      <c r="D974" s="1"/>
      <c r="E974" s="1"/>
      <c r="F974" s="1"/>
      <c r="G974" s="1"/>
      <c r="H974" s="1"/>
      <c r="I974" s="1"/>
      <c r="J974" s="1"/>
      <c r="K974" s="1"/>
      <c r="L974" s="1"/>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row>
    <row r="975" spans="1:51" x14ac:dyDescent="0.25">
      <c r="A975" s="1"/>
      <c r="B975" s="1"/>
      <c r="C975" s="1"/>
      <c r="D975" s="1"/>
      <c r="E975" s="1"/>
      <c r="F975" s="1"/>
      <c r="G975" s="1"/>
      <c r="H975" s="1"/>
      <c r="I975" s="1"/>
      <c r="J975" s="1"/>
      <c r="K975" s="1"/>
      <c r="L975" s="1"/>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row>
    <row r="976" spans="1:51" x14ac:dyDescent="0.25">
      <c r="A976" s="1"/>
      <c r="B976" s="1"/>
      <c r="C976" s="1"/>
      <c r="D976" s="1"/>
      <c r="E976" s="1"/>
      <c r="F976" s="1"/>
      <c r="G976" s="1"/>
      <c r="H976" s="1"/>
      <c r="I976" s="1"/>
      <c r="J976" s="1"/>
      <c r="K976" s="1"/>
      <c r="L976" s="1"/>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row>
    <row r="977" spans="1:51" x14ac:dyDescent="0.25">
      <c r="A977" s="1"/>
      <c r="B977" s="1"/>
      <c r="C977" s="1"/>
      <c r="D977" s="1"/>
      <c r="E977" s="1"/>
      <c r="F977" s="1"/>
      <c r="G977" s="1"/>
      <c r="H977" s="1"/>
      <c r="I977" s="1"/>
      <c r="J977" s="1"/>
      <c r="K977" s="1"/>
      <c r="L977" s="1"/>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row>
    <row r="978" spans="1:51" x14ac:dyDescent="0.25">
      <c r="A978" s="1"/>
      <c r="B978" s="1"/>
      <c r="C978" s="1"/>
      <c r="D978" s="1"/>
      <c r="E978" s="1"/>
      <c r="F978" s="1"/>
      <c r="G978" s="1"/>
      <c r="H978" s="1"/>
      <c r="I978" s="1"/>
      <c r="J978" s="1"/>
      <c r="K978" s="1"/>
      <c r="L978" s="1"/>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row>
    <row r="979" spans="1:51" x14ac:dyDescent="0.25">
      <c r="A979" s="1"/>
      <c r="B979" s="1"/>
      <c r="C979" s="1"/>
      <c r="D979" s="1"/>
      <c r="E979" s="1"/>
      <c r="F979" s="1"/>
      <c r="G979" s="1"/>
      <c r="H979" s="1"/>
      <c r="I979" s="1"/>
      <c r="J979" s="1"/>
      <c r="K979" s="1"/>
      <c r="L979" s="1"/>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row>
    <row r="980" spans="1:51" x14ac:dyDescent="0.25">
      <c r="A980" s="1"/>
      <c r="B980" s="1"/>
      <c r="C980" s="1"/>
      <c r="D980" s="1"/>
      <c r="E980" s="1"/>
      <c r="F980" s="1"/>
      <c r="G980" s="1"/>
      <c r="H980" s="1"/>
      <c r="I980" s="1"/>
      <c r="J980" s="1"/>
      <c r="K980" s="1"/>
      <c r="L980" s="1"/>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row>
    <row r="981" spans="1:51" x14ac:dyDescent="0.25">
      <c r="A981" s="1"/>
      <c r="B981" s="1"/>
      <c r="C981" s="1"/>
      <c r="D981" s="1"/>
      <c r="E981" s="1"/>
      <c r="F981" s="1"/>
      <c r="G981" s="1"/>
      <c r="H981" s="1"/>
      <c r="I981" s="1"/>
      <c r="J981" s="1"/>
      <c r="K981" s="1"/>
      <c r="L981" s="1"/>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row>
    <row r="982" spans="1:51" x14ac:dyDescent="0.25">
      <c r="A982" s="1"/>
      <c r="B982" s="1"/>
      <c r="C982" s="1"/>
      <c r="D982" s="1"/>
      <c r="E982" s="1"/>
      <c r="F982" s="1"/>
      <c r="G982" s="1"/>
      <c r="H982" s="1"/>
      <c r="I982" s="1"/>
      <c r="J982" s="1"/>
      <c r="K982" s="1"/>
      <c r="L982" s="1"/>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row>
    <row r="983" spans="1:51" x14ac:dyDescent="0.25">
      <c r="A983" s="1"/>
      <c r="B983" s="1"/>
      <c r="C983" s="1"/>
      <c r="D983" s="1"/>
      <c r="E983" s="1"/>
      <c r="F983" s="1"/>
      <c r="G983" s="1"/>
      <c r="H983" s="1"/>
      <c r="I983" s="1"/>
      <c r="J983" s="1"/>
      <c r="K983" s="1"/>
      <c r="L983" s="1"/>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row>
    <row r="984" spans="1:51" x14ac:dyDescent="0.25">
      <c r="A984" s="1"/>
      <c r="B984" s="1"/>
      <c r="C984" s="1"/>
      <c r="D984" s="1"/>
      <c r="E984" s="1"/>
      <c r="F984" s="1"/>
      <c r="G984" s="1"/>
      <c r="H984" s="1"/>
      <c r="I984" s="1"/>
      <c r="J984" s="1"/>
      <c r="K984" s="1"/>
      <c r="L984" s="1"/>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row>
    <row r="985" spans="1:51" x14ac:dyDescent="0.25">
      <c r="A985" s="1"/>
      <c r="B985" s="1"/>
      <c r="C985" s="1"/>
      <c r="D985" s="1"/>
      <c r="E985" s="1"/>
      <c r="F985" s="1"/>
      <c r="G985" s="1"/>
      <c r="H985" s="1"/>
      <c r="I985" s="1"/>
      <c r="J985" s="1"/>
      <c r="K985" s="1"/>
      <c r="L985" s="1"/>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row>
    <row r="986" spans="1:51" x14ac:dyDescent="0.25">
      <c r="A986" s="1"/>
      <c r="B986" s="1"/>
      <c r="C986" s="1"/>
      <c r="D986" s="1"/>
      <c r="E986" s="1"/>
      <c r="F986" s="1"/>
      <c r="G986" s="1"/>
      <c r="H986" s="1"/>
      <c r="I986" s="1"/>
      <c r="J986" s="1"/>
      <c r="K986" s="1"/>
      <c r="L986" s="1"/>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row>
    <row r="987" spans="1:51" x14ac:dyDescent="0.25">
      <c r="A987" s="1"/>
      <c r="B987" s="1"/>
      <c r="C987" s="1"/>
      <c r="D987" s="1"/>
      <c r="E987" s="1"/>
      <c r="F987" s="1"/>
      <c r="G987" s="1"/>
      <c r="H987" s="1"/>
      <c r="I987" s="1"/>
      <c r="J987" s="1"/>
      <c r="K987" s="1"/>
      <c r="L987" s="1"/>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row>
    <row r="988" spans="1:51" x14ac:dyDescent="0.25">
      <c r="A988" s="1"/>
      <c r="B988" s="1"/>
      <c r="C988" s="1"/>
      <c r="D988" s="1"/>
      <c r="E988" s="1"/>
      <c r="F988" s="1"/>
      <c r="G988" s="1"/>
      <c r="H988" s="1"/>
      <c r="I988" s="1"/>
      <c r="J988" s="1"/>
      <c r="K988" s="1"/>
      <c r="L988" s="1"/>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row>
    <row r="989" spans="1:51" x14ac:dyDescent="0.25">
      <c r="A989" s="1"/>
      <c r="B989" s="1"/>
      <c r="C989" s="1"/>
      <c r="D989" s="1"/>
      <c r="E989" s="1"/>
      <c r="F989" s="1"/>
      <c r="G989" s="1"/>
      <c r="H989" s="1"/>
      <c r="I989" s="1"/>
      <c r="J989" s="1"/>
      <c r="K989" s="1"/>
      <c r="L989" s="1"/>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row>
    <row r="990" spans="1:51" x14ac:dyDescent="0.25">
      <c r="A990" s="1"/>
      <c r="B990" s="1"/>
      <c r="C990" s="1"/>
      <c r="D990" s="1"/>
      <c r="E990" s="1"/>
      <c r="F990" s="1"/>
      <c r="G990" s="1"/>
      <c r="H990" s="1"/>
      <c r="I990" s="1"/>
      <c r="J990" s="1"/>
      <c r="K990" s="1"/>
      <c r="L990" s="1"/>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row>
    <row r="991" spans="1:51" x14ac:dyDescent="0.25">
      <c r="A991" s="1"/>
      <c r="B991" s="1"/>
      <c r="C991" s="1"/>
      <c r="D991" s="1"/>
      <c r="E991" s="1"/>
      <c r="F991" s="1"/>
      <c r="G991" s="1"/>
      <c r="H991" s="1"/>
      <c r="I991" s="1"/>
      <c r="J991" s="1"/>
      <c r="K991" s="1"/>
      <c r="L991" s="1"/>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row>
    <row r="992" spans="1:51" x14ac:dyDescent="0.25">
      <c r="A992" s="1"/>
      <c r="B992" s="1"/>
      <c r="C992" s="1"/>
      <c r="D992" s="1"/>
      <c r="E992" s="1"/>
      <c r="F992" s="1"/>
      <c r="G992" s="1"/>
      <c r="H992" s="1"/>
      <c r="I992" s="1"/>
      <c r="J992" s="1"/>
      <c r="K992" s="1"/>
      <c r="L992" s="1"/>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row>
    <row r="993" spans="1:51" x14ac:dyDescent="0.25">
      <c r="A993" s="1"/>
      <c r="B993" s="1"/>
      <c r="C993" s="1"/>
      <c r="D993" s="1"/>
      <c r="E993" s="1"/>
      <c r="F993" s="1"/>
      <c r="G993" s="1"/>
      <c r="H993" s="1"/>
      <c r="I993" s="1"/>
      <c r="J993" s="1"/>
      <c r="K993" s="1"/>
      <c r="L993" s="1"/>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row>
    <row r="994" spans="1:51" x14ac:dyDescent="0.25">
      <c r="A994" s="1"/>
      <c r="B994" s="1"/>
      <c r="C994" s="1"/>
      <c r="D994" s="1"/>
      <c r="E994" s="1"/>
      <c r="F994" s="1"/>
      <c r="G994" s="1"/>
      <c r="H994" s="1"/>
      <c r="I994" s="1"/>
      <c r="J994" s="1"/>
      <c r="K994" s="1"/>
      <c r="L994" s="1"/>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row>
    <row r="995" spans="1:51" x14ac:dyDescent="0.25">
      <c r="A995" s="1"/>
      <c r="B995" s="1"/>
      <c r="C995" s="1"/>
      <c r="D995" s="1"/>
      <c r="E995" s="1"/>
      <c r="F995" s="1"/>
      <c r="G995" s="1"/>
      <c r="H995" s="1"/>
      <c r="I995" s="1"/>
      <c r="J995" s="1"/>
      <c r="K995" s="1"/>
      <c r="L995" s="1"/>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row>
    <row r="996" spans="1:51" x14ac:dyDescent="0.25">
      <c r="A996" s="1"/>
      <c r="B996" s="1"/>
      <c r="C996" s="1"/>
      <c r="D996" s="1"/>
      <c r="E996" s="1"/>
      <c r="F996" s="1"/>
      <c r="G996" s="1"/>
      <c r="H996" s="1"/>
      <c r="I996" s="1"/>
      <c r="J996" s="1"/>
      <c r="K996" s="1"/>
      <c r="L996" s="1"/>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row>
    <row r="997" spans="1:51" x14ac:dyDescent="0.25">
      <c r="A997" s="1"/>
      <c r="B997" s="1"/>
      <c r="C997" s="1"/>
      <c r="D997" s="1"/>
      <c r="E997" s="1"/>
      <c r="F997" s="1"/>
      <c r="G997" s="1"/>
      <c r="H997" s="1"/>
      <c r="I997" s="1"/>
      <c r="J997" s="1"/>
      <c r="K997" s="1"/>
      <c r="L997" s="1"/>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row>
    <row r="998" spans="1:51" x14ac:dyDescent="0.25">
      <c r="A998" s="1"/>
      <c r="B998" s="1"/>
      <c r="C998" s="1"/>
      <c r="D998" s="1"/>
      <c r="E998" s="1"/>
      <c r="F998" s="1"/>
      <c r="G998" s="1"/>
      <c r="H998" s="1"/>
      <c r="I998" s="1"/>
      <c r="J998" s="1"/>
      <c r="K998" s="1"/>
      <c r="L998" s="1"/>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row>
    <row r="999" spans="1:51" x14ac:dyDescent="0.25">
      <c r="A999" s="1"/>
      <c r="B999" s="1"/>
      <c r="C999" s="1"/>
      <c r="D999" s="1"/>
      <c r="E999" s="1"/>
      <c r="F999" s="1"/>
      <c r="G999" s="1"/>
      <c r="H999" s="1"/>
      <c r="I999" s="1"/>
      <c r="J999" s="1"/>
      <c r="K999" s="1"/>
      <c r="L999" s="1"/>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row>
    <row r="1000" spans="1:51" x14ac:dyDescent="0.25">
      <c r="A1000" s="1"/>
      <c r="B1000" s="1"/>
      <c r="C1000" s="1"/>
      <c r="D1000" s="1"/>
      <c r="E1000" s="1"/>
      <c r="F1000" s="1"/>
      <c r="G1000" s="1"/>
      <c r="H1000" s="1"/>
      <c r="I1000" s="1"/>
      <c r="J1000" s="1"/>
      <c r="K1000" s="1"/>
      <c r="L1000" s="1"/>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row>
    <row r="1001" spans="1:51" x14ac:dyDescent="0.25">
      <c r="A1001" s="1"/>
      <c r="B1001" s="1"/>
      <c r="C1001" s="1"/>
      <c r="D1001" s="1"/>
      <c r="E1001" s="1"/>
      <c r="F1001" s="1"/>
      <c r="G1001" s="1"/>
      <c r="H1001" s="1"/>
      <c r="I1001" s="1"/>
      <c r="J1001" s="1"/>
      <c r="K1001" s="1"/>
      <c r="L1001" s="1"/>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row>
    <row r="1002" spans="1:51" x14ac:dyDescent="0.25">
      <c r="A1002" s="1"/>
      <c r="B1002" s="1"/>
      <c r="C1002" s="1"/>
      <c r="D1002" s="1"/>
      <c r="E1002" s="1"/>
      <c r="F1002" s="1"/>
      <c r="G1002" s="1"/>
      <c r="H1002" s="1"/>
      <c r="I1002" s="1"/>
      <c r="J1002" s="1"/>
      <c r="K1002" s="1"/>
      <c r="L1002" s="1"/>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row>
  </sheetData>
  <sheetProtection password="C71C" sheet="1" objects="1" scenarios="1"/>
  <mergeCells count="99">
    <mergeCell ref="AC91:AC93"/>
    <mergeCell ref="AB91:AB93"/>
    <mergeCell ref="Z91:Z93"/>
    <mergeCell ref="AD91:AD93"/>
    <mergeCell ref="V91:V93"/>
    <mergeCell ref="W91:W93"/>
    <mergeCell ref="X91:X93"/>
    <mergeCell ref="Y91:Y93"/>
    <mergeCell ref="AA91:AA93"/>
    <mergeCell ref="Q91:Q93"/>
    <mergeCell ref="R91:R93"/>
    <mergeCell ref="S91:S93"/>
    <mergeCell ref="T91:T93"/>
    <mergeCell ref="U91:U93"/>
    <mergeCell ref="C90:C93"/>
    <mergeCell ref="D90:D93"/>
    <mergeCell ref="E90:E93"/>
    <mergeCell ref="C69:C71"/>
    <mergeCell ref="D69:D71"/>
    <mergeCell ref="E69:E71"/>
    <mergeCell ref="C76:C78"/>
    <mergeCell ref="D76:D78"/>
    <mergeCell ref="E76:E78"/>
    <mergeCell ref="C85:C88"/>
    <mergeCell ref="D85:D88"/>
    <mergeCell ref="E85:E88"/>
    <mergeCell ref="C58:C59"/>
    <mergeCell ref="D58:D59"/>
    <mergeCell ref="E58:E59"/>
    <mergeCell ref="C60:C68"/>
    <mergeCell ref="D60:D68"/>
    <mergeCell ref="E60:E68"/>
    <mergeCell ref="C29:C41"/>
    <mergeCell ref="D29:D41"/>
    <mergeCell ref="E29:E41"/>
    <mergeCell ref="C44:C57"/>
    <mergeCell ref="D44:D57"/>
    <mergeCell ref="E44:E57"/>
    <mergeCell ref="AY14:AY15"/>
    <mergeCell ref="AF14:AF15"/>
    <mergeCell ref="A2:L2"/>
    <mergeCell ref="A3:L3"/>
    <mergeCell ref="A5:L5"/>
    <mergeCell ref="A6:L6"/>
    <mergeCell ref="A9:M9"/>
    <mergeCell ref="A11:M11"/>
    <mergeCell ref="AG14:AG15"/>
    <mergeCell ref="P14:P15"/>
    <mergeCell ref="AX14:AX15"/>
    <mergeCell ref="AI14:AI15"/>
    <mergeCell ref="AJ14:AJ15"/>
    <mergeCell ref="AK14:AK15"/>
    <mergeCell ref="AL14:AW14"/>
    <mergeCell ref="C107:D107"/>
    <mergeCell ref="AH14:AH15"/>
    <mergeCell ref="A105:B105"/>
    <mergeCell ref="C105:D105"/>
    <mergeCell ref="A104:B104"/>
    <mergeCell ref="A107:B107"/>
    <mergeCell ref="A106:B106"/>
    <mergeCell ref="A103:B103"/>
    <mergeCell ref="L91:L93"/>
    <mergeCell ref="M91:M93"/>
    <mergeCell ref="N14:O14"/>
    <mergeCell ref="Q14:AD14"/>
    <mergeCell ref="AE14:AE15"/>
    <mergeCell ref="M14:M15"/>
    <mergeCell ref="H91:H93"/>
    <mergeCell ref="J91:J93"/>
    <mergeCell ref="C106:D106"/>
    <mergeCell ref="G16:G28"/>
    <mergeCell ref="G29:G41"/>
    <mergeCell ref="G42:G57"/>
    <mergeCell ref="G58:G59"/>
    <mergeCell ref="G60:G68"/>
    <mergeCell ref="G69:G71"/>
    <mergeCell ref="G72:G74"/>
    <mergeCell ref="G75:G81"/>
    <mergeCell ref="G82:G84"/>
    <mergeCell ref="G85:G88"/>
    <mergeCell ref="C104:D104"/>
    <mergeCell ref="F91:F93"/>
    <mergeCell ref="C82:C84"/>
    <mergeCell ref="D82:D84"/>
    <mergeCell ref="E82:E84"/>
    <mergeCell ref="P91:P93"/>
    <mergeCell ref="O91:O93"/>
    <mergeCell ref="G98:G101"/>
    <mergeCell ref="N91:N93"/>
    <mergeCell ref="I91:I93"/>
    <mergeCell ref="G90:G93"/>
    <mergeCell ref="G94:G97"/>
    <mergeCell ref="K91:K93"/>
    <mergeCell ref="C98:C101"/>
    <mergeCell ref="D98:D101"/>
    <mergeCell ref="E98:E101"/>
    <mergeCell ref="C94:C97"/>
    <mergeCell ref="D94:D97"/>
    <mergeCell ref="E94:E97"/>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7"/>
  <sheetViews>
    <sheetView topLeftCell="A7" workbookViewId="0">
      <selection activeCell="N16" sqref="N16"/>
    </sheetView>
  </sheetViews>
  <sheetFormatPr baseColWidth="10" defaultRowHeight="15" x14ac:dyDescent="0.25"/>
  <cols>
    <col min="45" max="56" width="4.7109375" customWidth="1"/>
  </cols>
  <sheetData>
    <row r="1" spans="1:58"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row>
    <row r="2" spans="1:58" ht="18" x14ac:dyDescent="0.25">
      <c r="A2" s="910" t="s">
        <v>0</v>
      </c>
      <c r="B2" s="910"/>
      <c r="C2" s="910"/>
      <c r="D2" s="910"/>
      <c r="E2" s="910"/>
      <c r="F2" s="910"/>
      <c r="G2" s="910"/>
      <c r="H2" s="910"/>
      <c r="I2" s="910"/>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row>
    <row r="3" spans="1:58" ht="18" x14ac:dyDescent="0.25">
      <c r="A3" s="911" t="s">
        <v>1</v>
      </c>
      <c r="B3" s="911"/>
      <c r="C3" s="911"/>
      <c r="D3" s="911"/>
      <c r="E3" s="911"/>
      <c r="F3" s="911"/>
      <c r="G3" s="911"/>
      <c r="H3" s="911"/>
      <c r="I3" s="911"/>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row>
    <row r="4" spans="1:58" x14ac:dyDescent="0.25">
      <c r="A4" s="131"/>
      <c r="B4" s="126"/>
      <c r="C4" s="126"/>
      <c r="D4" s="126"/>
      <c r="E4" s="126"/>
      <c r="F4" s="126"/>
      <c r="G4" s="126"/>
      <c r="H4" s="127"/>
      <c r="I4" s="126"/>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row>
    <row r="5" spans="1:58" ht="18" x14ac:dyDescent="0.25">
      <c r="A5" s="912" t="s">
        <v>2</v>
      </c>
      <c r="B5" s="912"/>
      <c r="C5" s="912"/>
      <c r="D5" s="912"/>
      <c r="E5" s="912"/>
      <c r="F5" s="912"/>
      <c r="G5" s="912"/>
      <c r="H5" s="912"/>
      <c r="I5" s="912"/>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row>
    <row r="6" spans="1:58" ht="18" x14ac:dyDescent="0.25">
      <c r="A6" s="939" t="s">
        <v>3345</v>
      </c>
      <c r="B6" s="939"/>
      <c r="C6" s="939"/>
      <c r="D6" s="939"/>
      <c r="E6" s="939"/>
      <c r="F6" s="939"/>
      <c r="G6" s="939"/>
      <c r="H6" s="939"/>
      <c r="I6" s="939"/>
      <c r="J6" s="939"/>
      <c r="K6" s="939"/>
      <c r="L6" s="93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row>
    <row r="7" spans="1:58" ht="18" x14ac:dyDescent="0.25">
      <c r="A7" s="650"/>
      <c r="B7" s="650"/>
      <c r="C7" s="650"/>
      <c r="D7" s="650"/>
      <c r="E7" s="650"/>
      <c r="F7" s="650"/>
      <c r="G7" s="650"/>
      <c r="H7" s="650"/>
      <c r="I7" s="650"/>
      <c r="J7" s="650"/>
      <c r="K7" s="650"/>
      <c r="L7" s="650"/>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row>
    <row r="8" spans="1:58" ht="18" x14ac:dyDescent="0.25">
      <c r="A8" s="650"/>
      <c r="B8" s="650"/>
      <c r="C8" s="650"/>
      <c r="D8" s="650"/>
      <c r="E8" s="650"/>
      <c r="F8" s="650"/>
      <c r="G8" s="650"/>
      <c r="H8" s="650"/>
      <c r="I8" s="650"/>
      <c r="J8" s="650"/>
      <c r="K8" s="650"/>
      <c r="L8" s="650"/>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row>
    <row r="9" spans="1:58" ht="15.75" x14ac:dyDescent="0.25">
      <c r="A9" s="940" t="s">
        <v>3346</v>
      </c>
      <c r="B9" s="940"/>
      <c r="C9" s="940"/>
      <c r="D9" s="940"/>
      <c r="E9" s="940"/>
      <c r="F9" s="940"/>
      <c r="G9" s="940"/>
      <c r="H9" s="940"/>
      <c r="I9" s="940"/>
      <c r="J9" s="940"/>
      <c r="K9" s="940"/>
      <c r="L9" s="940"/>
      <c r="M9" s="940"/>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row>
    <row r="10" spans="1:58" ht="18" x14ac:dyDescent="0.25">
      <c r="A10" s="647"/>
      <c r="B10" s="647"/>
      <c r="C10" s="647"/>
      <c r="D10" s="647"/>
      <c r="E10" s="647"/>
      <c r="F10" s="650"/>
      <c r="G10" s="650"/>
      <c r="H10" s="650"/>
      <c r="I10" s="650"/>
      <c r="J10" s="650"/>
      <c r="K10" s="650"/>
      <c r="L10" s="650"/>
      <c r="M10" s="650"/>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row>
    <row r="11" spans="1:58" x14ac:dyDescent="0.25">
      <c r="A11" s="861" t="s">
        <v>3347</v>
      </c>
      <c r="B11" s="861"/>
      <c r="C11" s="861"/>
      <c r="D11" s="861"/>
      <c r="E11" s="861"/>
      <c r="F11" s="861"/>
      <c r="G11" s="861"/>
      <c r="H11" s="861"/>
      <c r="I11" s="861"/>
      <c r="J11" s="861"/>
      <c r="K11" s="861"/>
      <c r="L11" s="861"/>
      <c r="M11" s="861"/>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row>
    <row r="12" spans="1:58" ht="18" x14ac:dyDescent="0.25">
      <c r="A12" s="650"/>
      <c r="B12" s="650"/>
      <c r="C12" s="650"/>
      <c r="D12" s="650"/>
      <c r="E12" s="650"/>
      <c r="F12" s="650"/>
      <c r="G12" s="650"/>
      <c r="H12" s="650"/>
      <c r="I12" s="650"/>
      <c r="J12" s="650"/>
      <c r="K12" s="650"/>
      <c r="L12" s="650"/>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row>
    <row r="13" spans="1:58" ht="15.75" thickBot="1" x14ac:dyDescent="0.3">
      <c r="A13" s="126"/>
      <c r="B13" s="126"/>
      <c r="C13" s="126"/>
      <c r="D13" s="126"/>
      <c r="E13" s="126"/>
      <c r="F13" s="126"/>
      <c r="G13" s="126"/>
      <c r="H13" s="127"/>
      <c r="I13" s="126"/>
      <c r="J13" s="126"/>
      <c r="K13" s="126"/>
      <c r="L13" s="126"/>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row>
    <row r="14" spans="1:58" x14ac:dyDescent="0.25">
      <c r="A14" s="941" t="s">
        <v>3</v>
      </c>
      <c r="B14" s="943" t="s">
        <v>4</v>
      </c>
      <c r="C14" s="944" t="s">
        <v>5</v>
      </c>
      <c r="D14" s="944" t="s">
        <v>6</v>
      </c>
      <c r="E14" s="944" t="s">
        <v>7</v>
      </c>
      <c r="F14" s="970" t="s">
        <v>8</v>
      </c>
      <c r="G14" s="958" t="s">
        <v>9</v>
      </c>
      <c r="H14" s="944" t="s">
        <v>10</v>
      </c>
      <c r="I14" s="944" t="s">
        <v>11</v>
      </c>
      <c r="J14" s="944" t="s">
        <v>12</v>
      </c>
      <c r="K14" s="944" t="s">
        <v>13</v>
      </c>
      <c r="L14" s="944" t="s">
        <v>14</v>
      </c>
      <c r="M14" s="952" t="s">
        <v>325</v>
      </c>
      <c r="N14" s="953" t="s">
        <v>11</v>
      </c>
      <c r="O14" s="954"/>
      <c r="P14" s="952" t="s">
        <v>3348</v>
      </c>
      <c r="Q14" s="955" t="s">
        <v>15</v>
      </c>
      <c r="R14" s="956"/>
      <c r="S14" s="956"/>
      <c r="T14" s="956"/>
      <c r="U14" s="956"/>
      <c r="V14" s="956"/>
      <c r="W14" s="956"/>
      <c r="X14" s="956"/>
      <c r="Y14" s="956"/>
      <c r="Z14" s="956"/>
      <c r="AA14" s="956"/>
      <c r="AB14" s="956"/>
      <c r="AC14" s="956"/>
      <c r="AD14" s="957"/>
      <c r="AE14" s="661"/>
      <c r="AF14" s="951" t="s">
        <v>16</v>
      </c>
      <c r="AG14" s="951" t="s">
        <v>17</v>
      </c>
      <c r="AH14" s="661"/>
      <c r="AI14" s="661"/>
      <c r="AJ14" s="661"/>
      <c r="AK14" s="661"/>
      <c r="AL14" s="951" t="s">
        <v>18</v>
      </c>
      <c r="AM14" s="951" t="s">
        <v>19</v>
      </c>
      <c r="AN14" s="951" t="s">
        <v>619</v>
      </c>
      <c r="AO14" s="951" t="s">
        <v>2774</v>
      </c>
      <c r="AP14" s="951" t="s">
        <v>3354</v>
      </c>
      <c r="AQ14" s="951" t="s">
        <v>21</v>
      </c>
      <c r="AR14" s="729"/>
      <c r="AS14" s="965" t="s">
        <v>22</v>
      </c>
      <c r="AT14" s="966"/>
      <c r="AU14" s="966"/>
      <c r="AV14" s="966"/>
      <c r="AW14" s="966"/>
      <c r="AX14" s="966"/>
      <c r="AY14" s="966"/>
      <c r="AZ14" s="966"/>
      <c r="BA14" s="966"/>
      <c r="BB14" s="966"/>
      <c r="BC14" s="966"/>
      <c r="BD14" s="967"/>
      <c r="BE14" s="968" t="s">
        <v>23</v>
      </c>
      <c r="BF14" s="960" t="s">
        <v>24</v>
      </c>
    </row>
    <row r="15" spans="1:58" ht="63.75" x14ac:dyDescent="0.25">
      <c r="A15" s="942"/>
      <c r="B15" s="867"/>
      <c r="C15" s="868"/>
      <c r="D15" s="868"/>
      <c r="E15" s="868"/>
      <c r="F15" s="971"/>
      <c r="G15" s="959"/>
      <c r="H15" s="868"/>
      <c r="I15" s="868"/>
      <c r="J15" s="868"/>
      <c r="K15" s="868"/>
      <c r="L15" s="868"/>
      <c r="M15" s="902"/>
      <c r="N15" s="642" t="s">
        <v>25</v>
      </c>
      <c r="O15" s="642" t="s">
        <v>26</v>
      </c>
      <c r="P15" s="902"/>
      <c r="Q15" s="641" t="s">
        <v>27</v>
      </c>
      <c r="R15" s="641" t="s">
        <v>28</v>
      </c>
      <c r="S15" s="641" t="s">
        <v>29</v>
      </c>
      <c r="T15" s="641" t="s">
        <v>623</v>
      </c>
      <c r="U15" s="641" t="s">
        <v>30</v>
      </c>
      <c r="V15" s="641" t="s">
        <v>1449</v>
      </c>
      <c r="W15" s="641" t="s">
        <v>1450</v>
      </c>
      <c r="X15" s="641" t="s">
        <v>33</v>
      </c>
      <c r="Y15" s="641" t="s">
        <v>34</v>
      </c>
      <c r="Z15" s="641" t="s">
        <v>624</v>
      </c>
      <c r="AA15" s="641" t="s">
        <v>36</v>
      </c>
      <c r="AB15" s="641" t="s">
        <v>37</v>
      </c>
      <c r="AC15" s="641" t="s">
        <v>38</v>
      </c>
      <c r="AD15" s="641" t="s">
        <v>39</v>
      </c>
      <c r="AE15" s="641" t="s">
        <v>3349</v>
      </c>
      <c r="AF15" s="922"/>
      <c r="AG15" s="922"/>
      <c r="AH15" s="649" t="s">
        <v>3350</v>
      </c>
      <c r="AI15" s="649" t="s">
        <v>3351</v>
      </c>
      <c r="AJ15" s="649" t="s">
        <v>3352</v>
      </c>
      <c r="AK15" s="649" t="s">
        <v>3353</v>
      </c>
      <c r="AL15" s="922"/>
      <c r="AM15" s="922"/>
      <c r="AN15" s="922"/>
      <c r="AO15" s="922"/>
      <c r="AP15" s="922"/>
      <c r="AQ15" s="922"/>
      <c r="AR15" s="730"/>
      <c r="AS15" s="648" t="s">
        <v>40</v>
      </c>
      <c r="AT15" s="648" t="s">
        <v>41</v>
      </c>
      <c r="AU15" s="648" t="s">
        <v>42</v>
      </c>
      <c r="AV15" s="648" t="s">
        <v>43</v>
      </c>
      <c r="AW15" s="648" t="s">
        <v>42</v>
      </c>
      <c r="AX15" s="648" t="s">
        <v>44</v>
      </c>
      <c r="AY15" s="648" t="s">
        <v>44</v>
      </c>
      <c r="AZ15" s="648" t="s">
        <v>43</v>
      </c>
      <c r="BA15" s="648" t="s">
        <v>45</v>
      </c>
      <c r="BB15" s="648" t="s">
        <v>46</v>
      </c>
      <c r="BC15" s="648" t="s">
        <v>47</v>
      </c>
      <c r="BD15" s="648" t="s">
        <v>48</v>
      </c>
      <c r="BE15" s="969"/>
      <c r="BF15" s="961"/>
    </row>
    <row r="16" spans="1:58" ht="345" x14ac:dyDescent="0.25">
      <c r="A16" s="662" t="s">
        <v>49</v>
      </c>
      <c r="B16" s="663" t="s">
        <v>249</v>
      </c>
      <c r="C16" s="945" t="s">
        <v>3355</v>
      </c>
      <c r="D16" s="945" t="s">
        <v>3356</v>
      </c>
      <c r="E16" s="962">
        <v>0</v>
      </c>
      <c r="F16" s="664" t="s">
        <v>3357</v>
      </c>
      <c r="G16" s="948" t="s">
        <v>3358</v>
      </c>
      <c r="H16" s="665" t="s">
        <v>3359</v>
      </c>
      <c r="I16" s="651" t="s">
        <v>3360</v>
      </c>
      <c r="J16" s="643" t="s">
        <v>3361</v>
      </c>
      <c r="K16" s="643" t="s">
        <v>323</v>
      </c>
      <c r="L16" s="643">
        <v>1</v>
      </c>
      <c r="M16" s="666" t="s">
        <v>3362</v>
      </c>
      <c r="N16" s="666" t="s">
        <v>3363</v>
      </c>
      <c r="O16" s="245">
        <v>85000</v>
      </c>
      <c r="P16" s="667">
        <v>4750</v>
      </c>
      <c r="Q16" s="185"/>
      <c r="R16" s="185"/>
      <c r="S16" s="185"/>
      <c r="T16" s="185"/>
      <c r="U16" s="185"/>
      <c r="V16" s="185"/>
      <c r="W16" s="185"/>
      <c r="X16" s="185"/>
      <c r="Y16" s="185"/>
      <c r="Z16" s="185"/>
      <c r="AA16" s="185"/>
      <c r="AB16" s="185"/>
      <c r="AC16" s="185"/>
      <c r="AD16" s="185"/>
      <c r="AE16" s="245">
        <v>97420523</v>
      </c>
      <c r="AF16" s="666" t="s">
        <v>3364</v>
      </c>
      <c r="AG16" s="185">
        <v>0</v>
      </c>
      <c r="AH16" s="185"/>
      <c r="AI16" s="185" t="s">
        <v>1943</v>
      </c>
      <c r="AJ16" s="185"/>
      <c r="AK16" s="185"/>
      <c r="AL16" s="185">
        <v>42</v>
      </c>
      <c r="AM16" s="666" t="s">
        <v>3365</v>
      </c>
      <c r="AN16" s="666" t="s">
        <v>3366</v>
      </c>
      <c r="AO16" s="185"/>
      <c r="AP16" s="668" t="s">
        <v>3367</v>
      </c>
      <c r="AQ16" s="669"/>
      <c r="AR16" s="185"/>
      <c r="AS16" s="185" t="s">
        <v>395</v>
      </c>
      <c r="AT16" s="185" t="s">
        <v>395</v>
      </c>
      <c r="AU16" s="185" t="s">
        <v>395</v>
      </c>
      <c r="AV16" s="185" t="s">
        <v>395</v>
      </c>
      <c r="AW16" s="185" t="s">
        <v>395</v>
      </c>
      <c r="AX16" s="185" t="s">
        <v>395</v>
      </c>
      <c r="AY16" s="670" t="s">
        <v>395</v>
      </c>
      <c r="AZ16" s="185" t="s">
        <v>395</v>
      </c>
      <c r="BA16" s="185" t="s">
        <v>395</v>
      </c>
      <c r="BB16" s="185" t="s">
        <v>395</v>
      </c>
      <c r="BC16" s="185" t="s">
        <v>395</v>
      </c>
      <c r="BD16" s="185" t="s">
        <v>395</v>
      </c>
      <c r="BE16" s="666" t="s">
        <v>3368</v>
      </c>
      <c r="BF16" s="671"/>
    </row>
    <row r="17" spans="1:58" ht="315" x14ac:dyDescent="0.25">
      <c r="A17" s="662" t="s">
        <v>49</v>
      </c>
      <c r="B17" s="663" t="s">
        <v>249</v>
      </c>
      <c r="C17" s="946"/>
      <c r="D17" s="946"/>
      <c r="E17" s="963"/>
      <c r="F17" s="664" t="s">
        <v>3357</v>
      </c>
      <c r="G17" s="949"/>
      <c r="H17" s="651" t="s">
        <v>3369</v>
      </c>
      <c r="I17" s="651" t="s">
        <v>3370</v>
      </c>
      <c r="J17" s="177">
        <v>0</v>
      </c>
      <c r="K17" s="177" t="s">
        <v>323</v>
      </c>
      <c r="L17" s="177">
        <v>42</v>
      </c>
      <c r="M17" s="672" t="s">
        <v>3371</v>
      </c>
      <c r="N17" s="672" t="s">
        <v>3372</v>
      </c>
      <c r="O17" s="185"/>
      <c r="P17" s="245">
        <v>29668500</v>
      </c>
      <c r="Q17" s="185"/>
      <c r="R17" s="185"/>
      <c r="S17" s="185"/>
      <c r="T17" s="185"/>
      <c r="U17" s="185"/>
      <c r="V17" s="185"/>
      <c r="W17" s="185"/>
      <c r="X17" s="185"/>
      <c r="Y17" s="185"/>
      <c r="Z17" s="185"/>
      <c r="AA17" s="185"/>
      <c r="AB17" s="185"/>
      <c r="AC17" s="185"/>
      <c r="AD17" s="185"/>
      <c r="AE17" s="185"/>
      <c r="AF17" s="666" t="s">
        <v>3364</v>
      </c>
      <c r="AG17" s="666" t="s">
        <v>3373</v>
      </c>
      <c r="AH17" s="666"/>
      <c r="AI17" s="666" t="s">
        <v>3374</v>
      </c>
      <c r="AJ17" s="666"/>
      <c r="AK17" s="666"/>
      <c r="AL17" s="666" t="s">
        <v>3374</v>
      </c>
      <c r="AM17" s="666" t="s">
        <v>3365</v>
      </c>
      <c r="AN17" s="666" t="s">
        <v>3375</v>
      </c>
      <c r="AO17" s="185"/>
      <c r="AP17" s="672" t="s">
        <v>3376</v>
      </c>
      <c r="AQ17" s="673"/>
      <c r="AR17" s="674" t="s">
        <v>3377</v>
      </c>
      <c r="AS17" s="185"/>
      <c r="AT17" s="185"/>
      <c r="AU17" s="185" t="s">
        <v>395</v>
      </c>
      <c r="AV17" s="185" t="s">
        <v>395</v>
      </c>
      <c r="AW17" s="185" t="s">
        <v>395</v>
      </c>
      <c r="AX17" s="185" t="s">
        <v>395</v>
      </c>
      <c r="AY17" s="185" t="s">
        <v>395</v>
      </c>
      <c r="AZ17" s="185" t="s">
        <v>395</v>
      </c>
      <c r="BA17" s="185" t="s">
        <v>395</v>
      </c>
      <c r="BB17" s="185" t="s">
        <v>395</v>
      </c>
      <c r="BC17" s="185" t="s">
        <v>395</v>
      </c>
      <c r="BD17" s="185" t="s">
        <v>395</v>
      </c>
      <c r="BE17" s="666" t="s">
        <v>3378</v>
      </c>
      <c r="BF17" s="675" t="s">
        <v>3379</v>
      </c>
    </row>
    <row r="18" spans="1:58" ht="390" x14ac:dyDescent="0.25">
      <c r="A18" s="662" t="s">
        <v>49</v>
      </c>
      <c r="B18" s="663" t="s">
        <v>249</v>
      </c>
      <c r="C18" s="946"/>
      <c r="D18" s="946"/>
      <c r="E18" s="963"/>
      <c r="F18" s="664" t="s">
        <v>3357</v>
      </c>
      <c r="G18" s="949"/>
      <c r="H18" s="651" t="s">
        <v>3380</v>
      </c>
      <c r="I18" s="651" t="s">
        <v>3381</v>
      </c>
      <c r="J18" s="177">
        <v>0</v>
      </c>
      <c r="K18" s="177" t="s">
        <v>323</v>
      </c>
      <c r="L18" s="177">
        <v>1</v>
      </c>
      <c r="M18" s="672" t="s">
        <v>3382</v>
      </c>
      <c r="N18" s="666" t="s">
        <v>3383</v>
      </c>
      <c r="O18" s="185"/>
      <c r="P18" s="667">
        <v>12500</v>
      </c>
      <c r="Q18" s="185"/>
      <c r="R18" s="185"/>
      <c r="S18" s="185"/>
      <c r="T18" s="185"/>
      <c r="U18" s="185"/>
      <c r="V18" s="185"/>
      <c r="W18" s="185"/>
      <c r="X18" s="185"/>
      <c r="Y18" s="185"/>
      <c r="Z18" s="185"/>
      <c r="AA18" s="185"/>
      <c r="AB18" s="185"/>
      <c r="AC18" s="185"/>
      <c r="AD18" s="185"/>
      <c r="AE18" s="185"/>
      <c r="AF18" s="666" t="s">
        <v>3364</v>
      </c>
      <c r="AG18" s="185">
        <v>0</v>
      </c>
      <c r="AH18" s="666"/>
      <c r="AI18" s="668" t="s">
        <v>3384</v>
      </c>
      <c r="AJ18" s="666"/>
      <c r="AK18" s="666"/>
      <c r="AL18" s="666" t="s">
        <v>3384</v>
      </c>
      <c r="AM18" s="666" t="s">
        <v>3365</v>
      </c>
      <c r="AN18" s="666" t="s">
        <v>3385</v>
      </c>
      <c r="AO18" s="185"/>
      <c r="AP18" s="672" t="s">
        <v>3386</v>
      </c>
      <c r="AQ18" s="673"/>
      <c r="AR18" s="666"/>
      <c r="AS18" s="185"/>
      <c r="AT18" s="185"/>
      <c r="AU18" s="185" t="s">
        <v>395</v>
      </c>
      <c r="AV18" s="185" t="s">
        <v>395</v>
      </c>
      <c r="AW18" s="185" t="s">
        <v>395</v>
      </c>
      <c r="AX18" s="185" t="s">
        <v>395</v>
      </c>
      <c r="AY18" s="185" t="s">
        <v>395</v>
      </c>
      <c r="AZ18" s="185" t="s">
        <v>395</v>
      </c>
      <c r="BA18" s="185" t="s">
        <v>395</v>
      </c>
      <c r="BB18" s="185" t="s">
        <v>395</v>
      </c>
      <c r="BC18" s="185" t="s">
        <v>395</v>
      </c>
      <c r="BD18" s="185" t="s">
        <v>395</v>
      </c>
      <c r="BE18" s="666" t="s">
        <v>3378</v>
      </c>
      <c r="BF18" s="675" t="s">
        <v>3387</v>
      </c>
    </row>
    <row r="19" spans="1:58" ht="375" x14ac:dyDescent="0.25">
      <c r="A19" s="662" t="s">
        <v>49</v>
      </c>
      <c r="B19" s="663" t="s">
        <v>249</v>
      </c>
      <c r="C19" s="947"/>
      <c r="D19" s="947"/>
      <c r="E19" s="964"/>
      <c r="F19" s="664" t="s">
        <v>3357</v>
      </c>
      <c r="G19" s="950"/>
      <c r="H19" s="651" t="s">
        <v>3388</v>
      </c>
      <c r="I19" s="651" t="s">
        <v>3389</v>
      </c>
      <c r="J19" s="177">
        <v>0</v>
      </c>
      <c r="K19" s="177" t="s">
        <v>323</v>
      </c>
      <c r="L19" s="177">
        <v>1</v>
      </c>
      <c r="M19" s="676" t="s">
        <v>3390</v>
      </c>
      <c r="N19" s="676" t="s">
        <v>3391</v>
      </c>
      <c r="O19" s="185"/>
      <c r="P19" s="676">
        <v>50402023</v>
      </c>
      <c r="Q19" s="185"/>
      <c r="R19" s="185"/>
      <c r="S19" s="185"/>
      <c r="T19" s="185"/>
      <c r="U19" s="185"/>
      <c r="V19" s="185"/>
      <c r="W19" s="185"/>
      <c r="X19" s="185"/>
      <c r="Y19" s="185"/>
      <c r="Z19" s="185"/>
      <c r="AA19" s="185"/>
      <c r="AB19" s="185"/>
      <c r="AC19" s="185"/>
      <c r="AD19" s="185"/>
      <c r="AE19" s="185"/>
      <c r="AF19" s="666" t="s">
        <v>3364</v>
      </c>
      <c r="AG19" s="666" t="s">
        <v>3392</v>
      </c>
      <c r="AH19" s="666"/>
      <c r="AI19" s="666" t="s">
        <v>3393</v>
      </c>
      <c r="AJ19" s="666"/>
      <c r="AK19" s="666"/>
      <c r="AL19" s="666" t="s">
        <v>3393</v>
      </c>
      <c r="AM19" s="666" t="s">
        <v>3394</v>
      </c>
      <c r="AN19" s="666" t="s">
        <v>3395</v>
      </c>
      <c r="AO19" s="230" t="s">
        <v>3396</v>
      </c>
      <c r="AP19" s="676" t="s">
        <v>3397</v>
      </c>
      <c r="AQ19" s="669"/>
      <c r="AR19" s="666"/>
      <c r="AS19" s="185" t="s">
        <v>395</v>
      </c>
      <c r="AT19" s="185" t="s">
        <v>395</v>
      </c>
      <c r="AU19" s="185" t="s">
        <v>395</v>
      </c>
      <c r="AV19" s="185" t="s">
        <v>395</v>
      </c>
      <c r="AW19" s="185" t="s">
        <v>395</v>
      </c>
      <c r="AX19" s="185" t="s">
        <v>395</v>
      </c>
      <c r="AY19" s="185" t="s">
        <v>395</v>
      </c>
      <c r="AZ19" s="185" t="s">
        <v>395</v>
      </c>
      <c r="BA19" s="185" t="s">
        <v>395</v>
      </c>
      <c r="BB19" s="185" t="s">
        <v>395</v>
      </c>
      <c r="BC19" s="185" t="s">
        <v>395</v>
      </c>
      <c r="BD19" s="185" t="s">
        <v>395</v>
      </c>
      <c r="BE19" s="185"/>
      <c r="BF19" s="671"/>
    </row>
    <row r="20" spans="1:58" ht="409.5" x14ac:dyDescent="0.25">
      <c r="A20" s="662" t="s">
        <v>49</v>
      </c>
      <c r="B20" s="663" t="s">
        <v>249</v>
      </c>
      <c r="C20" s="945" t="s">
        <v>3398</v>
      </c>
      <c r="D20" s="945" t="s">
        <v>3399</v>
      </c>
      <c r="E20" s="945" t="s">
        <v>3400</v>
      </c>
      <c r="F20" s="664" t="s">
        <v>3401</v>
      </c>
      <c r="G20" s="948" t="s">
        <v>3402</v>
      </c>
      <c r="H20" s="651" t="s">
        <v>3403</v>
      </c>
      <c r="I20" s="651" t="s">
        <v>3404</v>
      </c>
      <c r="J20" s="177">
        <v>0</v>
      </c>
      <c r="K20" s="177" t="s">
        <v>323</v>
      </c>
      <c r="L20" s="177">
        <v>42</v>
      </c>
      <c r="M20" s="677" t="s">
        <v>3405</v>
      </c>
      <c r="N20" s="677" t="s">
        <v>3406</v>
      </c>
      <c r="O20" s="245">
        <v>80300370</v>
      </c>
      <c r="P20" s="667">
        <v>17550</v>
      </c>
      <c r="Q20" s="185"/>
      <c r="R20" s="185"/>
      <c r="S20" s="185"/>
      <c r="T20" s="185"/>
      <c r="U20" s="185"/>
      <c r="V20" s="185"/>
      <c r="W20" s="185"/>
      <c r="X20" s="185"/>
      <c r="Y20" s="185"/>
      <c r="Z20" s="185"/>
      <c r="AA20" s="185"/>
      <c r="AB20" s="185"/>
      <c r="AC20" s="185"/>
      <c r="AD20" s="185"/>
      <c r="AE20" s="245">
        <v>87464709</v>
      </c>
      <c r="AF20" s="666" t="s">
        <v>3407</v>
      </c>
      <c r="AG20" s="666" t="s">
        <v>3408</v>
      </c>
      <c r="AH20" s="666"/>
      <c r="AI20" s="678" t="s">
        <v>3409</v>
      </c>
      <c r="AJ20" s="666"/>
      <c r="AK20" s="666"/>
      <c r="AL20" s="666" t="s">
        <v>3409</v>
      </c>
      <c r="AM20" s="666" t="s">
        <v>3410</v>
      </c>
      <c r="AN20" s="666" t="s">
        <v>3411</v>
      </c>
      <c r="AO20" s="185"/>
      <c r="AP20" s="677" t="s">
        <v>3412</v>
      </c>
      <c r="AQ20" s="666"/>
      <c r="AR20" s="666"/>
      <c r="AS20" s="185"/>
      <c r="AT20" s="185" t="s">
        <v>395</v>
      </c>
      <c r="AU20" s="185" t="s">
        <v>395</v>
      </c>
      <c r="AV20" s="185" t="s">
        <v>395</v>
      </c>
      <c r="AW20" s="185" t="s">
        <v>395</v>
      </c>
      <c r="AX20" s="185" t="s">
        <v>395</v>
      </c>
      <c r="AY20" s="185" t="s">
        <v>395</v>
      </c>
      <c r="AZ20" s="185" t="s">
        <v>395</v>
      </c>
      <c r="BA20" s="185" t="s">
        <v>395</v>
      </c>
      <c r="BB20" s="185" t="s">
        <v>395</v>
      </c>
      <c r="BC20" s="185" t="s">
        <v>395</v>
      </c>
      <c r="BD20" s="185" t="s">
        <v>395</v>
      </c>
      <c r="BE20" s="185"/>
      <c r="BF20" s="671"/>
    </row>
    <row r="21" spans="1:58" ht="315" x14ac:dyDescent="0.25">
      <c r="A21" s="662" t="s">
        <v>49</v>
      </c>
      <c r="B21" s="663" t="s">
        <v>249</v>
      </c>
      <c r="C21" s="946"/>
      <c r="D21" s="946"/>
      <c r="E21" s="946"/>
      <c r="F21" s="664" t="s">
        <v>3401</v>
      </c>
      <c r="G21" s="949"/>
      <c r="H21" s="651" t="s">
        <v>3413</v>
      </c>
      <c r="I21" s="643" t="s">
        <v>3414</v>
      </c>
      <c r="J21" s="177">
        <v>0</v>
      </c>
      <c r="K21" s="177" t="s">
        <v>323</v>
      </c>
      <c r="L21" s="177">
        <v>42</v>
      </c>
      <c r="M21" s="677" t="s">
        <v>3415</v>
      </c>
      <c r="N21" s="677" t="s">
        <v>3416</v>
      </c>
      <c r="O21" s="185"/>
      <c r="P21" s="667">
        <v>18714709</v>
      </c>
      <c r="Q21" s="185"/>
      <c r="R21" s="185"/>
      <c r="S21" s="185"/>
      <c r="T21" s="185"/>
      <c r="U21" s="185"/>
      <c r="V21" s="185"/>
      <c r="W21" s="185"/>
      <c r="X21" s="185"/>
      <c r="Y21" s="185"/>
      <c r="Z21" s="185"/>
      <c r="AA21" s="185"/>
      <c r="AB21" s="185"/>
      <c r="AC21" s="185"/>
      <c r="AD21" s="185"/>
      <c r="AE21" s="185"/>
      <c r="AF21" s="666" t="s">
        <v>3407</v>
      </c>
      <c r="AG21" s="185"/>
      <c r="AH21" s="185"/>
      <c r="AI21" s="677" t="s">
        <v>3417</v>
      </c>
      <c r="AJ21" s="185"/>
      <c r="AK21" s="185"/>
      <c r="AL21" s="677" t="s">
        <v>3417</v>
      </c>
      <c r="AM21" s="666" t="s">
        <v>3418</v>
      </c>
      <c r="AN21" s="666" t="s">
        <v>3419</v>
      </c>
      <c r="AO21" s="185"/>
      <c r="AP21" s="666" t="s">
        <v>3420</v>
      </c>
      <c r="AQ21" s="666"/>
      <c r="AR21" s="666"/>
      <c r="AS21" s="185"/>
      <c r="AT21" s="185" t="s">
        <v>395</v>
      </c>
      <c r="AU21" s="185" t="s">
        <v>395</v>
      </c>
      <c r="AV21" s="185" t="s">
        <v>395</v>
      </c>
      <c r="AW21" s="185" t="s">
        <v>395</v>
      </c>
      <c r="AX21" s="185" t="s">
        <v>395</v>
      </c>
      <c r="AY21" s="185" t="s">
        <v>395</v>
      </c>
      <c r="AZ21" s="185" t="s">
        <v>395</v>
      </c>
      <c r="BA21" s="185" t="s">
        <v>395</v>
      </c>
      <c r="BB21" s="185" t="s">
        <v>395</v>
      </c>
      <c r="BC21" s="185" t="s">
        <v>395</v>
      </c>
      <c r="BD21" s="185" t="s">
        <v>395</v>
      </c>
      <c r="BE21" s="185"/>
      <c r="BF21" s="671"/>
    </row>
    <row r="22" spans="1:58" ht="409.5" x14ac:dyDescent="0.25">
      <c r="A22" s="662" t="s">
        <v>49</v>
      </c>
      <c r="B22" s="663" t="s">
        <v>249</v>
      </c>
      <c r="C22" s="947"/>
      <c r="D22" s="947"/>
      <c r="E22" s="947"/>
      <c r="F22" s="664" t="s">
        <v>3401</v>
      </c>
      <c r="G22" s="950"/>
      <c r="H22" s="651" t="s">
        <v>3421</v>
      </c>
      <c r="I22" s="651" t="s">
        <v>3422</v>
      </c>
      <c r="J22" s="643">
        <v>0</v>
      </c>
      <c r="K22" s="643" t="s">
        <v>323</v>
      </c>
      <c r="L22" s="643">
        <v>1</v>
      </c>
      <c r="M22" s="677" t="s">
        <v>3423</v>
      </c>
      <c r="N22" s="677" t="s">
        <v>3424</v>
      </c>
      <c r="O22" s="679"/>
      <c r="P22" s="667">
        <v>51000</v>
      </c>
      <c r="Q22" s="185"/>
      <c r="R22" s="185"/>
      <c r="S22" s="185"/>
      <c r="T22" s="185"/>
      <c r="U22" s="185"/>
      <c r="V22" s="185"/>
      <c r="W22" s="185"/>
      <c r="X22" s="185"/>
      <c r="Y22" s="185"/>
      <c r="Z22" s="185"/>
      <c r="AA22" s="185"/>
      <c r="AB22" s="185"/>
      <c r="AC22" s="185"/>
      <c r="AD22" s="185"/>
      <c r="AE22" s="185"/>
      <c r="AF22" s="666" t="s">
        <v>3407</v>
      </c>
      <c r="AG22" s="185"/>
      <c r="AH22" s="185"/>
      <c r="AI22" s="678" t="s">
        <v>3425</v>
      </c>
      <c r="AJ22" s="185"/>
      <c r="AK22" s="185"/>
      <c r="AL22" s="678" t="s">
        <v>3425</v>
      </c>
      <c r="AM22" s="666" t="s">
        <v>3426</v>
      </c>
      <c r="AN22" s="666" t="s">
        <v>3427</v>
      </c>
      <c r="AO22" s="185"/>
      <c r="AP22" s="666" t="s">
        <v>3428</v>
      </c>
      <c r="AQ22" s="666"/>
      <c r="AR22" s="666"/>
      <c r="AS22" s="185" t="s">
        <v>395</v>
      </c>
      <c r="AT22" s="185" t="s">
        <v>395</v>
      </c>
      <c r="AU22" s="185" t="s">
        <v>395</v>
      </c>
      <c r="AV22" s="185" t="s">
        <v>395</v>
      </c>
      <c r="AW22" s="185" t="s">
        <v>395</v>
      </c>
      <c r="AX22" s="185" t="s">
        <v>395</v>
      </c>
      <c r="AY22" s="185" t="s">
        <v>395</v>
      </c>
      <c r="AZ22" s="185" t="s">
        <v>395</v>
      </c>
      <c r="BA22" s="185" t="s">
        <v>395</v>
      </c>
      <c r="BB22" s="185" t="s">
        <v>395</v>
      </c>
      <c r="BC22" s="185" t="s">
        <v>395</v>
      </c>
      <c r="BD22" s="185" t="s">
        <v>395</v>
      </c>
      <c r="BE22" s="185"/>
      <c r="BF22" s="671"/>
    </row>
    <row r="23" spans="1:58" ht="409.5" x14ac:dyDescent="0.25">
      <c r="A23" s="662" t="s">
        <v>49</v>
      </c>
      <c r="B23" s="663" t="s">
        <v>249</v>
      </c>
      <c r="C23" s="945" t="s">
        <v>3429</v>
      </c>
      <c r="D23" s="945" t="s">
        <v>3430</v>
      </c>
      <c r="E23" s="945" t="s">
        <v>3431</v>
      </c>
      <c r="F23" s="664" t="s">
        <v>3432</v>
      </c>
      <c r="G23" s="972" t="s">
        <v>3433</v>
      </c>
      <c r="H23" s="651" t="s">
        <v>3434</v>
      </c>
      <c r="I23" s="651" t="s">
        <v>3435</v>
      </c>
      <c r="J23" s="177">
        <v>0</v>
      </c>
      <c r="K23" s="177"/>
      <c r="L23" s="177">
        <v>1</v>
      </c>
      <c r="M23" s="677" t="s">
        <v>3436</v>
      </c>
      <c r="N23" s="677" t="s">
        <v>3437</v>
      </c>
      <c r="O23" s="245">
        <v>100000000</v>
      </c>
      <c r="P23" s="667">
        <v>45750</v>
      </c>
      <c r="Q23" s="185"/>
      <c r="R23" s="185"/>
      <c r="S23" s="185"/>
      <c r="T23" s="185"/>
      <c r="U23" s="185"/>
      <c r="V23" s="185"/>
      <c r="W23" s="185"/>
      <c r="X23" s="185"/>
      <c r="Y23" s="185"/>
      <c r="Z23" s="185"/>
      <c r="AA23" s="185"/>
      <c r="AB23" s="185"/>
      <c r="AC23" s="185"/>
      <c r="AD23" s="185"/>
      <c r="AE23" s="245">
        <v>114715000</v>
      </c>
      <c r="AF23" s="230" t="s">
        <v>3438</v>
      </c>
      <c r="AG23" s="185"/>
      <c r="AH23" s="185"/>
      <c r="AI23" s="677" t="s">
        <v>3439</v>
      </c>
      <c r="AJ23" s="185"/>
      <c r="AK23" s="185"/>
      <c r="AL23" s="677" t="s">
        <v>3439</v>
      </c>
      <c r="AM23" s="666" t="s">
        <v>3426</v>
      </c>
      <c r="AN23" s="666" t="s">
        <v>3440</v>
      </c>
      <c r="AO23" s="185"/>
      <c r="AP23" s="666" t="s">
        <v>3441</v>
      </c>
      <c r="AQ23" s="185"/>
      <c r="AR23" s="643"/>
      <c r="AS23" s="185"/>
      <c r="AT23" s="185" t="s">
        <v>395</v>
      </c>
      <c r="AU23" s="185" t="s">
        <v>395</v>
      </c>
      <c r="AV23" s="185" t="s">
        <v>395</v>
      </c>
      <c r="AW23" s="185" t="s">
        <v>395</v>
      </c>
      <c r="AX23" s="185" t="s">
        <v>395</v>
      </c>
      <c r="AY23" s="185" t="s">
        <v>395</v>
      </c>
      <c r="AZ23" s="185" t="s">
        <v>395</v>
      </c>
      <c r="BA23" s="185" t="s">
        <v>395</v>
      </c>
      <c r="BB23" s="666" t="s">
        <v>395</v>
      </c>
      <c r="BC23" s="185"/>
      <c r="BD23" s="185"/>
      <c r="BE23" s="185"/>
      <c r="BF23" s="671"/>
    </row>
    <row r="24" spans="1:58" ht="409.5" x14ac:dyDescent="0.25">
      <c r="A24" s="662" t="s">
        <v>49</v>
      </c>
      <c r="B24" s="663" t="s">
        <v>249</v>
      </c>
      <c r="C24" s="946"/>
      <c r="D24" s="946"/>
      <c r="E24" s="946"/>
      <c r="F24" s="664" t="s">
        <v>3432</v>
      </c>
      <c r="G24" s="972"/>
      <c r="H24" s="651" t="s">
        <v>3442</v>
      </c>
      <c r="I24" s="651" t="s">
        <v>3443</v>
      </c>
      <c r="J24" s="177">
        <v>0</v>
      </c>
      <c r="K24" s="177" t="s">
        <v>323</v>
      </c>
      <c r="L24" s="177">
        <v>42</v>
      </c>
      <c r="M24" s="677" t="s">
        <v>3444</v>
      </c>
      <c r="N24" s="677" t="s">
        <v>3445</v>
      </c>
      <c r="O24" s="676"/>
      <c r="P24" s="667">
        <v>14500</v>
      </c>
      <c r="Q24" s="185"/>
      <c r="R24" s="185"/>
      <c r="S24" s="185"/>
      <c r="T24" s="185"/>
      <c r="U24" s="185"/>
      <c r="V24" s="185"/>
      <c r="W24" s="185"/>
      <c r="X24" s="185"/>
      <c r="Y24" s="185"/>
      <c r="Z24" s="185"/>
      <c r="AA24" s="185"/>
      <c r="AB24" s="185"/>
      <c r="AC24" s="185"/>
      <c r="AD24" s="185"/>
      <c r="AE24" s="185"/>
      <c r="AF24" s="230" t="s">
        <v>3438</v>
      </c>
      <c r="AG24" s="185"/>
      <c r="AH24" s="185"/>
      <c r="AI24" s="677" t="s">
        <v>3446</v>
      </c>
      <c r="AJ24" s="185"/>
      <c r="AK24" s="185"/>
      <c r="AL24" s="677" t="s">
        <v>3446</v>
      </c>
      <c r="AM24" s="666" t="s">
        <v>3447</v>
      </c>
      <c r="AN24" s="666" t="s">
        <v>3448</v>
      </c>
      <c r="AO24" s="185"/>
      <c r="AP24" s="643" t="s">
        <v>3449</v>
      </c>
      <c r="AQ24" s="643"/>
      <c r="AR24" s="185"/>
      <c r="AS24" s="185"/>
      <c r="AT24" s="185" t="s">
        <v>395</v>
      </c>
      <c r="AU24" s="185" t="s">
        <v>395</v>
      </c>
      <c r="AV24" s="185" t="s">
        <v>395</v>
      </c>
      <c r="AW24" s="185" t="s">
        <v>395</v>
      </c>
      <c r="AX24" s="185" t="s">
        <v>395</v>
      </c>
      <c r="AY24" s="185" t="s">
        <v>395</v>
      </c>
      <c r="AZ24" s="185" t="s">
        <v>395</v>
      </c>
      <c r="BA24" s="185" t="s">
        <v>395</v>
      </c>
      <c r="BB24" s="185" t="s">
        <v>395</v>
      </c>
      <c r="BC24" s="185" t="s">
        <v>395</v>
      </c>
      <c r="BD24" s="185"/>
      <c r="BE24" s="185"/>
      <c r="BF24" s="671"/>
    </row>
    <row r="25" spans="1:58" ht="252" x14ac:dyDescent="0.25">
      <c r="A25" s="662" t="s">
        <v>49</v>
      </c>
      <c r="B25" s="663" t="s">
        <v>249</v>
      </c>
      <c r="C25" s="946"/>
      <c r="D25" s="946"/>
      <c r="E25" s="946"/>
      <c r="F25" s="664" t="s">
        <v>3432</v>
      </c>
      <c r="G25" s="972"/>
      <c r="H25" s="252" t="s">
        <v>3450</v>
      </c>
      <c r="I25" s="651" t="s">
        <v>3451</v>
      </c>
      <c r="J25" s="246"/>
      <c r="K25" s="246" t="s">
        <v>323</v>
      </c>
      <c r="L25" s="643">
        <v>1</v>
      </c>
      <c r="M25" s="677" t="s">
        <v>3452</v>
      </c>
      <c r="N25" s="677" t="s">
        <v>3453</v>
      </c>
      <c r="O25" s="185"/>
      <c r="P25" s="667">
        <v>14500</v>
      </c>
      <c r="Q25" s="185"/>
      <c r="R25" s="185"/>
      <c r="S25" s="185"/>
      <c r="T25" s="185"/>
      <c r="U25" s="185"/>
      <c r="V25" s="185"/>
      <c r="W25" s="185"/>
      <c r="X25" s="185"/>
      <c r="Y25" s="185"/>
      <c r="Z25" s="185"/>
      <c r="AA25" s="185"/>
      <c r="AB25" s="185"/>
      <c r="AC25" s="185"/>
      <c r="AD25" s="185"/>
      <c r="AE25" s="185"/>
      <c r="AF25" s="230" t="s">
        <v>3438</v>
      </c>
      <c r="AG25" s="185"/>
      <c r="AH25" s="185"/>
      <c r="AI25" s="677" t="s">
        <v>3446</v>
      </c>
      <c r="AJ25" s="185"/>
      <c r="AK25" s="185"/>
      <c r="AL25" s="677" t="s">
        <v>3446</v>
      </c>
      <c r="AM25" s="666" t="s">
        <v>820</v>
      </c>
      <c r="AN25" s="666" t="s">
        <v>3454</v>
      </c>
      <c r="AO25" s="185"/>
      <c r="AP25" s="666" t="s">
        <v>3455</v>
      </c>
      <c r="AQ25" s="666"/>
      <c r="AR25" s="185"/>
      <c r="AS25" s="185"/>
      <c r="AT25" s="185" t="s">
        <v>395</v>
      </c>
      <c r="AU25" s="185" t="s">
        <v>395</v>
      </c>
      <c r="AV25" s="185" t="s">
        <v>395</v>
      </c>
      <c r="AW25" s="185" t="s">
        <v>395</v>
      </c>
      <c r="AX25" s="185" t="s">
        <v>395</v>
      </c>
      <c r="AY25" s="185" t="s">
        <v>395</v>
      </c>
      <c r="AZ25" s="185" t="s">
        <v>395</v>
      </c>
      <c r="BA25" s="185" t="s">
        <v>395</v>
      </c>
      <c r="BB25" s="185" t="s">
        <v>395</v>
      </c>
      <c r="BC25" s="185" t="s">
        <v>395</v>
      </c>
      <c r="BD25" s="185"/>
      <c r="BE25" s="185"/>
      <c r="BF25" s="671"/>
    </row>
    <row r="26" spans="1:58" ht="360" x14ac:dyDescent="0.25">
      <c r="A26" s="662" t="s">
        <v>49</v>
      </c>
      <c r="B26" s="663" t="s">
        <v>249</v>
      </c>
      <c r="C26" s="947"/>
      <c r="D26" s="947"/>
      <c r="E26" s="947"/>
      <c r="F26" s="664" t="s">
        <v>3432</v>
      </c>
      <c r="G26" s="972"/>
      <c r="H26" s="651" t="s">
        <v>3456</v>
      </c>
      <c r="I26" s="651" t="s">
        <v>3457</v>
      </c>
      <c r="J26" s="246" t="s">
        <v>3458</v>
      </c>
      <c r="K26" s="643" t="s">
        <v>323</v>
      </c>
      <c r="L26" s="643">
        <v>4</v>
      </c>
      <c r="M26" s="643" t="s">
        <v>3459</v>
      </c>
      <c r="N26" s="666" t="s">
        <v>3460</v>
      </c>
      <c r="O26" s="185"/>
      <c r="P26" s="667">
        <v>3000</v>
      </c>
      <c r="Q26" s="185"/>
      <c r="R26" s="185"/>
      <c r="S26" s="185"/>
      <c r="T26" s="185"/>
      <c r="U26" s="185"/>
      <c r="V26" s="185"/>
      <c r="W26" s="185"/>
      <c r="X26" s="185"/>
      <c r="Y26" s="185"/>
      <c r="Z26" s="185"/>
      <c r="AA26" s="185"/>
      <c r="AB26" s="185"/>
      <c r="AC26" s="185"/>
      <c r="AD26" s="185"/>
      <c r="AE26" s="185"/>
      <c r="AF26" s="230" t="s">
        <v>3438</v>
      </c>
      <c r="AG26" s="185"/>
      <c r="AH26" s="185"/>
      <c r="AI26" s="666" t="s">
        <v>3461</v>
      </c>
      <c r="AJ26" s="185"/>
      <c r="AK26" s="185"/>
      <c r="AL26" s="666" t="s">
        <v>3461</v>
      </c>
      <c r="AM26" s="185" t="s">
        <v>580</v>
      </c>
      <c r="AN26" s="666" t="s">
        <v>3454</v>
      </c>
      <c r="AO26" s="185"/>
      <c r="AP26" s="666" t="s">
        <v>3462</v>
      </c>
      <c r="AQ26" s="666"/>
      <c r="AR26" s="185"/>
      <c r="AS26" s="185"/>
      <c r="AT26" s="185"/>
      <c r="AU26" s="185" t="s">
        <v>395</v>
      </c>
      <c r="AV26" s="185" t="s">
        <v>395</v>
      </c>
      <c r="AW26" s="185" t="s">
        <v>395</v>
      </c>
      <c r="AX26" s="185" t="s">
        <v>395</v>
      </c>
      <c r="AY26" s="185" t="s">
        <v>395</v>
      </c>
      <c r="AZ26" s="185" t="s">
        <v>395</v>
      </c>
      <c r="BA26" s="185" t="s">
        <v>395</v>
      </c>
      <c r="BB26" s="185" t="s">
        <v>395</v>
      </c>
      <c r="BC26" s="185" t="s">
        <v>395</v>
      </c>
      <c r="BD26" s="185" t="s">
        <v>395</v>
      </c>
      <c r="BE26" s="185"/>
      <c r="BF26" s="671"/>
    </row>
    <row r="27" spans="1:58" ht="409.5" x14ac:dyDescent="0.25">
      <c r="A27" s="662" t="s">
        <v>49</v>
      </c>
      <c r="B27" s="663" t="s">
        <v>249</v>
      </c>
      <c r="C27" s="945" t="s">
        <v>3463</v>
      </c>
      <c r="D27" s="945" t="s">
        <v>3464</v>
      </c>
      <c r="E27" s="962">
        <v>0</v>
      </c>
      <c r="F27" s="664" t="s">
        <v>3432</v>
      </c>
      <c r="G27" s="972"/>
      <c r="H27" s="680" t="s">
        <v>3465</v>
      </c>
      <c r="I27" s="681" t="s">
        <v>3466</v>
      </c>
      <c r="J27" s="682">
        <v>0</v>
      </c>
      <c r="K27" s="682" t="s">
        <v>323</v>
      </c>
      <c r="L27" s="682">
        <v>1</v>
      </c>
      <c r="M27" s="677" t="s">
        <v>3467</v>
      </c>
      <c r="N27" s="677" t="s">
        <v>3468</v>
      </c>
      <c r="O27" s="185"/>
      <c r="P27" s="667">
        <v>15005</v>
      </c>
      <c r="Q27" s="667"/>
      <c r="R27" s="185"/>
      <c r="S27" s="185"/>
      <c r="T27" s="185"/>
      <c r="U27" s="185"/>
      <c r="V27" s="185"/>
      <c r="W27" s="185"/>
      <c r="X27" s="185"/>
      <c r="Y27" s="185"/>
      <c r="Z27" s="185"/>
      <c r="AA27" s="185"/>
      <c r="AB27" s="185"/>
      <c r="AC27" s="185"/>
      <c r="AD27" s="185"/>
      <c r="AE27" s="185"/>
      <c r="AF27" s="230" t="s">
        <v>3438</v>
      </c>
      <c r="AG27" s="666" t="s">
        <v>3469</v>
      </c>
      <c r="AH27" s="666"/>
      <c r="AI27" s="677" t="s">
        <v>3470</v>
      </c>
      <c r="AJ27" s="666"/>
      <c r="AK27" s="666"/>
      <c r="AL27" s="677" t="s">
        <v>3470</v>
      </c>
      <c r="AM27" s="666" t="s">
        <v>3471</v>
      </c>
      <c r="AN27" s="666" t="s">
        <v>3472</v>
      </c>
      <c r="AO27" s="185"/>
      <c r="AP27" s="677" t="s">
        <v>3473</v>
      </c>
      <c r="AQ27" s="666"/>
      <c r="AR27" s="674" t="s">
        <v>3474</v>
      </c>
      <c r="AS27" s="185"/>
      <c r="AT27" s="185"/>
      <c r="AU27" s="185"/>
      <c r="AV27" s="185"/>
      <c r="AW27" s="666"/>
      <c r="AX27" s="666" t="s">
        <v>395</v>
      </c>
      <c r="AY27" s="666" t="s">
        <v>395</v>
      </c>
      <c r="AZ27" s="666" t="s">
        <v>395</v>
      </c>
      <c r="BA27" s="185" t="s">
        <v>751</v>
      </c>
      <c r="BB27" s="185" t="s">
        <v>751</v>
      </c>
      <c r="BC27" s="185" t="s">
        <v>395</v>
      </c>
      <c r="BD27" s="185" t="s">
        <v>395</v>
      </c>
      <c r="BE27" s="185" t="s">
        <v>395</v>
      </c>
      <c r="BF27" s="671"/>
    </row>
    <row r="28" spans="1:58" ht="409.5" x14ac:dyDescent="0.25">
      <c r="A28" s="662" t="s">
        <v>49</v>
      </c>
      <c r="B28" s="663" t="s">
        <v>249</v>
      </c>
      <c r="C28" s="946"/>
      <c r="D28" s="946"/>
      <c r="E28" s="963"/>
      <c r="F28" s="664" t="s">
        <v>3432</v>
      </c>
      <c r="G28" s="972"/>
      <c r="H28" s="254" t="s">
        <v>3475</v>
      </c>
      <c r="I28" s="651" t="s">
        <v>3476</v>
      </c>
      <c r="J28" s="177">
        <v>0</v>
      </c>
      <c r="K28" s="177" t="s">
        <v>323</v>
      </c>
      <c r="L28" s="177">
        <v>4</v>
      </c>
      <c r="M28" s="666" t="s">
        <v>3477</v>
      </c>
      <c r="N28" s="666" t="s">
        <v>3478</v>
      </c>
      <c r="O28" s="185"/>
      <c r="P28" s="667">
        <v>12000</v>
      </c>
      <c r="Q28" s="185"/>
      <c r="R28" s="185"/>
      <c r="S28" s="185"/>
      <c r="T28" s="185"/>
      <c r="U28" s="185"/>
      <c r="V28" s="185"/>
      <c r="W28" s="185"/>
      <c r="X28" s="185"/>
      <c r="Y28" s="185"/>
      <c r="Z28" s="185"/>
      <c r="AA28" s="185"/>
      <c r="AB28" s="185"/>
      <c r="AC28" s="185"/>
      <c r="AD28" s="185"/>
      <c r="AE28" s="185"/>
      <c r="AF28" s="230" t="s">
        <v>3438</v>
      </c>
      <c r="AG28" s="185">
        <v>0</v>
      </c>
      <c r="AH28" s="185"/>
      <c r="AI28" s="677" t="s">
        <v>3479</v>
      </c>
      <c r="AJ28" s="185"/>
      <c r="AK28" s="185"/>
      <c r="AL28" s="677" t="s">
        <v>3479</v>
      </c>
      <c r="AM28" s="666" t="s">
        <v>3480</v>
      </c>
      <c r="AN28" s="666" t="s">
        <v>3395</v>
      </c>
      <c r="AO28" s="185"/>
      <c r="AP28" s="674" t="s">
        <v>3481</v>
      </c>
      <c r="AQ28" s="666"/>
      <c r="AR28" s="185"/>
      <c r="AS28" s="185"/>
      <c r="AT28" s="185"/>
      <c r="AU28" s="185" t="s">
        <v>395</v>
      </c>
      <c r="AV28" s="185" t="s">
        <v>395</v>
      </c>
      <c r="AW28" s="185" t="s">
        <v>395</v>
      </c>
      <c r="AX28" s="185" t="s">
        <v>395</v>
      </c>
      <c r="AY28" s="185" t="s">
        <v>395</v>
      </c>
      <c r="AZ28" s="185" t="s">
        <v>395</v>
      </c>
      <c r="BA28" s="185" t="s">
        <v>395</v>
      </c>
      <c r="BB28" s="185" t="s">
        <v>395</v>
      </c>
      <c r="BC28" s="185" t="s">
        <v>395</v>
      </c>
      <c r="BD28" s="185" t="s">
        <v>395</v>
      </c>
      <c r="BE28" s="185"/>
      <c r="BF28" s="671"/>
    </row>
    <row r="29" spans="1:58" ht="240" x14ac:dyDescent="0.25">
      <c r="A29" s="662" t="s">
        <v>49</v>
      </c>
      <c r="B29" s="663" t="s">
        <v>249</v>
      </c>
      <c r="C29" s="946"/>
      <c r="D29" s="946"/>
      <c r="E29" s="963"/>
      <c r="F29" s="664" t="s">
        <v>3432</v>
      </c>
      <c r="G29" s="972"/>
      <c r="H29" s="254" t="s">
        <v>3482</v>
      </c>
      <c r="I29" s="651" t="s">
        <v>3483</v>
      </c>
      <c r="J29" s="177">
        <v>0</v>
      </c>
      <c r="K29" s="177" t="s">
        <v>323</v>
      </c>
      <c r="L29" s="177">
        <v>4</v>
      </c>
      <c r="M29" s="666" t="s">
        <v>3484</v>
      </c>
      <c r="N29" s="666" t="s">
        <v>3485</v>
      </c>
      <c r="O29" s="185"/>
      <c r="P29" s="667">
        <v>3960</v>
      </c>
      <c r="Q29" s="185"/>
      <c r="R29" s="185"/>
      <c r="S29" s="185"/>
      <c r="T29" s="185"/>
      <c r="U29" s="185"/>
      <c r="V29" s="185"/>
      <c r="W29" s="185"/>
      <c r="X29" s="185"/>
      <c r="Y29" s="185"/>
      <c r="Z29" s="185"/>
      <c r="AA29" s="185"/>
      <c r="AB29" s="185"/>
      <c r="AC29" s="185"/>
      <c r="AD29" s="185"/>
      <c r="AE29" s="185"/>
      <c r="AF29" s="230" t="s">
        <v>3438</v>
      </c>
      <c r="AG29" s="185"/>
      <c r="AH29" s="185"/>
      <c r="AI29" s="683" t="s">
        <v>3486</v>
      </c>
      <c r="AJ29" s="185"/>
      <c r="AK29" s="185"/>
      <c r="AL29" s="666" t="s">
        <v>3487</v>
      </c>
      <c r="AM29" s="666" t="s">
        <v>3488</v>
      </c>
      <c r="AN29" s="666" t="s">
        <v>3395</v>
      </c>
      <c r="AO29" s="185"/>
      <c r="AP29" s="666" t="s">
        <v>3489</v>
      </c>
      <c r="AQ29" s="666"/>
      <c r="AR29" s="185"/>
      <c r="AS29" s="185"/>
      <c r="AT29" s="185"/>
      <c r="AU29" s="185" t="s">
        <v>395</v>
      </c>
      <c r="AV29" s="185" t="s">
        <v>395</v>
      </c>
      <c r="AW29" s="185" t="s">
        <v>395</v>
      </c>
      <c r="AX29" s="185" t="s">
        <v>395</v>
      </c>
      <c r="AY29" s="185" t="s">
        <v>395</v>
      </c>
      <c r="AZ29" s="185" t="s">
        <v>395</v>
      </c>
      <c r="BA29" s="185" t="s">
        <v>395</v>
      </c>
      <c r="BB29" s="185" t="s">
        <v>395</v>
      </c>
      <c r="BC29" s="185" t="s">
        <v>395</v>
      </c>
      <c r="BD29" s="185" t="s">
        <v>395</v>
      </c>
      <c r="BE29" s="185"/>
      <c r="BF29" s="671"/>
    </row>
    <row r="30" spans="1:58" ht="409.5" x14ac:dyDescent="0.25">
      <c r="A30" s="662" t="s">
        <v>49</v>
      </c>
      <c r="B30" s="663" t="s">
        <v>249</v>
      </c>
      <c r="C30" s="947"/>
      <c r="D30" s="947"/>
      <c r="E30" s="964"/>
      <c r="F30" s="664" t="s">
        <v>3432</v>
      </c>
      <c r="G30" s="972"/>
      <c r="H30" s="651" t="s">
        <v>3490</v>
      </c>
      <c r="I30" s="651" t="s">
        <v>3491</v>
      </c>
      <c r="J30" s="177">
        <v>0</v>
      </c>
      <c r="K30" s="177" t="s">
        <v>323</v>
      </c>
      <c r="L30" s="177">
        <v>42</v>
      </c>
      <c r="M30" s="643" t="s">
        <v>3492</v>
      </c>
      <c r="N30" s="643" t="s">
        <v>3493</v>
      </c>
      <c r="O30" s="185"/>
      <c r="P30" s="676">
        <v>6000</v>
      </c>
      <c r="Q30" s="185"/>
      <c r="R30" s="185"/>
      <c r="S30" s="185"/>
      <c r="T30" s="185"/>
      <c r="U30" s="185"/>
      <c r="V30" s="185"/>
      <c r="W30" s="185"/>
      <c r="X30" s="185"/>
      <c r="Y30" s="185"/>
      <c r="Z30" s="185"/>
      <c r="AA30" s="185"/>
      <c r="AB30" s="185"/>
      <c r="AC30" s="185"/>
      <c r="AD30" s="185"/>
      <c r="AE30" s="185"/>
      <c r="AF30" s="230" t="s">
        <v>3494</v>
      </c>
      <c r="AG30" s="185">
        <v>0</v>
      </c>
      <c r="AH30" s="185"/>
      <c r="AI30" s="677" t="s">
        <v>3495</v>
      </c>
      <c r="AJ30" s="185"/>
      <c r="AK30" s="185"/>
      <c r="AL30" s="677" t="s">
        <v>3495</v>
      </c>
      <c r="AM30" s="666" t="s">
        <v>3496</v>
      </c>
      <c r="AN30" s="185"/>
      <c r="AO30" s="185"/>
      <c r="AP30" s="643" t="s">
        <v>3497</v>
      </c>
      <c r="AQ30" s="643"/>
      <c r="AR30" s="185"/>
      <c r="AS30" s="185"/>
      <c r="AT30" s="185"/>
      <c r="AU30" s="185"/>
      <c r="AV30" s="185"/>
      <c r="AW30" s="185"/>
      <c r="AX30" s="185"/>
      <c r="AY30" s="185"/>
      <c r="AZ30" s="185"/>
      <c r="BA30" s="185" t="s">
        <v>395</v>
      </c>
      <c r="BB30" s="185" t="s">
        <v>395</v>
      </c>
      <c r="BC30" s="185" t="s">
        <v>395</v>
      </c>
      <c r="BD30" s="185" t="s">
        <v>395</v>
      </c>
      <c r="BE30" s="185"/>
      <c r="BF30" s="671"/>
    </row>
    <row r="31" spans="1:58" ht="360" x14ac:dyDescent="0.25">
      <c r="A31" s="662" t="s">
        <v>49</v>
      </c>
      <c r="B31" s="663" t="s">
        <v>249</v>
      </c>
      <c r="C31" s="945" t="s">
        <v>3498</v>
      </c>
      <c r="D31" s="945" t="s">
        <v>3499</v>
      </c>
      <c r="E31" s="945">
        <v>2100</v>
      </c>
      <c r="F31" s="684" t="s">
        <v>3500</v>
      </c>
      <c r="G31" s="972" t="s">
        <v>3501</v>
      </c>
      <c r="H31" s="651" t="s">
        <v>3502</v>
      </c>
      <c r="I31" s="651" t="s">
        <v>3503</v>
      </c>
      <c r="J31" s="643" t="s">
        <v>3504</v>
      </c>
      <c r="K31" s="643" t="s">
        <v>323</v>
      </c>
      <c r="L31" s="643">
        <v>1</v>
      </c>
      <c r="M31" s="674" t="s">
        <v>3505</v>
      </c>
      <c r="N31" s="230" t="s">
        <v>3506</v>
      </c>
      <c r="O31" s="245">
        <v>100000</v>
      </c>
      <c r="P31" s="245">
        <v>55000</v>
      </c>
      <c r="Q31" s="185"/>
      <c r="R31" s="185"/>
      <c r="S31" s="185"/>
      <c r="T31" s="185"/>
      <c r="U31" s="185"/>
      <c r="V31" s="185"/>
      <c r="W31" s="185"/>
      <c r="X31" s="185"/>
      <c r="Y31" s="185"/>
      <c r="Z31" s="185"/>
      <c r="AA31" s="185"/>
      <c r="AB31" s="185"/>
      <c r="AC31" s="185"/>
      <c r="AD31" s="185"/>
      <c r="AE31" s="245">
        <v>101750</v>
      </c>
      <c r="AF31" s="230" t="s">
        <v>3507</v>
      </c>
      <c r="AG31" s="185">
        <v>0</v>
      </c>
      <c r="AH31" s="185"/>
      <c r="AI31" s="674" t="s">
        <v>3508</v>
      </c>
      <c r="AJ31" s="185"/>
      <c r="AK31" s="185"/>
      <c r="AL31" s="674" t="s">
        <v>3508</v>
      </c>
      <c r="AM31" s="666" t="s">
        <v>3509</v>
      </c>
      <c r="AN31" s="666" t="s">
        <v>3510</v>
      </c>
      <c r="AO31" s="185"/>
      <c r="AP31" s="674" t="s">
        <v>3511</v>
      </c>
      <c r="AQ31" s="185"/>
      <c r="AR31" s="185"/>
      <c r="AS31" s="185"/>
      <c r="AT31" s="185" t="s">
        <v>395</v>
      </c>
      <c r="AU31" s="185" t="s">
        <v>395</v>
      </c>
      <c r="AV31" s="185" t="s">
        <v>395</v>
      </c>
      <c r="AW31" s="185" t="s">
        <v>395</v>
      </c>
      <c r="AX31" s="185" t="s">
        <v>395</v>
      </c>
      <c r="AY31" s="185" t="s">
        <v>395</v>
      </c>
      <c r="AZ31" s="185" t="s">
        <v>395</v>
      </c>
      <c r="BA31" s="185" t="s">
        <v>395</v>
      </c>
      <c r="BB31" s="185" t="s">
        <v>395</v>
      </c>
      <c r="BC31" s="185" t="s">
        <v>395</v>
      </c>
      <c r="BD31" s="185"/>
      <c r="BE31" s="185"/>
      <c r="BF31" s="671"/>
    </row>
    <row r="32" spans="1:58" ht="409.5" x14ac:dyDescent="0.25">
      <c r="A32" s="662" t="s">
        <v>49</v>
      </c>
      <c r="B32" s="663" t="s">
        <v>249</v>
      </c>
      <c r="C32" s="946"/>
      <c r="D32" s="946"/>
      <c r="E32" s="946"/>
      <c r="F32" s="684" t="s">
        <v>3500</v>
      </c>
      <c r="G32" s="972"/>
      <c r="H32" s="651" t="s">
        <v>3512</v>
      </c>
      <c r="I32" s="651" t="s">
        <v>3513</v>
      </c>
      <c r="J32" s="643">
        <v>0</v>
      </c>
      <c r="K32" s="643" t="s">
        <v>323</v>
      </c>
      <c r="L32" s="643">
        <v>4</v>
      </c>
      <c r="M32" s="666" t="s">
        <v>3514</v>
      </c>
      <c r="N32" s="666" t="s">
        <v>3515</v>
      </c>
      <c r="O32" s="185"/>
      <c r="P32" s="667">
        <v>9000</v>
      </c>
      <c r="Q32" s="667"/>
      <c r="R32" s="185"/>
      <c r="S32" s="185"/>
      <c r="T32" s="185"/>
      <c r="U32" s="185"/>
      <c r="V32" s="185"/>
      <c r="W32" s="185"/>
      <c r="X32" s="185"/>
      <c r="Y32" s="185"/>
      <c r="Z32" s="185"/>
      <c r="AA32" s="185"/>
      <c r="AB32" s="185"/>
      <c r="AC32" s="185"/>
      <c r="AD32" s="185"/>
      <c r="AE32" s="185"/>
      <c r="AF32" s="230" t="s">
        <v>3507</v>
      </c>
      <c r="AG32" s="666" t="s">
        <v>3516</v>
      </c>
      <c r="AH32" s="666"/>
      <c r="AI32" s="668" t="s">
        <v>3517</v>
      </c>
      <c r="AJ32" s="685"/>
      <c r="AK32" s="666"/>
      <c r="AL32" s="668" t="s">
        <v>3517</v>
      </c>
      <c r="AM32" s="666" t="s">
        <v>3518</v>
      </c>
      <c r="AN32" s="666" t="s">
        <v>3519</v>
      </c>
      <c r="AO32" s="185"/>
      <c r="AP32" s="230" t="s">
        <v>3520</v>
      </c>
      <c r="AQ32" s="185"/>
      <c r="AR32" s="686" t="s">
        <v>3521</v>
      </c>
      <c r="AS32" s="185" t="s">
        <v>395</v>
      </c>
      <c r="AT32" s="185" t="s">
        <v>395</v>
      </c>
      <c r="AU32" s="185" t="s">
        <v>395</v>
      </c>
      <c r="AV32" s="185" t="s">
        <v>395</v>
      </c>
      <c r="AW32" s="185" t="s">
        <v>395</v>
      </c>
      <c r="AX32" s="185" t="s">
        <v>395</v>
      </c>
      <c r="AY32" s="185" t="s">
        <v>395</v>
      </c>
      <c r="AZ32" s="185" t="s">
        <v>395</v>
      </c>
      <c r="BA32" s="185" t="s">
        <v>395</v>
      </c>
      <c r="BB32" s="185" t="s">
        <v>395</v>
      </c>
      <c r="BC32" s="185" t="s">
        <v>395</v>
      </c>
      <c r="BD32" s="185" t="s">
        <v>395</v>
      </c>
      <c r="BE32" s="185"/>
      <c r="BF32" s="671"/>
    </row>
    <row r="33" spans="1:58" ht="409.5" x14ac:dyDescent="0.25">
      <c r="A33" s="662" t="s">
        <v>49</v>
      </c>
      <c r="B33" s="663" t="s">
        <v>249</v>
      </c>
      <c r="C33" s="946"/>
      <c r="D33" s="946"/>
      <c r="E33" s="946"/>
      <c r="F33" s="684" t="s">
        <v>3500</v>
      </c>
      <c r="G33" s="972"/>
      <c r="H33" s="651" t="s">
        <v>3522</v>
      </c>
      <c r="I33" s="651" t="s">
        <v>3523</v>
      </c>
      <c r="J33" s="643" t="s">
        <v>3524</v>
      </c>
      <c r="K33" s="643" t="s">
        <v>323</v>
      </c>
      <c r="L33" s="640">
        <v>12000</v>
      </c>
      <c r="M33" s="643" t="s">
        <v>3525</v>
      </c>
      <c r="N33" s="666" t="s">
        <v>3526</v>
      </c>
      <c r="O33" s="185"/>
      <c r="P33" s="667">
        <v>27000</v>
      </c>
      <c r="Q33" s="185"/>
      <c r="R33" s="185"/>
      <c r="S33" s="185"/>
      <c r="T33" s="185"/>
      <c r="U33" s="185"/>
      <c r="V33" s="185"/>
      <c r="W33" s="185"/>
      <c r="X33" s="185"/>
      <c r="Y33" s="185"/>
      <c r="Z33" s="185"/>
      <c r="AA33" s="185"/>
      <c r="AB33" s="185"/>
      <c r="AC33" s="185"/>
      <c r="AD33" s="185"/>
      <c r="AE33" s="185"/>
      <c r="AF33" s="230" t="s">
        <v>3507</v>
      </c>
      <c r="AG33" s="185">
        <v>0</v>
      </c>
      <c r="AH33" s="185"/>
      <c r="AI33" s="668" t="s">
        <v>3527</v>
      </c>
      <c r="AJ33" s="185"/>
      <c r="AK33" s="185"/>
      <c r="AL33" s="668" t="s">
        <v>3527</v>
      </c>
      <c r="AM33" s="666" t="s">
        <v>3528</v>
      </c>
      <c r="AN33" s="666" t="s">
        <v>3395</v>
      </c>
      <c r="AO33" s="185"/>
      <c r="AP33" s="666" t="s">
        <v>3529</v>
      </c>
      <c r="AQ33" s="185"/>
      <c r="AR33" s="185"/>
      <c r="AS33" s="185"/>
      <c r="AT33" s="185"/>
      <c r="AU33" s="185"/>
      <c r="AV33" s="185"/>
      <c r="AW33" s="185"/>
      <c r="AX33" s="185"/>
      <c r="AY33" s="185"/>
      <c r="AZ33" s="185"/>
      <c r="BA33" s="185"/>
      <c r="BB33" s="185"/>
      <c r="BC33" s="185" t="s">
        <v>395</v>
      </c>
      <c r="BD33" s="185" t="s">
        <v>395</v>
      </c>
      <c r="BE33" s="185"/>
      <c r="BF33" s="671"/>
    </row>
    <row r="34" spans="1:58" ht="285" x14ac:dyDescent="0.25">
      <c r="A34" s="662" t="s">
        <v>49</v>
      </c>
      <c r="B34" s="663" t="s">
        <v>249</v>
      </c>
      <c r="C34" s="947"/>
      <c r="D34" s="947"/>
      <c r="E34" s="947"/>
      <c r="F34" s="684" t="s">
        <v>3500</v>
      </c>
      <c r="G34" s="972"/>
      <c r="H34" s="651" t="s">
        <v>3530</v>
      </c>
      <c r="I34" s="651" t="s">
        <v>3531</v>
      </c>
      <c r="J34" s="177">
        <v>0</v>
      </c>
      <c r="K34" s="177" t="s">
        <v>323</v>
      </c>
      <c r="L34" s="177">
        <v>1</v>
      </c>
      <c r="M34" s="643" t="s">
        <v>3532</v>
      </c>
      <c r="N34" s="643" t="s">
        <v>3533</v>
      </c>
      <c r="O34" s="185"/>
      <c r="P34" s="667">
        <v>10750</v>
      </c>
      <c r="Q34" s="185"/>
      <c r="R34" s="185"/>
      <c r="S34" s="185"/>
      <c r="T34" s="185"/>
      <c r="U34" s="185"/>
      <c r="V34" s="185"/>
      <c r="W34" s="185"/>
      <c r="X34" s="185"/>
      <c r="Y34" s="185"/>
      <c r="Z34" s="185"/>
      <c r="AA34" s="185"/>
      <c r="AB34" s="185"/>
      <c r="AC34" s="185"/>
      <c r="AD34" s="185"/>
      <c r="AE34" s="185"/>
      <c r="AF34" s="230" t="s">
        <v>3507</v>
      </c>
      <c r="AG34" s="185"/>
      <c r="AH34" s="185"/>
      <c r="AI34" s="685" t="s">
        <v>3534</v>
      </c>
      <c r="AJ34" s="185"/>
      <c r="AK34" s="185"/>
      <c r="AL34" s="685" t="s">
        <v>3534</v>
      </c>
      <c r="AM34" s="666" t="s">
        <v>3535</v>
      </c>
      <c r="AN34" s="666" t="s">
        <v>3395</v>
      </c>
      <c r="AO34" s="185"/>
      <c r="AP34" s="685" t="s">
        <v>3536</v>
      </c>
      <c r="AQ34" s="185"/>
      <c r="AR34" s="666"/>
      <c r="AS34" s="185"/>
      <c r="AT34" s="185"/>
      <c r="AU34" s="185"/>
      <c r="AV34" s="185"/>
      <c r="AW34" s="185"/>
      <c r="AX34" s="185"/>
      <c r="AY34" s="185"/>
      <c r="AZ34" s="185"/>
      <c r="BA34" s="185" t="s">
        <v>395</v>
      </c>
      <c r="BB34" s="185" t="s">
        <v>395</v>
      </c>
      <c r="BC34" s="185" t="s">
        <v>395</v>
      </c>
      <c r="BD34" s="185" t="s">
        <v>395</v>
      </c>
      <c r="BE34" s="185"/>
      <c r="BF34" s="671"/>
    </row>
    <row r="35" spans="1:58" ht="270" x14ac:dyDescent="0.25">
      <c r="A35" s="662" t="s">
        <v>49</v>
      </c>
      <c r="B35" s="663" t="s">
        <v>249</v>
      </c>
      <c r="C35" s="945" t="s">
        <v>3537</v>
      </c>
      <c r="D35" s="945" t="s">
        <v>3538</v>
      </c>
      <c r="E35" s="945">
        <v>0</v>
      </c>
      <c r="F35" s="687" t="s">
        <v>3539</v>
      </c>
      <c r="G35" s="948" t="s">
        <v>3540</v>
      </c>
      <c r="H35" s="252" t="s">
        <v>3541</v>
      </c>
      <c r="I35" s="651" t="s">
        <v>3542</v>
      </c>
      <c r="J35" s="643">
        <v>0</v>
      </c>
      <c r="K35" s="643" t="s">
        <v>323</v>
      </c>
      <c r="L35" s="643">
        <v>42</v>
      </c>
      <c r="M35" s="643" t="s">
        <v>3543</v>
      </c>
      <c r="N35" s="666" t="s">
        <v>3544</v>
      </c>
      <c r="O35" s="185"/>
      <c r="P35" s="667"/>
      <c r="Q35" s="185"/>
      <c r="R35" s="185"/>
      <c r="S35" s="185"/>
      <c r="T35" s="185"/>
      <c r="U35" s="185"/>
      <c r="V35" s="185"/>
      <c r="W35" s="185"/>
      <c r="X35" s="185"/>
      <c r="Y35" s="185"/>
      <c r="Z35" s="185"/>
      <c r="AA35" s="185"/>
      <c r="AB35" s="185"/>
      <c r="AC35" s="185"/>
      <c r="AD35" s="185"/>
      <c r="AE35" s="185"/>
      <c r="AF35" s="666" t="s">
        <v>3545</v>
      </c>
      <c r="AG35" s="666" t="s">
        <v>3546</v>
      </c>
      <c r="AH35" s="666"/>
      <c r="AI35" s="666"/>
      <c r="AJ35" s="666"/>
      <c r="AK35" s="666"/>
      <c r="AL35" s="666" t="s">
        <v>3547</v>
      </c>
      <c r="AM35" s="666" t="s">
        <v>3548</v>
      </c>
      <c r="AN35" s="185" t="s">
        <v>3549</v>
      </c>
      <c r="AO35" s="185"/>
      <c r="AP35" s="185"/>
      <c r="AQ35" s="185"/>
      <c r="AR35" s="674" t="s">
        <v>3550</v>
      </c>
      <c r="AS35" s="185"/>
      <c r="AT35" s="185"/>
      <c r="AU35" s="185"/>
      <c r="AV35" s="185"/>
      <c r="AW35" s="185" t="s">
        <v>395</v>
      </c>
      <c r="AX35" s="185" t="s">
        <v>395</v>
      </c>
      <c r="AY35" s="185" t="s">
        <v>395</v>
      </c>
      <c r="AZ35" s="185" t="s">
        <v>395</v>
      </c>
      <c r="BA35" s="185" t="s">
        <v>395</v>
      </c>
      <c r="BB35" s="185" t="s">
        <v>395</v>
      </c>
      <c r="BC35" s="185" t="s">
        <v>395</v>
      </c>
      <c r="BD35" s="185" t="s">
        <v>395</v>
      </c>
      <c r="BE35" s="185"/>
      <c r="BF35" s="671"/>
    </row>
    <row r="36" spans="1:58" ht="330" x14ac:dyDescent="0.25">
      <c r="A36" s="662" t="s">
        <v>49</v>
      </c>
      <c r="B36" s="252" t="s">
        <v>249</v>
      </c>
      <c r="C36" s="947"/>
      <c r="D36" s="947"/>
      <c r="E36" s="947"/>
      <c r="F36" s="684" t="s">
        <v>3539</v>
      </c>
      <c r="G36" s="950"/>
      <c r="H36" s="252" t="s">
        <v>3551</v>
      </c>
      <c r="I36" s="651" t="s">
        <v>3552</v>
      </c>
      <c r="J36" s="177">
        <v>0</v>
      </c>
      <c r="K36" s="177" t="s">
        <v>323</v>
      </c>
      <c r="L36" s="177">
        <v>4</v>
      </c>
      <c r="M36" s="643" t="s">
        <v>3553</v>
      </c>
      <c r="N36" s="643" t="s">
        <v>3554</v>
      </c>
      <c r="O36" s="185"/>
      <c r="P36" s="667">
        <v>11354916</v>
      </c>
      <c r="Q36" s="185"/>
      <c r="R36" s="185"/>
      <c r="S36" s="185"/>
      <c r="T36" s="185"/>
      <c r="U36" s="185"/>
      <c r="V36" s="185"/>
      <c r="W36" s="185"/>
      <c r="X36" s="185"/>
      <c r="Y36" s="185"/>
      <c r="Z36" s="185"/>
      <c r="AA36" s="185"/>
      <c r="AB36" s="185"/>
      <c r="AC36" s="185"/>
      <c r="AD36" s="185"/>
      <c r="AE36" s="185"/>
      <c r="AF36" s="230" t="s">
        <v>3507</v>
      </c>
      <c r="AG36" s="666" t="s">
        <v>3555</v>
      </c>
      <c r="AH36" s="666"/>
      <c r="AI36" s="666"/>
      <c r="AJ36" s="666"/>
      <c r="AK36" s="666"/>
      <c r="AL36" s="666" t="s">
        <v>3556</v>
      </c>
      <c r="AM36" s="666" t="s">
        <v>3557</v>
      </c>
      <c r="AN36" s="185" t="s">
        <v>3549</v>
      </c>
      <c r="AO36" s="185"/>
      <c r="AP36" s="185"/>
      <c r="AQ36" s="185"/>
      <c r="AR36" s="666" t="s">
        <v>3558</v>
      </c>
      <c r="AS36" s="185"/>
      <c r="AT36" s="185"/>
      <c r="AU36" s="185"/>
      <c r="AV36" s="185"/>
      <c r="AW36" s="185" t="s">
        <v>395</v>
      </c>
      <c r="AX36" s="185" t="s">
        <v>395</v>
      </c>
      <c r="AY36" s="185" t="s">
        <v>395</v>
      </c>
      <c r="AZ36" s="185" t="s">
        <v>395</v>
      </c>
      <c r="BA36" s="185" t="s">
        <v>395</v>
      </c>
      <c r="BB36" s="185" t="s">
        <v>395</v>
      </c>
      <c r="BC36" s="185" t="s">
        <v>395</v>
      </c>
      <c r="BD36" s="185" t="s">
        <v>395</v>
      </c>
      <c r="BE36" s="185"/>
      <c r="BF36" s="671"/>
    </row>
    <row r="37" spans="1:58" ht="409.5" x14ac:dyDescent="0.25">
      <c r="A37" s="688" t="s">
        <v>49</v>
      </c>
      <c r="B37" s="645" t="s">
        <v>249</v>
      </c>
      <c r="C37" s="643" t="s">
        <v>3559</v>
      </c>
      <c r="D37" s="643" t="s">
        <v>3560</v>
      </c>
      <c r="E37" s="643" t="s">
        <v>3561</v>
      </c>
      <c r="F37" s="646" t="s">
        <v>3562</v>
      </c>
      <c r="G37" s="973" t="s">
        <v>3563</v>
      </c>
      <c r="H37" s="643" t="s">
        <v>3564</v>
      </c>
      <c r="I37" s="643" t="s">
        <v>3565</v>
      </c>
      <c r="J37" s="643">
        <v>0</v>
      </c>
      <c r="K37" s="643" t="s">
        <v>323</v>
      </c>
      <c r="L37" s="643">
        <v>4</v>
      </c>
      <c r="M37" s="643" t="s">
        <v>3566</v>
      </c>
      <c r="N37" s="643" t="s">
        <v>3565</v>
      </c>
      <c r="O37" s="643" t="s">
        <v>3567</v>
      </c>
      <c r="P37" s="679">
        <v>2754</v>
      </c>
      <c r="Q37" s="689">
        <v>3920</v>
      </c>
      <c r="R37" s="643">
        <v>0</v>
      </c>
      <c r="S37" s="643">
        <v>0</v>
      </c>
      <c r="T37" s="643">
        <v>0</v>
      </c>
      <c r="U37" s="643">
        <v>0</v>
      </c>
      <c r="V37" s="643">
        <v>0</v>
      </c>
      <c r="W37" s="643">
        <v>0</v>
      </c>
      <c r="X37" s="643">
        <v>0</v>
      </c>
      <c r="Y37" s="643">
        <v>0</v>
      </c>
      <c r="Z37" s="643">
        <v>0</v>
      </c>
      <c r="AA37" s="643">
        <v>0</v>
      </c>
      <c r="AB37" s="643">
        <v>0</v>
      </c>
      <c r="AC37" s="643">
        <v>0</v>
      </c>
      <c r="AD37" s="643">
        <v>0</v>
      </c>
      <c r="AE37" s="689">
        <v>3920</v>
      </c>
      <c r="AF37" s="690" t="s">
        <v>3568</v>
      </c>
      <c r="AG37" s="643">
        <v>42</v>
      </c>
      <c r="AH37" s="643">
        <v>7</v>
      </c>
      <c r="AI37" s="643">
        <v>42</v>
      </c>
      <c r="AJ37" s="689">
        <v>42</v>
      </c>
      <c r="AK37" s="689"/>
      <c r="AL37" s="643">
        <v>42</v>
      </c>
      <c r="AM37" s="643">
        <v>7</v>
      </c>
      <c r="AN37" s="643" t="s">
        <v>3569</v>
      </c>
      <c r="AO37" s="643"/>
      <c r="AP37" s="643" t="s">
        <v>3570</v>
      </c>
      <c r="AQ37" s="643"/>
      <c r="AR37" s="643"/>
      <c r="AS37" s="643"/>
      <c r="AT37" s="643" t="s">
        <v>395</v>
      </c>
      <c r="AU37" s="643" t="s">
        <v>751</v>
      </c>
      <c r="AV37" s="643" t="s">
        <v>751</v>
      </c>
      <c r="AW37" s="643" t="s">
        <v>751</v>
      </c>
      <c r="AX37" s="643" t="s">
        <v>395</v>
      </c>
      <c r="AY37" s="643"/>
      <c r="AZ37" s="691"/>
      <c r="BA37" s="691"/>
      <c r="BB37" s="691"/>
      <c r="BC37" s="691" t="s">
        <v>395</v>
      </c>
      <c r="BD37" s="691"/>
      <c r="BE37" s="643" t="s">
        <v>3571</v>
      </c>
      <c r="BF37" s="692" t="s">
        <v>3572</v>
      </c>
    </row>
    <row r="38" spans="1:58" ht="409.5" x14ac:dyDescent="0.25">
      <c r="A38" s="688" t="s">
        <v>49</v>
      </c>
      <c r="B38" s="645" t="s">
        <v>249</v>
      </c>
      <c r="C38" s="643" t="s">
        <v>3559</v>
      </c>
      <c r="D38" s="643" t="s">
        <v>3560</v>
      </c>
      <c r="E38" s="643" t="s">
        <v>3573</v>
      </c>
      <c r="F38" s="646" t="s">
        <v>3562</v>
      </c>
      <c r="G38" s="973"/>
      <c r="H38" s="643" t="s">
        <v>3574</v>
      </c>
      <c r="I38" s="643" t="s">
        <v>3575</v>
      </c>
      <c r="J38" s="643">
        <v>0</v>
      </c>
      <c r="K38" s="643" t="s">
        <v>323</v>
      </c>
      <c r="L38" s="643">
        <v>1</v>
      </c>
      <c r="M38" s="643" t="s">
        <v>3576</v>
      </c>
      <c r="N38" s="643" t="s">
        <v>3577</v>
      </c>
      <c r="O38" s="643" t="s">
        <v>327</v>
      </c>
      <c r="P38" s="679">
        <v>39000</v>
      </c>
      <c r="Q38" s="640">
        <v>22449</v>
      </c>
      <c r="R38" s="643">
        <v>0</v>
      </c>
      <c r="S38" s="643">
        <v>0</v>
      </c>
      <c r="T38" s="643">
        <v>0</v>
      </c>
      <c r="U38" s="643">
        <v>0</v>
      </c>
      <c r="V38" s="643">
        <v>0</v>
      </c>
      <c r="W38" s="643">
        <v>0</v>
      </c>
      <c r="X38" s="643">
        <v>0</v>
      </c>
      <c r="Y38" s="643">
        <v>0</v>
      </c>
      <c r="Z38" s="643">
        <v>0</v>
      </c>
      <c r="AA38" s="643">
        <v>0</v>
      </c>
      <c r="AB38" s="643">
        <v>0</v>
      </c>
      <c r="AC38" s="643">
        <v>0</v>
      </c>
      <c r="AD38" s="643">
        <v>0</v>
      </c>
      <c r="AE38" s="640">
        <v>22449</v>
      </c>
      <c r="AF38" s="690" t="s">
        <v>3568</v>
      </c>
      <c r="AG38" s="643">
        <v>42</v>
      </c>
      <c r="AH38" s="643">
        <v>7</v>
      </c>
      <c r="AI38" s="643">
        <v>42</v>
      </c>
      <c r="AJ38" s="640">
        <v>42</v>
      </c>
      <c r="AK38" s="640">
        <v>42</v>
      </c>
      <c r="AL38" s="643">
        <v>42</v>
      </c>
      <c r="AM38" s="643">
        <v>7</v>
      </c>
      <c r="AN38" s="643" t="s">
        <v>3569</v>
      </c>
      <c r="AO38" s="643"/>
      <c r="AP38" s="643" t="s">
        <v>3578</v>
      </c>
      <c r="AQ38" s="643"/>
      <c r="AR38" s="643"/>
      <c r="AS38" s="643"/>
      <c r="AT38" s="643" t="s">
        <v>395</v>
      </c>
      <c r="AU38" s="643" t="s">
        <v>395</v>
      </c>
      <c r="AV38" s="643" t="s">
        <v>395</v>
      </c>
      <c r="AW38" s="643" t="s">
        <v>395</v>
      </c>
      <c r="AX38" s="643" t="s">
        <v>395</v>
      </c>
      <c r="AY38" s="643" t="s">
        <v>395</v>
      </c>
      <c r="AZ38" s="691" t="s">
        <v>395</v>
      </c>
      <c r="BA38" s="691" t="s">
        <v>395</v>
      </c>
      <c r="BB38" s="691" t="s">
        <v>395</v>
      </c>
      <c r="BC38" s="691" t="s">
        <v>395</v>
      </c>
      <c r="BD38" s="691"/>
      <c r="BE38" s="643" t="s">
        <v>3571</v>
      </c>
      <c r="BF38" s="692" t="s">
        <v>3572</v>
      </c>
    </row>
    <row r="39" spans="1:58" ht="409.5" x14ac:dyDescent="0.25">
      <c r="A39" s="688" t="s">
        <v>49</v>
      </c>
      <c r="B39" s="645" t="s">
        <v>249</v>
      </c>
      <c r="C39" s="643" t="s">
        <v>3559</v>
      </c>
      <c r="D39" s="643" t="s">
        <v>3560</v>
      </c>
      <c r="E39" s="643" t="s">
        <v>3579</v>
      </c>
      <c r="F39" s="646" t="s">
        <v>3562</v>
      </c>
      <c r="G39" s="973"/>
      <c r="H39" s="643" t="s">
        <v>3580</v>
      </c>
      <c r="I39" s="643" t="s">
        <v>3581</v>
      </c>
      <c r="J39" s="643" t="s">
        <v>3582</v>
      </c>
      <c r="K39" s="643" t="s">
        <v>323</v>
      </c>
      <c r="L39" s="228">
        <v>0.6</v>
      </c>
      <c r="M39" s="643" t="s">
        <v>3583</v>
      </c>
      <c r="N39" s="643" t="s">
        <v>3581</v>
      </c>
      <c r="O39" s="228">
        <v>0.16</v>
      </c>
      <c r="P39" s="679">
        <v>56673</v>
      </c>
      <c r="Q39" s="640">
        <v>42950</v>
      </c>
      <c r="R39" s="643">
        <v>0</v>
      </c>
      <c r="S39" s="643">
        <v>0</v>
      </c>
      <c r="T39" s="643">
        <v>0</v>
      </c>
      <c r="U39" s="643">
        <v>0</v>
      </c>
      <c r="V39" s="643">
        <v>0</v>
      </c>
      <c r="W39" s="643">
        <v>0</v>
      </c>
      <c r="X39" s="643">
        <v>0</v>
      </c>
      <c r="Y39" s="643">
        <v>0</v>
      </c>
      <c r="Z39" s="643">
        <v>0</v>
      </c>
      <c r="AA39" s="643">
        <v>0</v>
      </c>
      <c r="AB39" s="643">
        <v>0</v>
      </c>
      <c r="AC39" s="643">
        <v>0</v>
      </c>
      <c r="AD39" s="643">
        <v>0</v>
      </c>
      <c r="AE39" s="640">
        <v>42950</v>
      </c>
      <c r="AF39" s="690" t="s">
        <v>3568</v>
      </c>
      <c r="AG39" s="643">
        <v>10</v>
      </c>
      <c r="AH39" s="643">
        <v>4</v>
      </c>
      <c r="AI39" s="643">
        <v>10</v>
      </c>
      <c r="AJ39" s="640">
        <v>10</v>
      </c>
      <c r="AK39" s="640">
        <v>12</v>
      </c>
      <c r="AL39" s="643">
        <v>10</v>
      </c>
      <c r="AM39" s="643">
        <v>4</v>
      </c>
      <c r="AN39" s="643" t="s">
        <v>3584</v>
      </c>
      <c r="AO39" s="643"/>
      <c r="AP39" s="690" t="s">
        <v>3585</v>
      </c>
      <c r="AQ39" s="643"/>
      <c r="AR39" s="643"/>
      <c r="AS39" s="643"/>
      <c r="AT39" s="643" t="s">
        <v>395</v>
      </c>
      <c r="AU39" s="643" t="s">
        <v>395</v>
      </c>
      <c r="AV39" s="643" t="s">
        <v>395</v>
      </c>
      <c r="AW39" s="643" t="s">
        <v>395</v>
      </c>
      <c r="AX39" s="643" t="s">
        <v>395</v>
      </c>
      <c r="AY39" s="643" t="s">
        <v>395</v>
      </c>
      <c r="AZ39" s="691" t="s">
        <v>395</v>
      </c>
      <c r="BA39" s="691" t="s">
        <v>395</v>
      </c>
      <c r="BB39" s="691" t="s">
        <v>395</v>
      </c>
      <c r="BC39" s="691" t="s">
        <v>395</v>
      </c>
      <c r="BD39" s="691" t="s">
        <v>395</v>
      </c>
      <c r="BE39" s="643" t="s">
        <v>3571</v>
      </c>
      <c r="BF39" s="692" t="s">
        <v>3586</v>
      </c>
    </row>
    <row r="40" spans="1:58" ht="409.5" x14ac:dyDescent="0.25">
      <c r="A40" s="688" t="s">
        <v>49</v>
      </c>
      <c r="B40" s="645" t="s">
        <v>249</v>
      </c>
      <c r="C40" s="643" t="s">
        <v>3559</v>
      </c>
      <c r="D40" s="643" t="s">
        <v>3560</v>
      </c>
      <c r="E40" s="643" t="s">
        <v>3587</v>
      </c>
      <c r="F40" s="646" t="s">
        <v>3562</v>
      </c>
      <c r="G40" s="973"/>
      <c r="H40" s="643" t="s">
        <v>3588</v>
      </c>
      <c r="I40" s="643" t="s">
        <v>3589</v>
      </c>
      <c r="J40" s="643">
        <v>0</v>
      </c>
      <c r="K40" s="643" t="s">
        <v>323</v>
      </c>
      <c r="L40" s="643">
        <v>1</v>
      </c>
      <c r="M40" s="643" t="s">
        <v>3590</v>
      </c>
      <c r="N40" s="643" t="s">
        <v>3589</v>
      </c>
      <c r="O40" s="643">
        <v>0</v>
      </c>
      <c r="P40" s="679">
        <v>0</v>
      </c>
      <c r="Q40" s="214">
        <v>10400</v>
      </c>
      <c r="R40" s="643">
        <v>0</v>
      </c>
      <c r="S40" s="643">
        <v>0</v>
      </c>
      <c r="T40" s="643">
        <v>0</v>
      </c>
      <c r="U40" s="643">
        <v>0</v>
      </c>
      <c r="V40" s="643">
        <v>0</v>
      </c>
      <c r="W40" s="643">
        <v>0</v>
      </c>
      <c r="X40" s="643">
        <v>0</v>
      </c>
      <c r="Y40" s="643">
        <v>0</v>
      </c>
      <c r="Z40" s="643">
        <v>0</v>
      </c>
      <c r="AA40" s="643">
        <v>0</v>
      </c>
      <c r="AB40" s="643">
        <v>0</v>
      </c>
      <c r="AC40" s="643">
        <v>0</v>
      </c>
      <c r="AD40" s="643">
        <v>0</v>
      </c>
      <c r="AE40" s="640">
        <v>10400</v>
      </c>
      <c r="AF40" s="690" t="s">
        <v>3568</v>
      </c>
      <c r="AG40" s="643">
        <v>42</v>
      </c>
      <c r="AH40" s="643">
        <v>7</v>
      </c>
      <c r="AI40" s="643">
        <v>42</v>
      </c>
      <c r="AJ40" s="640">
        <v>42</v>
      </c>
      <c r="AK40" s="640">
        <v>42</v>
      </c>
      <c r="AL40" s="643">
        <v>42</v>
      </c>
      <c r="AM40" s="643">
        <v>7</v>
      </c>
      <c r="AN40" s="643" t="s">
        <v>3569</v>
      </c>
      <c r="AO40" s="643"/>
      <c r="AP40" s="690" t="s">
        <v>3591</v>
      </c>
      <c r="AQ40" s="643"/>
      <c r="AR40" s="643"/>
      <c r="AS40" s="643"/>
      <c r="AT40" s="643"/>
      <c r="AU40" s="643" t="s">
        <v>395</v>
      </c>
      <c r="AV40" s="643" t="s">
        <v>395</v>
      </c>
      <c r="AW40" s="643" t="s">
        <v>395</v>
      </c>
      <c r="AX40" s="643" t="s">
        <v>395</v>
      </c>
      <c r="AY40" s="643" t="s">
        <v>395</v>
      </c>
      <c r="AZ40" s="691" t="s">
        <v>395</v>
      </c>
      <c r="BA40" s="691"/>
      <c r="BB40" s="691"/>
      <c r="BC40" s="691"/>
      <c r="BD40" s="691"/>
      <c r="BE40" s="643" t="s">
        <v>3571</v>
      </c>
      <c r="BF40" s="692" t="s">
        <v>3592</v>
      </c>
    </row>
    <row r="41" spans="1:58" ht="409.5" x14ac:dyDescent="0.25">
      <c r="A41" s="688" t="s">
        <v>49</v>
      </c>
      <c r="B41" s="645" t="s">
        <v>249</v>
      </c>
      <c r="C41" s="643" t="s">
        <v>3559</v>
      </c>
      <c r="D41" s="643" t="s">
        <v>3560</v>
      </c>
      <c r="E41" s="643" t="s">
        <v>3593</v>
      </c>
      <c r="F41" s="646" t="s">
        <v>3594</v>
      </c>
      <c r="G41" s="974" t="s">
        <v>3595</v>
      </c>
      <c r="H41" s="645" t="s">
        <v>3596</v>
      </c>
      <c r="I41" s="645" t="s">
        <v>3597</v>
      </c>
      <c r="J41" s="645">
        <v>2</v>
      </c>
      <c r="K41" s="645" t="s">
        <v>323</v>
      </c>
      <c r="L41" s="645">
        <v>40</v>
      </c>
      <c r="M41" s="643" t="s">
        <v>3598</v>
      </c>
      <c r="N41" s="643" t="s">
        <v>3597</v>
      </c>
      <c r="O41" s="643">
        <v>0</v>
      </c>
      <c r="P41" s="679">
        <v>51296</v>
      </c>
      <c r="Q41" s="689">
        <v>71296</v>
      </c>
      <c r="R41" s="643">
        <v>0</v>
      </c>
      <c r="S41" s="643">
        <v>0</v>
      </c>
      <c r="T41" s="643">
        <v>0</v>
      </c>
      <c r="U41" s="643">
        <v>0</v>
      </c>
      <c r="V41" s="643">
        <v>0</v>
      </c>
      <c r="W41" s="643">
        <v>0</v>
      </c>
      <c r="X41" s="643">
        <v>0</v>
      </c>
      <c r="Y41" s="643">
        <v>0</v>
      </c>
      <c r="Z41" s="643">
        <v>0</v>
      </c>
      <c r="AA41" s="643">
        <v>0</v>
      </c>
      <c r="AB41" s="643">
        <v>0</v>
      </c>
      <c r="AC41" s="643">
        <v>0</v>
      </c>
      <c r="AD41" s="643">
        <v>0</v>
      </c>
      <c r="AE41" s="689">
        <v>71296</v>
      </c>
      <c r="AF41" s="690" t="s">
        <v>3599</v>
      </c>
      <c r="AG41" s="643">
        <v>20</v>
      </c>
      <c r="AH41" s="643">
        <v>0</v>
      </c>
      <c r="AI41" s="643">
        <v>20</v>
      </c>
      <c r="AJ41" s="693">
        <v>12</v>
      </c>
      <c r="AK41" s="693">
        <v>10</v>
      </c>
      <c r="AL41" s="643">
        <v>20</v>
      </c>
      <c r="AM41" s="643">
        <v>3</v>
      </c>
      <c r="AN41" s="643" t="s">
        <v>3600</v>
      </c>
      <c r="AO41" s="643"/>
      <c r="AP41" s="690" t="s">
        <v>3601</v>
      </c>
      <c r="AQ41" s="643"/>
      <c r="AR41" s="643"/>
      <c r="AS41" s="643"/>
      <c r="AT41" s="643" t="s">
        <v>751</v>
      </c>
      <c r="AU41" s="643" t="s">
        <v>751</v>
      </c>
      <c r="AV41" s="643" t="s">
        <v>751</v>
      </c>
      <c r="AW41" s="643" t="s">
        <v>751</v>
      </c>
      <c r="AX41" s="643" t="s">
        <v>751</v>
      </c>
      <c r="AY41" s="643"/>
      <c r="AZ41" s="691"/>
      <c r="BA41" s="691"/>
      <c r="BB41" s="691"/>
      <c r="BC41" s="691"/>
      <c r="BD41" s="691"/>
      <c r="BE41" s="643" t="s">
        <v>3602</v>
      </c>
      <c r="BF41" s="692" t="s">
        <v>3603</v>
      </c>
    </row>
    <row r="42" spans="1:58" ht="390" x14ac:dyDescent="0.25">
      <c r="A42" s="688" t="s">
        <v>49</v>
      </c>
      <c r="B42" s="645" t="s">
        <v>249</v>
      </c>
      <c r="C42" s="643" t="s">
        <v>3559</v>
      </c>
      <c r="D42" s="643" t="s">
        <v>3560</v>
      </c>
      <c r="E42" s="643" t="s">
        <v>3604</v>
      </c>
      <c r="F42" s="646" t="s">
        <v>3594</v>
      </c>
      <c r="G42" s="975"/>
      <c r="H42" s="643" t="s">
        <v>3605</v>
      </c>
      <c r="I42" s="643" t="s">
        <v>3606</v>
      </c>
      <c r="J42" s="643">
        <v>0</v>
      </c>
      <c r="K42" s="643" t="s">
        <v>323</v>
      </c>
      <c r="L42" s="228">
        <v>0.1</v>
      </c>
      <c r="M42" s="643" t="s">
        <v>3607</v>
      </c>
      <c r="N42" s="643" t="s">
        <v>3606</v>
      </c>
      <c r="O42" s="694">
        <v>3.0000000000000001E-3</v>
      </c>
      <c r="P42" s="679">
        <v>40000</v>
      </c>
      <c r="Q42" s="689">
        <v>65450</v>
      </c>
      <c r="R42" s="643">
        <v>0</v>
      </c>
      <c r="S42" s="643">
        <v>0</v>
      </c>
      <c r="T42" s="643">
        <v>0</v>
      </c>
      <c r="U42" s="643">
        <v>0</v>
      </c>
      <c r="V42" s="643">
        <v>0</v>
      </c>
      <c r="W42" s="643">
        <v>0</v>
      </c>
      <c r="X42" s="643">
        <v>0</v>
      </c>
      <c r="Y42" s="643">
        <v>0</v>
      </c>
      <c r="Z42" s="643">
        <v>0</v>
      </c>
      <c r="AA42" s="643">
        <v>0</v>
      </c>
      <c r="AB42" s="640">
        <v>40000</v>
      </c>
      <c r="AC42" s="643">
        <v>0</v>
      </c>
      <c r="AD42" s="643">
        <v>0</v>
      </c>
      <c r="AE42" s="689">
        <v>65450</v>
      </c>
      <c r="AF42" s="643" t="s">
        <v>3608</v>
      </c>
      <c r="AG42" s="643">
        <v>22</v>
      </c>
      <c r="AH42" s="643">
        <v>1</v>
      </c>
      <c r="AI42" s="643">
        <v>21</v>
      </c>
      <c r="AJ42" s="695">
        <v>10</v>
      </c>
      <c r="AK42" s="695">
        <v>10</v>
      </c>
      <c r="AL42" s="643">
        <v>22</v>
      </c>
      <c r="AM42" s="643">
        <v>7</v>
      </c>
      <c r="AN42" s="643" t="s">
        <v>3609</v>
      </c>
      <c r="AO42" s="643"/>
      <c r="AP42" s="690" t="s">
        <v>3610</v>
      </c>
      <c r="AQ42" s="643"/>
      <c r="AR42" s="643"/>
      <c r="AS42" s="643"/>
      <c r="AT42" s="643"/>
      <c r="AU42" s="643"/>
      <c r="AV42" s="643"/>
      <c r="AW42" s="643" t="s">
        <v>751</v>
      </c>
      <c r="AX42" s="643" t="s">
        <v>751</v>
      </c>
      <c r="AY42" s="643" t="s">
        <v>751</v>
      </c>
      <c r="AZ42" s="691" t="s">
        <v>751</v>
      </c>
      <c r="BA42" s="691"/>
      <c r="BB42" s="691"/>
      <c r="BC42" s="691"/>
      <c r="BD42" s="691"/>
      <c r="BE42" s="643" t="s">
        <v>3602</v>
      </c>
      <c r="BF42" s="692" t="s">
        <v>3611</v>
      </c>
    </row>
    <row r="43" spans="1:58" ht="409.5" x14ac:dyDescent="0.25">
      <c r="A43" s="688" t="s">
        <v>49</v>
      </c>
      <c r="B43" s="645" t="s">
        <v>249</v>
      </c>
      <c r="C43" s="643" t="s">
        <v>3559</v>
      </c>
      <c r="D43" s="643" t="s">
        <v>3560</v>
      </c>
      <c r="E43" s="643" t="s">
        <v>3612</v>
      </c>
      <c r="F43" s="646" t="s">
        <v>3594</v>
      </c>
      <c r="G43" s="975"/>
      <c r="H43" s="643" t="s">
        <v>3613</v>
      </c>
      <c r="I43" s="643" t="s">
        <v>3614</v>
      </c>
      <c r="J43" s="643">
        <v>0</v>
      </c>
      <c r="K43" s="643" t="s">
        <v>323</v>
      </c>
      <c r="L43" s="228">
        <v>0.1</v>
      </c>
      <c r="M43" s="643" t="s">
        <v>3615</v>
      </c>
      <c r="N43" s="643" t="s">
        <v>3614</v>
      </c>
      <c r="O43" s="177">
        <v>0</v>
      </c>
      <c r="P43" s="696">
        <v>0</v>
      </c>
      <c r="Q43" s="689">
        <v>0</v>
      </c>
      <c r="R43" s="643">
        <v>0</v>
      </c>
      <c r="S43" s="643">
        <v>0</v>
      </c>
      <c r="T43" s="643">
        <v>0</v>
      </c>
      <c r="U43" s="643">
        <v>0</v>
      </c>
      <c r="V43" s="643">
        <v>0</v>
      </c>
      <c r="W43" s="643">
        <v>0</v>
      </c>
      <c r="X43" s="643">
        <v>0</v>
      </c>
      <c r="Y43" s="643">
        <v>0</v>
      </c>
      <c r="Z43" s="643">
        <v>0</v>
      </c>
      <c r="AA43" s="643">
        <v>0</v>
      </c>
      <c r="AB43" s="643">
        <v>0</v>
      </c>
      <c r="AC43" s="643">
        <v>0</v>
      </c>
      <c r="AD43" s="643">
        <v>0</v>
      </c>
      <c r="AE43" s="689">
        <v>0</v>
      </c>
      <c r="AF43" s="643" t="s">
        <v>3608</v>
      </c>
      <c r="AG43" s="643">
        <v>0</v>
      </c>
      <c r="AH43" s="643">
        <v>0</v>
      </c>
      <c r="AI43" s="643">
        <v>0</v>
      </c>
      <c r="AJ43" s="177">
        <v>5</v>
      </c>
      <c r="AK43" s="177">
        <v>5</v>
      </c>
      <c r="AL43" s="643">
        <v>0</v>
      </c>
      <c r="AM43" s="643">
        <v>0</v>
      </c>
      <c r="AN43" s="643" t="s">
        <v>3616</v>
      </c>
      <c r="AO43" s="643"/>
      <c r="AP43" s="690" t="s">
        <v>3617</v>
      </c>
      <c r="AQ43" s="643"/>
      <c r="AR43" s="643"/>
      <c r="AS43" s="643"/>
      <c r="AT43" s="643"/>
      <c r="AU43" s="643" t="s">
        <v>751</v>
      </c>
      <c r="AV43" s="643" t="s">
        <v>751</v>
      </c>
      <c r="AW43" s="643" t="s">
        <v>751</v>
      </c>
      <c r="AX43" s="643"/>
      <c r="AY43" s="643"/>
      <c r="AZ43" s="691"/>
      <c r="BA43" s="691"/>
      <c r="BB43" s="691"/>
      <c r="BC43" s="691"/>
      <c r="BD43" s="691"/>
      <c r="BE43" s="643" t="s">
        <v>3602</v>
      </c>
      <c r="BF43" s="692" t="s">
        <v>3618</v>
      </c>
    </row>
    <row r="44" spans="1:58" ht="409.5" x14ac:dyDescent="0.25">
      <c r="A44" s="688" t="s">
        <v>49</v>
      </c>
      <c r="B44" s="645" t="s">
        <v>249</v>
      </c>
      <c r="C44" s="643" t="s">
        <v>3559</v>
      </c>
      <c r="D44" s="643" t="s">
        <v>3560</v>
      </c>
      <c r="E44" s="643" t="s">
        <v>3619</v>
      </c>
      <c r="F44" s="646" t="s">
        <v>3594</v>
      </c>
      <c r="G44" s="975"/>
      <c r="H44" s="643" t="s">
        <v>3620</v>
      </c>
      <c r="I44" s="643" t="s">
        <v>3621</v>
      </c>
      <c r="J44" s="643" t="s">
        <v>3622</v>
      </c>
      <c r="K44" s="643" t="s">
        <v>323</v>
      </c>
      <c r="L44" s="643">
        <v>200</v>
      </c>
      <c r="M44" s="643" t="s">
        <v>3623</v>
      </c>
      <c r="N44" s="643" t="s">
        <v>3621</v>
      </c>
      <c r="O44" s="643">
        <v>0</v>
      </c>
      <c r="P44" s="679">
        <v>8808</v>
      </c>
      <c r="Q44" s="689">
        <v>16808</v>
      </c>
      <c r="R44" s="643">
        <v>0</v>
      </c>
      <c r="S44" s="643">
        <v>0</v>
      </c>
      <c r="T44" s="643">
        <v>0</v>
      </c>
      <c r="U44" s="643">
        <v>0</v>
      </c>
      <c r="V44" s="643">
        <v>0</v>
      </c>
      <c r="W44" s="643">
        <v>0</v>
      </c>
      <c r="X44" s="643">
        <v>0</v>
      </c>
      <c r="Y44" s="643">
        <v>0</v>
      </c>
      <c r="Z44" s="643">
        <v>0</v>
      </c>
      <c r="AA44" s="643">
        <v>0</v>
      </c>
      <c r="AB44" s="643">
        <v>0</v>
      </c>
      <c r="AC44" s="643">
        <v>0</v>
      </c>
      <c r="AD44" s="643">
        <v>0</v>
      </c>
      <c r="AE44" s="689">
        <v>16808</v>
      </c>
      <c r="AF44" s="643" t="s">
        <v>3608</v>
      </c>
      <c r="AG44" s="643">
        <v>8</v>
      </c>
      <c r="AH44" s="643">
        <v>0</v>
      </c>
      <c r="AI44" s="643">
        <v>16</v>
      </c>
      <c r="AJ44" s="569">
        <v>92</v>
      </c>
      <c r="AK44" s="569">
        <v>92</v>
      </c>
      <c r="AL44" s="643">
        <v>8</v>
      </c>
      <c r="AM44" s="643">
        <v>7</v>
      </c>
      <c r="AN44" s="643" t="s">
        <v>3624</v>
      </c>
      <c r="AO44" s="643"/>
      <c r="AP44" s="690" t="s">
        <v>3625</v>
      </c>
      <c r="AQ44" s="643"/>
      <c r="AR44" s="643"/>
      <c r="AS44" s="643"/>
      <c r="AT44" s="643"/>
      <c r="AU44" s="643"/>
      <c r="AV44" s="643" t="s">
        <v>751</v>
      </c>
      <c r="AW44" s="643" t="s">
        <v>751</v>
      </c>
      <c r="AX44" s="643" t="s">
        <v>751</v>
      </c>
      <c r="AY44" s="643"/>
      <c r="AZ44" s="691"/>
      <c r="BA44" s="691"/>
      <c r="BB44" s="691"/>
      <c r="BC44" s="691"/>
      <c r="BD44" s="691"/>
      <c r="BE44" s="643" t="s">
        <v>3602</v>
      </c>
      <c r="BF44" s="692" t="s">
        <v>3626</v>
      </c>
    </row>
    <row r="45" spans="1:58" ht="409.5" x14ac:dyDescent="0.25">
      <c r="A45" s="688" t="s">
        <v>49</v>
      </c>
      <c r="B45" s="645" t="s">
        <v>249</v>
      </c>
      <c r="C45" s="643" t="s">
        <v>3559</v>
      </c>
      <c r="D45" s="643" t="s">
        <v>3560</v>
      </c>
      <c r="E45" s="643" t="s">
        <v>3627</v>
      </c>
      <c r="F45" s="646" t="s">
        <v>3594</v>
      </c>
      <c r="G45" s="975"/>
      <c r="H45" s="645" t="s">
        <v>3628</v>
      </c>
      <c r="I45" s="645" t="s">
        <v>3629</v>
      </c>
      <c r="J45" s="645" t="s">
        <v>3630</v>
      </c>
      <c r="K45" s="645" t="s">
        <v>323</v>
      </c>
      <c r="L45" s="645">
        <v>39</v>
      </c>
      <c r="M45" s="643" t="s">
        <v>3631</v>
      </c>
      <c r="N45" s="643" t="s">
        <v>3629</v>
      </c>
      <c r="O45" s="643">
        <v>0</v>
      </c>
      <c r="P45" s="679">
        <v>56977.427000000003</v>
      </c>
      <c r="Q45" s="689">
        <f>9000+56997</f>
        <v>65997</v>
      </c>
      <c r="R45" s="643">
        <v>0</v>
      </c>
      <c r="S45" s="643">
        <v>0</v>
      </c>
      <c r="T45" s="643">
        <v>0</v>
      </c>
      <c r="U45" s="643">
        <v>0</v>
      </c>
      <c r="V45" s="643">
        <v>0</v>
      </c>
      <c r="W45" s="643">
        <v>0</v>
      </c>
      <c r="X45" s="643">
        <v>0</v>
      </c>
      <c r="Y45" s="643">
        <v>0</v>
      </c>
      <c r="Z45" s="643">
        <v>0</v>
      </c>
      <c r="AA45" s="643">
        <v>0</v>
      </c>
      <c r="AB45" s="643">
        <v>0</v>
      </c>
      <c r="AC45" s="643">
        <v>0</v>
      </c>
      <c r="AD45" s="643">
        <v>0</v>
      </c>
      <c r="AE45" s="689">
        <f>9000+56997</f>
        <v>65997</v>
      </c>
      <c r="AF45" s="643" t="s">
        <v>3608</v>
      </c>
      <c r="AG45" s="643">
        <v>11</v>
      </c>
      <c r="AH45" s="643">
        <v>0</v>
      </c>
      <c r="AI45" s="643">
        <v>11</v>
      </c>
      <c r="AJ45" s="695">
        <v>14</v>
      </c>
      <c r="AK45" s="695">
        <v>14</v>
      </c>
      <c r="AL45" s="643">
        <v>11</v>
      </c>
      <c r="AM45" s="643">
        <v>5</v>
      </c>
      <c r="AN45" s="643" t="s">
        <v>3632</v>
      </c>
      <c r="AO45" s="643"/>
      <c r="AP45" s="690" t="s">
        <v>3633</v>
      </c>
      <c r="AQ45" s="643"/>
      <c r="AR45" s="643"/>
      <c r="AS45" s="643"/>
      <c r="AT45" s="643"/>
      <c r="AU45" s="643"/>
      <c r="AV45" s="643"/>
      <c r="AW45" s="643"/>
      <c r="AX45" s="643"/>
      <c r="AY45" s="643" t="s">
        <v>751</v>
      </c>
      <c r="AZ45" s="691" t="s">
        <v>751</v>
      </c>
      <c r="BA45" s="691" t="s">
        <v>751</v>
      </c>
      <c r="BB45" s="691" t="s">
        <v>751</v>
      </c>
      <c r="BC45" s="691"/>
      <c r="BD45" s="691"/>
      <c r="BE45" s="643" t="s">
        <v>3571</v>
      </c>
      <c r="BF45" s="692" t="s">
        <v>3634</v>
      </c>
    </row>
    <row r="46" spans="1:58" ht="409.5" x14ac:dyDescent="0.25">
      <c r="A46" s="688" t="s">
        <v>49</v>
      </c>
      <c r="B46" s="645" t="s">
        <v>249</v>
      </c>
      <c r="C46" s="643" t="s">
        <v>3559</v>
      </c>
      <c r="D46" s="643" t="s">
        <v>3560</v>
      </c>
      <c r="E46" s="643" t="s">
        <v>3635</v>
      </c>
      <c r="F46" s="646" t="s">
        <v>3594</v>
      </c>
      <c r="G46" s="975"/>
      <c r="H46" s="643" t="s">
        <v>3636</v>
      </c>
      <c r="I46" s="643" t="s">
        <v>3637</v>
      </c>
      <c r="J46" s="643">
        <v>0</v>
      </c>
      <c r="K46" s="643" t="s">
        <v>323</v>
      </c>
      <c r="L46" s="643">
        <v>42</v>
      </c>
      <c r="M46" s="643" t="s">
        <v>3638</v>
      </c>
      <c r="N46" s="643" t="s">
        <v>3637</v>
      </c>
      <c r="O46" s="643">
        <v>0</v>
      </c>
      <c r="P46" s="679">
        <v>37500</v>
      </c>
      <c r="Q46" s="689">
        <f>15000+37500</f>
        <v>52500</v>
      </c>
      <c r="R46" s="643">
        <v>0</v>
      </c>
      <c r="S46" s="643">
        <v>0</v>
      </c>
      <c r="T46" s="643">
        <v>0</v>
      </c>
      <c r="U46" s="643">
        <v>0</v>
      </c>
      <c r="V46" s="643">
        <v>0</v>
      </c>
      <c r="W46" s="643">
        <v>0</v>
      </c>
      <c r="X46" s="643">
        <v>0</v>
      </c>
      <c r="Y46" s="643">
        <v>0</v>
      </c>
      <c r="Z46" s="643">
        <v>0</v>
      </c>
      <c r="AA46" s="643">
        <v>0</v>
      </c>
      <c r="AB46" s="643">
        <v>0</v>
      </c>
      <c r="AC46" s="643">
        <v>0</v>
      </c>
      <c r="AD46" s="643">
        <v>0</v>
      </c>
      <c r="AE46" s="689">
        <f>15000+37500</f>
        <v>52500</v>
      </c>
      <c r="AF46" s="643" t="s">
        <v>3608</v>
      </c>
      <c r="AG46" s="643">
        <v>6</v>
      </c>
      <c r="AH46" s="643">
        <v>0</v>
      </c>
      <c r="AI46" s="643">
        <v>6</v>
      </c>
      <c r="AJ46" s="697">
        <v>18</v>
      </c>
      <c r="AK46" s="697">
        <v>18</v>
      </c>
      <c r="AL46" s="643">
        <v>6</v>
      </c>
      <c r="AM46" s="643">
        <v>5</v>
      </c>
      <c r="AN46" s="643" t="s">
        <v>3632</v>
      </c>
      <c r="AO46" s="643"/>
      <c r="AP46" s="643" t="s">
        <v>3639</v>
      </c>
      <c r="AQ46" s="643"/>
      <c r="AR46" s="643"/>
      <c r="AS46" s="643"/>
      <c r="AT46" s="643"/>
      <c r="AU46" s="643"/>
      <c r="AV46" s="643"/>
      <c r="AW46" s="643"/>
      <c r="AX46" s="643"/>
      <c r="AY46" s="643"/>
      <c r="AZ46" s="691" t="s">
        <v>751</v>
      </c>
      <c r="BA46" s="691" t="s">
        <v>751</v>
      </c>
      <c r="BB46" s="691" t="s">
        <v>751</v>
      </c>
      <c r="BC46" s="691" t="s">
        <v>751</v>
      </c>
      <c r="BD46" s="691" t="s">
        <v>751</v>
      </c>
      <c r="BE46" s="643" t="s">
        <v>3571</v>
      </c>
      <c r="BF46" s="692" t="s">
        <v>3640</v>
      </c>
    </row>
    <row r="47" spans="1:58" ht="409.5" x14ac:dyDescent="0.25">
      <c r="A47" s="688" t="s">
        <v>49</v>
      </c>
      <c r="B47" s="645" t="s">
        <v>249</v>
      </c>
      <c r="C47" s="643" t="s">
        <v>3559</v>
      </c>
      <c r="D47" s="643" t="s">
        <v>3560</v>
      </c>
      <c r="E47" s="643" t="s">
        <v>3641</v>
      </c>
      <c r="F47" s="646" t="s">
        <v>3594</v>
      </c>
      <c r="G47" s="976"/>
      <c r="H47" s="645" t="s">
        <v>3642</v>
      </c>
      <c r="I47" s="645" t="s">
        <v>3643</v>
      </c>
      <c r="J47" s="645">
        <v>3</v>
      </c>
      <c r="K47" s="645" t="s">
        <v>323</v>
      </c>
      <c r="L47" s="645">
        <v>8</v>
      </c>
      <c r="M47" s="643" t="s">
        <v>3644</v>
      </c>
      <c r="N47" s="643" t="s">
        <v>3643</v>
      </c>
      <c r="O47" s="643">
        <v>0</v>
      </c>
      <c r="P47" s="679">
        <v>37500</v>
      </c>
      <c r="Q47" s="689">
        <f>20000+37500</f>
        <v>57500</v>
      </c>
      <c r="R47" s="643">
        <v>0</v>
      </c>
      <c r="S47" s="643">
        <v>0</v>
      </c>
      <c r="T47" s="643">
        <v>0</v>
      </c>
      <c r="U47" s="643">
        <v>0</v>
      </c>
      <c r="V47" s="643">
        <v>0</v>
      </c>
      <c r="W47" s="643">
        <v>0</v>
      </c>
      <c r="X47" s="643">
        <v>0</v>
      </c>
      <c r="Y47" s="643">
        <v>0</v>
      </c>
      <c r="Z47" s="643">
        <v>0</v>
      </c>
      <c r="AA47" s="643">
        <v>0</v>
      </c>
      <c r="AB47" s="643">
        <v>0</v>
      </c>
      <c r="AC47" s="643">
        <v>0</v>
      </c>
      <c r="AD47" s="643">
        <v>0</v>
      </c>
      <c r="AE47" s="689">
        <f>20000+37500</f>
        <v>57500</v>
      </c>
      <c r="AF47" s="643" t="s">
        <v>3608</v>
      </c>
      <c r="AG47" s="643">
        <v>2</v>
      </c>
      <c r="AH47" s="643">
        <v>2</v>
      </c>
      <c r="AI47" s="643">
        <v>2</v>
      </c>
      <c r="AJ47" s="695">
        <v>3</v>
      </c>
      <c r="AK47" s="695">
        <v>3</v>
      </c>
      <c r="AL47" s="643">
        <v>2</v>
      </c>
      <c r="AM47" s="643">
        <v>2</v>
      </c>
      <c r="AN47" s="643" t="s">
        <v>3632</v>
      </c>
      <c r="AO47" s="643"/>
      <c r="AP47" s="643" t="s">
        <v>3645</v>
      </c>
      <c r="AQ47" s="643"/>
      <c r="AR47" s="643"/>
      <c r="AS47" s="643"/>
      <c r="AT47" s="643"/>
      <c r="AU47" s="643"/>
      <c r="AV47" s="643"/>
      <c r="AW47" s="643"/>
      <c r="AX47" s="643"/>
      <c r="AY47" s="643"/>
      <c r="AZ47" s="691"/>
      <c r="BA47" s="691" t="s">
        <v>751</v>
      </c>
      <c r="BB47" s="691" t="s">
        <v>751</v>
      </c>
      <c r="BC47" s="691" t="s">
        <v>751</v>
      </c>
      <c r="BD47" s="691" t="s">
        <v>751</v>
      </c>
      <c r="BE47" s="643" t="s">
        <v>3571</v>
      </c>
      <c r="BF47" s="692" t="s">
        <v>3646</v>
      </c>
    </row>
    <row r="48" spans="1:58" ht="210" x14ac:dyDescent="0.25">
      <c r="A48" s="252" t="s">
        <v>49</v>
      </c>
      <c r="B48" s="663" t="s">
        <v>249</v>
      </c>
      <c r="C48" s="945" t="s">
        <v>3647</v>
      </c>
      <c r="D48" s="945" t="s">
        <v>3648</v>
      </c>
      <c r="E48" s="945" t="s">
        <v>3649</v>
      </c>
      <c r="F48" s="665" t="s">
        <v>3650</v>
      </c>
      <c r="G48" s="938" t="s">
        <v>3651</v>
      </c>
      <c r="H48" s="651" t="s">
        <v>3652</v>
      </c>
      <c r="I48" s="651" t="s">
        <v>3653</v>
      </c>
      <c r="J48" s="643">
        <v>0</v>
      </c>
      <c r="K48" s="643"/>
      <c r="L48" s="643">
        <v>1</v>
      </c>
      <c r="M48" s="698">
        <v>5.0000000000000001E-3</v>
      </c>
      <c r="N48" s="699" t="s">
        <v>3654</v>
      </c>
      <c r="O48" s="185">
        <v>0</v>
      </c>
      <c r="P48" s="696">
        <v>0</v>
      </c>
      <c r="Q48" s="700">
        <v>30000</v>
      </c>
      <c r="R48" s="184"/>
      <c r="S48" s="184"/>
      <c r="T48" s="184"/>
      <c r="U48" s="184"/>
      <c r="V48" s="184"/>
      <c r="W48" s="184"/>
      <c r="X48" s="184"/>
      <c r="Y48" s="700">
        <v>10000</v>
      </c>
      <c r="Z48" s="184"/>
      <c r="AA48" s="184"/>
      <c r="AB48" s="700">
        <v>40000</v>
      </c>
      <c r="AC48" s="184"/>
      <c r="AD48" s="184"/>
      <c r="AE48" s="701" t="s">
        <v>3655</v>
      </c>
      <c r="AF48" s="702" t="s">
        <v>3656</v>
      </c>
      <c r="AG48" s="184"/>
      <c r="AH48" s="643">
        <v>0</v>
      </c>
      <c r="AI48" s="643">
        <v>0.5</v>
      </c>
      <c r="AJ48" s="643">
        <v>0.5</v>
      </c>
      <c r="AK48" s="643">
        <v>0</v>
      </c>
      <c r="AL48" s="185">
        <v>42</v>
      </c>
      <c r="AM48" s="701" t="s">
        <v>3657</v>
      </c>
      <c r="AN48" s="703">
        <v>149917</v>
      </c>
      <c r="AO48" s="696">
        <v>0</v>
      </c>
      <c r="AP48" s="651" t="s">
        <v>3652</v>
      </c>
      <c r="AQ48" s="184"/>
      <c r="AR48" s="185" t="s">
        <v>751</v>
      </c>
      <c r="AS48" s="185" t="s">
        <v>751</v>
      </c>
      <c r="AT48" s="185" t="s">
        <v>751</v>
      </c>
      <c r="AU48" s="185" t="s">
        <v>751</v>
      </c>
      <c r="AV48" s="185" t="s">
        <v>751</v>
      </c>
      <c r="AW48" s="185" t="s">
        <v>751</v>
      </c>
      <c r="AX48" s="666" t="s">
        <v>751</v>
      </c>
      <c r="AY48" s="185" t="s">
        <v>751</v>
      </c>
      <c r="AZ48" s="185" t="s">
        <v>751</v>
      </c>
      <c r="BA48" s="185" t="s">
        <v>751</v>
      </c>
      <c r="BB48" s="185" t="s">
        <v>751</v>
      </c>
      <c r="BC48" s="185" t="s">
        <v>751</v>
      </c>
      <c r="BD48" s="185" t="s">
        <v>751</v>
      </c>
      <c r="BE48" s="545" t="s">
        <v>3658</v>
      </c>
      <c r="BF48" s="184"/>
    </row>
    <row r="49" spans="1:58" ht="210" x14ac:dyDescent="0.25">
      <c r="A49" s="252" t="s">
        <v>49</v>
      </c>
      <c r="B49" s="663" t="s">
        <v>249</v>
      </c>
      <c r="C49" s="946"/>
      <c r="D49" s="946"/>
      <c r="E49" s="946"/>
      <c r="F49" s="665" t="s">
        <v>3650</v>
      </c>
      <c r="G49" s="938"/>
      <c r="H49" s="651" t="s">
        <v>3659</v>
      </c>
      <c r="I49" s="651" t="s">
        <v>3660</v>
      </c>
      <c r="J49" s="643">
        <v>0</v>
      </c>
      <c r="K49" s="643" t="s">
        <v>323</v>
      </c>
      <c r="L49" s="643">
        <v>42</v>
      </c>
      <c r="M49" s="185">
        <v>16</v>
      </c>
      <c r="N49" s="699" t="s">
        <v>3661</v>
      </c>
      <c r="O49" s="185">
        <v>10</v>
      </c>
      <c r="P49" s="679">
        <v>51428</v>
      </c>
      <c r="Q49" s="700">
        <v>48500</v>
      </c>
      <c r="R49" s="184"/>
      <c r="S49" s="184"/>
      <c r="T49" s="184"/>
      <c r="U49" s="184"/>
      <c r="V49" s="184"/>
      <c r="W49" s="184"/>
      <c r="X49" s="184"/>
      <c r="Y49" s="567"/>
      <c r="Z49" s="184"/>
      <c r="AA49" s="184"/>
      <c r="AB49" s="700">
        <v>13000</v>
      </c>
      <c r="AC49" s="184"/>
      <c r="AD49" s="184"/>
      <c r="AE49" s="701" t="s">
        <v>3655</v>
      </c>
      <c r="AF49" s="702" t="s">
        <v>3656</v>
      </c>
      <c r="AG49" s="545" t="s">
        <v>3662</v>
      </c>
      <c r="AH49" s="643">
        <v>10</v>
      </c>
      <c r="AI49" s="643">
        <v>16</v>
      </c>
      <c r="AJ49" s="643">
        <v>8</v>
      </c>
      <c r="AK49" s="643">
        <v>8</v>
      </c>
      <c r="AL49" s="185">
        <v>42</v>
      </c>
      <c r="AM49" s="701" t="s">
        <v>3657</v>
      </c>
      <c r="AN49" s="701" t="s">
        <v>3663</v>
      </c>
      <c r="AO49" s="679">
        <v>51428</v>
      </c>
      <c r="AP49" s="651" t="s">
        <v>3659</v>
      </c>
      <c r="AQ49" s="184"/>
      <c r="AR49" s="185" t="s">
        <v>751</v>
      </c>
      <c r="AS49" s="185" t="s">
        <v>751</v>
      </c>
      <c r="AT49" s="185" t="s">
        <v>751</v>
      </c>
      <c r="AU49" s="185" t="s">
        <v>751</v>
      </c>
      <c r="AV49" s="185" t="s">
        <v>751</v>
      </c>
      <c r="AW49" s="185" t="s">
        <v>751</v>
      </c>
      <c r="AX49" s="666" t="s">
        <v>751</v>
      </c>
      <c r="AY49" s="185" t="s">
        <v>751</v>
      </c>
      <c r="AZ49" s="185" t="s">
        <v>751</v>
      </c>
      <c r="BA49" s="185" t="s">
        <v>751</v>
      </c>
      <c r="BB49" s="185" t="s">
        <v>751</v>
      </c>
      <c r="BC49" s="185" t="s">
        <v>751</v>
      </c>
      <c r="BD49" s="185" t="s">
        <v>751</v>
      </c>
      <c r="BE49" s="701" t="s">
        <v>3658</v>
      </c>
      <c r="BF49" s="184"/>
    </row>
    <row r="50" spans="1:58" ht="210" x14ac:dyDescent="0.25">
      <c r="A50" s="252" t="s">
        <v>49</v>
      </c>
      <c r="B50" s="663" t="s">
        <v>249</v>
      </c>
      <c r="C50" s="946"/>
      <c r="D50" s="946"/>
      <c r="E50" s="946"/>
      <c r="F50" s="665" t="s">
        <v>3650</v>
      </c>
      <c r="G50" s="938"/>
      <c r="H50" s="651" t="s">
        <v>3664</v>
      </c>
      <c r="I50" s="651" t="s">
        <v>3665</v>
      </c>
      <c r="J50" s="643">
        <v>42</v>
      </c>
      <c r="K50" s="643" t="s">
        <v>323</v>
      </c>
      <c r="L50" s="643">
        <v>84</v>
      </c>
      <c r="M50" s="185">
        <v>9</v>
      </c>
      <c r="N50" s="651" t="s">
        <v>3665</v>
      </c>
      <c r="O50" s="185">
        <v>19</v>
      </c>
      <c r="P50" s="679">
        <v>58350</v>
      </c>
      <c r="Q50" s="700">
        <v>7500</v>
      </c>
      <c r="R50" s="184"/>
      <c r="S50" s="184"/>
      <c r="T50" s="184"/>
      <c r="U50" s="184"/>
      <c r="V50" s="184"/>
      <c r="W50" s="184"/>
      <c r="X50" s="184"/>
      <c r="Y50" s="567"/>
      <c r="Z50" s="184"/>
      <c r="AA50" s="184"/>
      <c r="AB50" s="700"/>
      <c r="AC50" s="184"/>
      <c r="AD50" s="184"/>
      <c r="AE50" s="701" t="s">
        <v>3655</v>
      </c>
      <c r="AF50" s="702" t="s">
        <v>3656</v>
      </c>
      <c r="AG50" s="545" t="s">
        <v>3662</v>
      </c>
      <c r="AH50" s="643">
        <v>16</v>
      </c>
      <c r="AI50" s="643">
        <v>10</v>
      </c>
      <c r="AJ50" s="643">
        <v>10</v>
      </c>
      <c r="AK50" s="643">
        <v>6</v>
      </c>
      <c r="AL50" s="185">
        <v>42</v>
      </c>
      <c r="AM50" s="701" t="s">
        <v>3657</v>
      </c>
      <c r="AN50" s="701" t="s">
        <v>3666</v>
      </c>
      <c r="AO50" s="679">
        <v>58350</v>
      </c>
      <c r="AP50" s="651" t="s">
        <v>3664</v>
      </c>
      <c r="AQ50" s="184"/>
      <c r="AR50" s="185" t="s">
        <v>751</v>
      </c>
      <c r="AS50" s="185" t="s">
        <v>751</v>
      </c>
      <c r="AT50" s="185" t="s">
        <v>751</v>
      </c>
      <c r="AU50" s="185" t="s">
        <v>751</v>
      </c>
      <c r="AV50" s="185" t="s">
        <v>751</v>
      </c>
      <c r="AW50" s="185" t="s">
        <v>751</v>
      </c>
      <c r="AX50" s="666" t="s">
        <v>751</v>
      </c>
      <c r="AY50" s="185" t="s">
        <v>751</v>
      </c>
      <c r="AZ50" s="185" t="s">
        <v>751</v>
      </c>
      <c r="BA50" s="185" t="s">
        <v>751</v>
      </c>
      <c r="BB50" s="185" t="s">
        <v>751</v>
      </c>
      <c r="BC50" s="185" t="s">
        <v>751</v>
      </c>
      <c r="BD50" s="185" t="s">
        <v>751</v>
      </c>
      <c r="BE50" s="701" t="s">
        <v>3658</v>
      </c>
      <c r="BF50" s="184"/>
    </row>
    <row r="51" spans="1:58" ht="210" x14ac:dyDescent="0.25">
      <c r="A51" s="252" t="s">
        <v>49</v>
      </c>
      <c r="B51" s="663" t="s">
        <v>249</v>
      </c>
      <c r="C51" s="946"/>
      <c r="D51" s="946"/>
      <c r="E51" s="946"/>
      <c r="F51" s="665" t="s">
        <v>3650</v>
      </c>
      <c r="G51" s="938"/>
      <c r="H51" s="651" t="s">
        <v>3667</v>
      </c>
      <c r="I51" s="651" t="s">
        <v>3668</v>
      </c>
      <c r="J51" s="643" t="s">
        <v>3669</v>
      </c>
      <c r="K51" s="643" t="s">
        <v>323</v>
      </c>
      <c r="L51" s="228">
        <v>1</v>
      </c>
      <c r="M51" s="704">
        <v>0.52</v>
      </c>
      <c r="N51" s="651" t="s">
        <v>3668</v>
      </c>
      <c r="O51" s="704">
        <v>0.1</v>
      </c>
      <c r="P51" s="679">
        <v>13000</v>
      </c>
      <c r="Q51" s="700">
        <v>4000</v>
      </c>
      <c r="R51" s="184"/>
      <c r="S51" s="184"/>
      <c r="T51" s="184"/>
      <c r="U51" s="184"/>
      <c r="V51" s="184"/>
      <c r="W51" s="184"/>
      <c r="X51" s="184"/>
      <c r="Y51" s="567"/>
      <c r="Z51" s="184"/>
      <c r="AA51" s="184"/>
      <c r="AB51" s="700">
        <v>59622</v>
      </c>
      <c r="AC51" s="184"/>
      <c r="AD51" s="184"/>
      <c r="AE51" s="701" t="s">
        <v>3655</v>
      </c>
      <c r="AF51" s="702" t="s">
        <v>3656</v>
      </c>
      <c r="AG51" s="705">
        <v>42</v>
      </c>
      <c r="AH51" s="643">
        <v>10</v>
      </c>
      <c r="AI51" s="643">
        <v>16</v>
      </c>
      <c r="AJ51" s="643">
        <v>8</v>
      </c>
      <c r="AK51" s="643">
        <v>8</v>
      </c>
      <c r="AL51" s="185">
        <v>42</v>
      </c>
      <c r="AM51" s="701" t="s">
        <v>3657</v>
      </c>
      <c r="AN51" s="701" t="s">
        <v>3670</v>
      </c>
      <c r="AO51" s="679">
        <v>13000</v>
      </c>
      <c r="AP51" s="651" t="s">
        <v>3667</v>
      </c>
      <c r="AQ51" s="184"/>
      <c r="AR51" s="185" t="s">
        <v>751</v>
      </c>
      <c r="AS51" s="185" t="s">
        <v>751</v>
      </c>
      <c r="AT51" s="185" t="s">
        <v>751</v>
      </c>
      <c r="AU51" s="185" t="s">
        <v>751</v>
      </c>
      <c r="AV51" s="185" t="s">
        <v>751</v>
      </c>
      <c r="AW51" s="185" t="s">
        <v>751</v>
      </c>
      <c r="AX51" s="666" t="s">
        <v>751</v>
      </c>
      <c r="AY51" s="185" t="s">
        <v>751</v>
      </c>
      <c r="AZ51" s="185" t="s">
        <v>751</v>
      </c>
      <c r="BA51" s="185" t="s">
        <v>751</v>
      </c>
      <c r="BB51" s="185" t="s">
        <v>751</v>
      </c>
      <c r="BC51" s="185" t="s">
        <v>751</v>
      </c>
      <c r="BD51" s="185" t="s">
        <v>751</v>
      </c>
      <c r="BE51" s="701" t="s">
        <v>3658</v>
      </c>
      <c r="BF51" s="184"/>
    </row>
    <row r="52" spans="1:58" ht="240" x14ac:dyDescent="0.25">
      <c r="A52" s="252" t="s">
        <v>49</v>
      </c>
      <c r="B52" s="663" t="s">
        <v>249</v>
      </c>
      <c r="C52" s="946"/>
      <c r="D52" s="946"/>
      <c r="E52" s="946"/>
      <c r="F52" s="706" t="s">
        <v>3671</v>
      </c>
      <c r="G52" s="938" t="s">
        <v>3672</v>
      </c>
      <c r="H52" s="651" t="s">
        <v>3673</v>
      </c>
      <c r="I52" s="651" t="s">
        <v>3674</v>
      </c>
      <c r="J52" s="643">
        <v>0</v>
      </c>
      <c r="K52" s="643" t="s">
        <v>323</v>
      </c>
      <c r="L52" s="643">
        <v>84</v>
      </c>
      <c r="M52" s="177">
        <v>22</v>
      </c>
      <c r="N52" s="651" t="s">
        <v>3674</v>
      </c>
      <c r="O52" s="177">
        <v>26</v>
      </c>
      <c r="P52" s="679">
        <v>21168</v>
      </c>
      <c r="Q52" s="700">
        <v>25000</v>
      </c>
      <c r="R52" s="184"/>
      <c r="S52" s="184"/>
      <c r="T52" s="184"/>
      <c r="U52" s="184"/>
      <c r="V52" s="184"/>
      <c r="W52" s="184"/>
      <c r="X52" s="184"/>
      <c r="Y52" s="700"/>
      <c r="Z52" s="184"/>
      <c r="AA52" s="184"/>
      <c r="AB52" s="700">
        <v>28000</v>
      </c>
      <c r="AC52" s="184"/>
      <c r="AD52" s="184"/>
      <c r="AE52" s="701" t="s">
        <v>3675</v>
      </c>
      <c r="AF52" s="702" t="s">
        <v>3676</v>
      </c>
      <c r="AG52" s="545" t="s">
        <v>3662</v>
      </c>
      <c r="AH52" s="643">
        <v>10</v>
      </c>
      <c r="AI52" s="643">
        <v>16</v>
      </c>
      <c r="AJ52" s="643">
        <v>8</v>
      </c>
      <c r="AK52" s="643">
        <v>8</v>
      </c>
      <c r="AL52" s="185">
        <v>42</v>
      </c>
      <c r="AM52" s="701" t="s">
        <v>3657</v>
      </c>
      <c r="AN52" s="701" t="s">
        <v>3677</v>
      </c>
      <c r="AO52" s="679">
        <v>21168</v>
      </c>
      <c r="AP52" s="651" t="s">
        <v>3673</v>
      </c>
      <c r="AQ52" s="184"/>
      <c r="AR52" s="185" t="s">
        <v>751</v>
      </c>
      <c r="AS52" s="185" t="s">
        <v>751</v>
      </c>
      <c r="AT52" s="185" t="s">
        <v>751</v>
      </c>
      <c r="AU52" s="185" t="s">
        <v>751</v>
      </c>
      <c r="AV52" s="185" t="s">
        <v>751</v>
      </c>
      <c r="AW52" s="185" t="s">
        <v>751</v>
      </c>
      <c r="AX52" s="666" t="s">
        <v>751</v>
      </c>
      <c r="AY52" s="185" t="s">
        <v>751</v>
      </c>
      <c r="AZ52" s="185" t="s">
        <v>751</v>
      </c>
      <c r="BA52" s="185" t="s">
        <v>751</v>
      </c>
      <c r="BB52" s="185" t="s">
        <v>751</v>
      </c>
      <c r="BC52" s="185" t="s">
        <v>751</v>
      </c>
      <c r="BD52" s="185" t="s">
        <v>751</v>
      </c>
      <c r="BE52" s="701" t="s">
        <v>3658</v>
      </c>
      <c r="BF52" s="184"/>
    </row>
    <row r="53" spans="1:58" ht="195" x14ac:dyDescent="0.25">
      <c r="A53" s="252" t="s">
        <v>49</v>
      </c>
      <c r="B53" s="663" t="s">
        <v>249</v>
      </c>
      <c r="C53" s="946"/>
      <c r="D53" s="946"/>
      <c r="E53" s="946"/>
      <c r="F53" s="707" t="s">
        <v>3671</v>
      </c>
      <c r="G53" s="938"/>
      <c r="H53" s="651" t="s">
        <v>3678</v>
      </c>
      <c r="I53" s="651" t="s">
        <v>3679</v>
      </c>
      <c r="J53" s="643">
        <v>12</v>
      </c>
      <c r="K53" s="643" t="s">
        <v>323</v>
      </c>
      <c r="L53" s="643">
        <v>28</v>
      </c>
      <c r="M53" s="185">
        <v>15</v>
      </c>
      <c r="N53" s="651" t="s">
        <v>3679</v>
      </c>
      <c r="O53" s="185">
        <v>3</v>
      </c>
      <c r="P53" s="696">
        <v>0</v>
      </c>
      <c r="Q53" s="700">
        <v>25000</v>
      </c>
      <c r="R53" s="184"/>
      <c r="S53" s="184"/>
      <c r="T53" s="184"/>
      <c r="U53" s="184"/>
      <c r="V53" s="184"/>
      <c r="W53" s="184"/>
      <c r="X53" s="184"/>
      <c r="Y53" s="700">
        <v>77000</v>
      </c>
      <c r="Z53" s="184"/>
      <c r="AA53" s="184"/>
      <c r="AB53" s="700">
        <v>70003</v>
      </c>
      <c r="AC53" s="184"/>
      <c r="AD53" s="184"/>
      <c r="AE53" s="701" t="s">
        <v>3675</v>
      </c>
      <c r="AF53" s="702" t="s">
        <v>3676</v>
      </c>
      <c r="AG53" s="708" t="s">
        <v>3680</v>
      </c>
      <c r="AH53" s="643">
        <v>3</v>
      </c>
      <c r="AI53" s="643">
        <v>15</v>
      </c>
      <c r="AJ53" s="643">
        <v>7</v>
      </c>
      <c r="AK53" s="643">
        <v>3</v>
      </c>
      <c r="AL53" s="185">
        <v>28</v>
      </c>
      <c r="AM53" s="701" t="s">
        <v>3657</v>
      </c>
      <c r="AN53" s="701" t="s">
        <v>3681</v>
      </c>
      <c r="AO53" s="696">
        <v>0</v>
      </c>
      <c r="AP53" s="651" t="s">
        <v>3678</v>
      </c>
      <c r="AQ53" s="184"/>
      <c r="AR53" s="185" t="s">
        <v>751</v>
      </c>
      <c r="AS53" s="185" t="s">
        <v>751</v>
      </c>
      <c r="AT53" s="185" t="s">
        <v>751</v>
      </c>
      <c r="AU53" s="185" t="s">
        <v>751</v>
      </c>
      <c r="AV53" s="185" t="s">
        <v>751</v>
      </c>
      <c r="AW53" s="185" t="s">
        <v>751</v>
      </c>
      <c r="AX53" s="666" t="s">
        <v>751</v>
      </c>
      <c r="AY53" s="185" t="s">
        <v>751</v>
      </c>
      <c r="AZ53" s="185" t="s">
        <v>751</v>
      </c>
      <c r="BA53" s="185" t="s">
        <v>751</v>
      </c>
      <c r="BB53" s="185" t="s">
        <v>751</v>
      </c>
      <c r="BC53" s="185" t="s">
        <v>751</v>
      </c>
      <c r="BD53" s="185" t="s">
        <v>751</v>
      </c>
      <c r="BE53" s="701" t="s">
        <v>3658</v>
      </c>
      <c r="BF53" s="184"/>
    </row>
    <row r="54" spans="1:58" ht="240" x14ac:dyDescent="0.25">
      <c r="A54" s="252" t="s">
        <v>49</v>
      </c>
      <c r="B54" s="663" t="s">
        <v>249</v>
      </c>
      <c r="C54" s="946"/>
      <c r="D54" s="946"/>
      <c r="E54" s="946"/>
      <c r="F54" s="665" t="s">
        <v>3682</v>
      </c>
      <c r="G54" s="938" t="s">
        <v>3683</v>
      </c>
      <c r="H54" s="651" t="s">
        <v>3684</v>
      </c>
      <c r="I54" s="651" t="s">
        <v>3685</v>
      </c>
      <c r="J54" s="643">
        <v>0</v>
      </c>
      <c r="K54" s="643" t="s">
        <v>323</v>
      </c>
      <c r="L54" s="643">
        <v>84</v>
      </c>
      <c r="M54" s="185">
        <v>14</v>
      </c>
      <c r="N54" s="651" t="s">
        <v>3685</v>
      </c>
      <c r="O54" s="185">
        <v>9</v>
      </c>
      <c r="P54" s="696">
        <v>50000</v>
      </c>
      <c r="Q54" s="700">
        <v>20000</v>
      </c>
      <c r="R54" s="184"/>
      <c r="S54" s="184"/>
      <c r="T54" s="184"/>
      <c r="U54" s="184"/>
      <c r="V54" s="184"/>
      <c r="W54" s="184"/>
      <c r="X54" s="184"/>
      <c r="Y54" s="700">
        <v>173000</v>
      </c>
      <c r="Z54" s="184"/>
      <c r="AA54" s="184"/>
      <c r="AB54" s="700"/>
      <c r="AC54" s="184"/>
      <c r="AD54" s="184"/>
      <c r="AE54" s="701" t="s">
        <v>3686</v>
      </c>
      <c r="AF54" s="702" t="s">
        <v>3687</v>
      </c>
      <c r="AG54" s="699">
        <v>42</v>
      </c>
      <c r="AH54" s="643">
        <v>14</v>
      </c>
      <c r="AI54" s="643">
        <v>10</v>
      </c>
      <c r="AJ54" s="643">
        <v>10</v>
      </c>
      <c r="AK54" s="643">
        <v>8</v>
      </c>
      <c r="AL54" s="185">
        <v>42</v>
      </c>
      <c r="AM54" s="701" t="s">
        <v>3657</v>
      </c>
      <c r="AN54" s="701" t="s">
        <v>3688</v>
      </c>
      <c r="AO54" s="696">
        <v>50000</v>
      </c>
      <c r="AP54" s="651" t="s">
        <v>3684</v>
      </c>
      <c r="AQ54" s="184"/>
      <c r="AR54" s="185" t="s">
        <v>751</v>
      </c>
      <c r="AS54" s="185" t="s">
        <v>751</v>
      </c>
      <c r="AT54" s="185" t="s">
        <v>751</v>
      </c>
      <c r="AU54" s="185" t="s">
        <v>751</v>
      </c>
      <c r="AV54" s="185" t="s">
        <v>751</v>
      </c>
      <c r="AW54" s="185" t="s">
        <v>751</v>
      </c>
      <c r="AX54" s="666" t="s">
        <v>751</v>
      </c>
      <c r="AY54" s="185" t="s">
        <v>751</v>
      </c>
      <c r="AZ54" s="185" t="s">
        <v>751</v>
      </c>
      <c r="BA54" s="185" t="s">
        <v>751</v>
      </c>
      <c r="BB54" s="185" t="s">
        <v>751</v>
      </c>
      <c r="BC54" s="185" t="s">
        <v>751</v>
      </c>
      <c r="BD54" s="185" t="s">
        <v>751</v>
      </c>
      <c r="BE54" s="701" t="s">
        <v>3658</v>
      </c>
      <c r="BF54" s="184"/>
    </row>
    <row r="55" spans="1:58" ht="255" x14ac:dyDescent="0.25">
      <c r="A55" s="252" t="s">
        <v>49</v>
      </c>
      <c r="B55" s="663" t="s">
        <v>249</v>
      </c>
      <c r="C55" s="946"/>
      <c r="D55" s="946"/>
      <c r="E55" s="946"/>
      <c r="F55" s="665" t="s">
        <v>3682</v>
      </c>
      <c r="G55" s="938"/>
      <c r="H55" s="651" t="s">
        <v>3689</v>
      </c>
      <c r="I55" s="651" t="s">
        <v>3690</v>
      </c>
      <c r="J55" s="643" t="s">
        <v>3691</v>
      </c>
      <c r="K55" s="643" t="s">
        <v>323</v>
      </c>
      <c r="L55" s="643">
        <v>20</v>
      </c>
      <c r="M55" s="177">
        <v>6</v>
      </c>
      <c r="N55" s="651" t="s">
        <v>3690</v>
      </c>
      <c r="O55" s="177">
        <v>3</v>
      </c>
      <c r="P55" s="696">
        <v>5000</v>
      </c>
      <c r="Q55" s="700">
        <v>0</v>
      </c>
      <c r="R55" s="184"/>
      <c r="S55" s="184"/>
      <c r="T55" s="184"/>
      <c r="U55" s="184"/>
      <c r="V55" s="184"/>
      <c r="W55" s="184"/>
      <c r="X55" s="184"/>
      <c r="Y55" s="567"/>
      <c r="Z55" s="184"/>
      <c r="AA55" s="184"/>
      <c r="AB55" s="700"/>
      <c r="AC55" s="184"/>
      <c r="AD55" s="545"/>
      <c r="AE55" s="701" t="s">
        <v>3686</v>
      </c>
      <c r="AF55" s="702" t="s">
        <v>3687</v>
      </c>
      <c r="AG55" s="708" t="s">
        <v>3692</v>
      </c>
      <c r="AH55" s="643">
        <v>3</v>
      </c>
      <c r="AI55" s="643">
        <v>6</v>
      </c>
      <c r="AJ55" s="643">
        <v>11</v>
      </c>
      <c r="AK55" s="643">
        <v>0</v>
      </c>
      <c r="AL55" s="185">
        <v>20</v>
      </c>
      <c r="AM55" s="701" t="s">
        <v>3657</v>
      </c>
      <c r="AN55" s="701" t="s">
        <v>3693</v>
      </c>
      <c r="AO55" s="696">
        <v>5000</v>
      </c>
      <c r="AP55" s="651" t="s">
        <v>3689</v>
      </c>
      <c r="AQ55" s="184"/>
      <c r="AR55" s="185" t="s">
        <v>751</v>
      </c>
      <c r="AS55" s="185" t="s">
        <v>751</v>
      </c>
      <c r="AT55" s="185" t="s">
        <v>751</v>
      </c>
      <c r="AU55" s="185" t="s">
        <v>751</v>
      </c>
      <c r="AV55" s="185" t="s">
        <v>751</v>
      </c>
      <c r="AW55" s="185" t="s">
        <v>751</v>
      </c>
      <c r="AX55" s="666" t="s">
        <v>751</v>
      </c>
      <c r="AY55" s="185" t="s">
        <v>751</v>
      </c>
      <c r="AZ55" s="185" t="s">
        <v>751</v>
      </c>
      <c r="BA55" s="185" t="s">
        <v>751</v>
      </c>
      <c r="BB55" s="185" t="s">
        <v>751</v>
      </c>
      <c r="BC55" s="185" t="s">
        <v>751</v>
      </c>
      <c r="BD55" s="185" t="s">
        <v>751</v>
      </c>
      <c r="BE55" s="701" t="s">
        <v>3658</v>
      </c>
      <c r="BF55" s="184"/>
    </row>
    <row r="56" spans="1:58" ht="240" x14ac:dyDescent="0.25">
      <c r="A56" s="252" t="s">
        <v>49</v>
      </c>
      <c r="B56" s="663" t="s">
        <v>249</v>
      </c>
      <c r="C56" s="946"/>
      <c r="D56" s="946"/>
      <c r="E56" s="946"/>
      <c r="F56" s="665" t="s">
        <v>3682</v>
      </c>
      <c r="G56" s="938"/>
      <c r="H56" s="651" t="s">
        <v>3694</v>
      </c>
      <c r="I56" s="651" t="s">
        <v>3695</v>
      </c>
      <c r="J56" s="643">
        <v>10</v>
      </c>
      <c r="K56" s="643" t="s">
        <v>323</v>
      </c>
      <c r="L56" s="643">
        <v>300</v>
      </c>
      <c r="M56" s="185">
        <v>200</v>
      </c>
      <c r="N56" s="651" t="s">
        <v>3695</v>
      </c>
      <c r="O56" s="185">
        <v>100</v>
      </c>
      <c r="P56" s="679">
        <v>10000</v>
      </c>
      <c r="Q56" s="700">
        <v>0</v>
      </c>
      <c r="R56" s="184"/>
      <c r="S56" s="184"/>
      <c r="T56" s="184"/>
      <c r="U56" s="184"/>
      <c r="V56" s="184"/>
      <c r="W56" s="184"/>
      <c r="X56" s="184"/>
      <c r="Y56" s="567"/>
      <c r="Z56" s="184"/>
      <c r="AA56" s="184"/>
      <c r="AB56" s="700"/>
      <c r="AC56" s="184"/>
      <c r="AD56" s="184"/>
      <c r="AE56" s="701" t="s">
        <v>3686</v>
      </c>
      <c r="AF56" s="702" t="s">
        <v>3687</v>
      </c>
      <c r="AG56" s="708" t="s">
        <v>3696</v>
      </c>
      <c r="AH56" s="643">
        <v>2</v>
      </c>
      <c r="AI56" s="643">
        <v>3</v>
      </c>
      <c r="AJ56" s="643">
        <v>3</v>
      </c>
      <c r="AK56" s="643">
        <v>2</v>
      </c>
      <c r="AL56" s="185">
        <v>10</v>
      </c>
      <c r="AM56" s="701" t="s">
        <v>3657</v>
      </c>
      <c r="AN56" s="701" t="s">
        <v>3697</v>
      </c>
      <c r="AO56" s="679">
        <v>10000</v>
      </c>
      <c r="AP56" s="651" t="s">
        <v>3694</v>
      </c>
      <c r="AQ56" s="184"/>
      <c r="AR56" s="185" t="s">
        <v>751</v>
      </c>
      <c r="AS56" s="185" t="s">
        <v>751</v>
      </c>
      <c r="AT56" s="185" t="s">
        <v>751</v>
      </c>
      <c r="AU56" s="185" t="s">
        <v>751</v>
      </c>
      <c r="AV56" s="185" t="s">
        <v>751</v>
      </c>
      <c r="AW56" s="185" t="s">
        <v>751</v>
      </c>
      <c r="AX56" s="666" t="s">
        <v>751</v>
      </c>
      <c r="AY56" s="185" t="s">
        <v>751</v>
      </c>
      <c r="AZ56" s="185" t="s">
        <v>751</v>
      </c>
      <c r="BA56" s="185" t="s">
        <v>751</v>
      </c>
      <c r="BB56" s="185" t="s">
        <v>751</v>
      </c>
      <c r="BC56" s="185" t="s">
        <v>751</v>
      </c>
      <c r="BD56" s="185" t="s">
        <v>751</v>
      </c>
      <c r="BE56" s="701" t="s">
        <v>3658</v>
      </c>
      <c r="BF56" s="184"/>
    </row>
    <row r="57" spans="1:58" ht="300" x14ac:dyDescent="0.25">
      <c r="A57" s="252" t="s">
        <v>49</v>
      </c>
      <c r="B57" s="252" t="s">
        <v>249</v>
      </c>
      <c r="C57" s="947"/>
      <c r="D57" s="947"/>
      <c r="E57" s="947"/>
      <c r="F57" s="651" t="s">
        <v>3682</v>
      </c>
      <c r="G57" s="938"/>
      <c r="H57" s="651" t="s">
        <v>3698</v>
      </c>
      <c r="I57" s="651" t="s">
        <v>3699</v>
      </c>
      <c r="J57" s="177">
        <v>0</v>
      </c>
      <c r="K57" s="177" t="s">
        <v>323</v>
      </c>
      <c r="L57" s="569">
        <v>2100</v>
      </c>
      <c r="M57" s="177">
        <v>500</v>
      </c>
      <c r="N57" s="651" t="s">
        <v>3699</v>
      </c>
      <c r="O57" s="177">
        <v>300</v>
      </c>
      <c r="P57" s="696">
        <v>6476.7</v>
      </c>
      <c r="Q57" s="700">
        <v>25000</v>
      </c>
      <c r="R57" s="184"/>
      <c r="S57" s="184"/>
      <c r="T57" s="184"/>
      <c r="U57" s="184"/>
      <c r="V57" s="184"/>
      <c r="W57" s="184"/>
      <c r="X57" s="184"/>
      <c r="Y57" s="567"/>
      <c r="Z57" s="184"/>
      <c r="AA57" s="184"/>
      <c r="AB57" s="700">
        <v>27156</v>
      </c>
      <c r="AC57" s="184"/>
      <c r="AD57" s="184"/>
      <c r="AE57" s="701" t="s">
        <v>3686</v>
      </c>
      <c r="AF57" s="702" t="s">
        <v>3687</v>
      </c>
      <c r="AG57" s="708" t="s">
        <v>3680</v>
      </c>
      <c r="AH57" s="643">
        <v>10</v>
      </c>
      <c r="AI57" s="643">
        <v>16</v>
      </c>
      <c r="AJ57" s="643">
        <v>8</v>
      </c>
      <c r="AK57" s="643">
        <v>8</v>
      </c>
      <c r="AL57" s="185">
        <v>42</v>
      </c>
      <c r="AM57" s="701" t="s">
        <v>3657</v>
      </c>
      <c r="AN57" s="701" t="s">
        <v>3700</v>
      </c>
      <c r="AO57" s="696">
        <v>6476.7</v>
      </c>
      <c r="AP57" s="651" t="s">
        <v>3698</v>
      </c>
      <c r="AQ57" s="184"/>
      <c r="AR57" s="185" t="s">
        <v>751</v>
      </c>
      <c r="AS57" s="185" t="s">
        <v>751</v>
      </c>
      <c r="AT57" s="185" t="s">
        <v>751</v>
      </c>
      <c r="AU57" s="185" t="s">
        <v>751</v>
      </c>
      <c r="AV57" s="185" t="s">
        <v>751</v>
      </c>
      <c r="AW57" s="185" t="s">
        <v>751</v>
      </c>
      <c r="AX57" s="666" t="s">
        <v>751</v>
      </c>
      <c r="AY57" s="185" t="s">
        <v>751</v>
      </c>
      <c r="AZ57" s="185" t="s">
        <v>751</v>
      </c>
      <c r="BA57" s="185" t="s">
        <v>751</v>
      </c>
      <c r="BB57" s="185" t="s">
        <v>751</v>
      </c>
      <c r="BC57" s="185" t="s">
        <v>751</v>
      </c>
      <c r="BD57" s="185" t="s">
        <v>751</v>
      </c>
      <c r="BE57" s="701" t="s">
        <v>3658</v>
      </c>
      <c r="BF57" s="184"/>
    </row>
    <row r="58" spans="1:58" ht="409.5" x14ac:dyDescent="0.25">
      <c r="A58" s="643" t="s">
        <v>49</v>
      </c>
      <c r="B58" s="643" t="s">
        <v>249</v>
      </c>
      <c r="C58" s="643" t="s">
        <v>3701</v>
      </c>
      <c r="D58" s="709" t="s">
        <v>3702</v>
      </c>
      <c r="E58" s="643" t="s">
        <v>3703</v>
      </c>
      <c r="F58" s="643" t="s">
        <v>3704</v>
      </c>
      <c r="G58" s="643" t="s">
        <v>3705</v>
      </c>
      <c r="H58" s="643" t="s">
        <v>3706</v>
      </c>
      <c r="I58" s="643" t="s">
        <v>3707</v>
      </c>
      <c r="J58" s="643">
        <v>0</v>
      </c>
      <c r="K58" s="643" t="s">
        <v>3708</v>
      </c>
      <c r="L58" s="643">
        <v>1</v>
      </c>
      <c r="M58" s="666" t="s">
        <v>3706</v>
      </c>
      <c r="N58" s="666" t="s">
        <v>3709</v>
      </c>
      <c r="O58" s="666">
        <v>0</v>
      </c>
      <c r="P58" s="710">
        <v>100000</v>
      </c>
      <c r="Q58" s="710">
        <v>100000</v>
      </c>
      <c r="R58" s="666"/>
      <c r="S58" s="666"/>
      <c r="T58" s="666"/>
      <c r="U58" s="666"/>
      <c r="V58" s="666"/>
      <c r="W58" s="666"/>
      <c r="X58" s="666"/>
      <c r="Y58" s="666"/>
      <c r="Z58" s="666"/>
      <c r="AA58" s="666"/>
      <c r="AB58" s="666"/>
      <c r="AC58" s="666"/>
      <c r="AD58" s="666"/>
      <c r="AE58" s="710">
        <v>154745800</v>
      </c>
      <c r="AF58" s="666" t="s">
        <v>3710</v>
      </c>
      <c r="AG58" s="666" t="s">
        <v>3711</v>
      </c>
      <c r="AH58" s="666"/>
      <c r="AI58" s="666" t="s">
        <v>3712</v>
      </c>
      <c r="AJ58" s="711"/>
      <c r="AK58" s="666"/>
      <c r="AL58" s="666">
        <v>20</v>
      </c>
      <c r="AM58" s="666" t="s">
        <v>3713</v>
      </c>
      <c r="AN58" s="666" t="s">
        <v>3714</v>
      </c>
      <c r="AO58" s="666" t="s">
        <v>751</v>
      </c>
      <c r="AP58" s="666" t="s">
        <v>3715</v>
      </c>
      <c r="AQ58" s="666" t="s">
        <v>751</v>
      </c>
      <c r="AR58" s="666" t="s">
        <v>751</v>
      </c>
      <c r="AS58" s="666" t="s">
        <v>751</v>
      </c>
      <c r="AT58" s="666" t="s">
        <v>751</v>
      </c>
      <c r="AU58" s="666" t="s">
        <v>751</v>
      </c>
      <c r="AV58" s="666" t="s">
        <v>751</v>
      </c>
      <c r="AW58" s="666" t="s">
        <v>751</v>
      </c>
      <c r="AX58" s="666" t="s">
        <v>751</v>
      </c>
      <c r="AY58" s="666" t="s">
        <v>751</v>
      </c>
      <c r="AZ58" s="666" t="s">
        <v>751</v>
      </c>
      <c r="BA58" s="666" t="s">
        <v>751</v>
      </c>
      <c r="BB58" s="666" t="s">
        <v>751</v>
      </c>
      <c r="BC58" s="666" t="s">
        <v>751</v>
      </c>
      <c r="BD58" s="666" t="s">
        <v>751</v>
      </c>
      <c r="BE58" s="666" t="s">
        <v>3716</v>
      </c>
      <c r="BF58" s="666" t="s">
        <v>3717</v>
      </c>
    </row>
    <row r="59" spans="1:58" ht="375" x14ac:dyDescent="0.25">
      <c r="A59" s="662" t="s">
        <v>49</v>
      </c>
      <c r="B59" s="663" t="s">
        <v>249</v>
      </c>
      <c r="C59" s="945" t="s">
        <v>3718</v>
      </c>
      <c r="D59" s="945" t="s">
        <v>3719</v>
      </c>
      <c r="E59" s="945">
        <v>11016</v>
      </c>
      <c r="F59" s="664" t="s">
        <v>3720</v>
      </c>
      <c r="G59" s="948" t="s">
        <v>3721</v>
      </c>
      <c r="H59" s="651" t="s">
        <v>3722</v>
      </c>
      <c r="I59" s="651" t="s">
        <v>3723</v>
      </c>
      <c r="J59" s="643">
        <v>0</v>
      </c>
      <c r="K59" s="643" t="s">
        <v>2985</v>
      </c>
      <c r="L59" s="643">
        <v>1</v>
      </c>
      <c r="M59" s="712">
        <v>0.6</v>
      </c>
      <c r="N59" s="643" t="s">
        <v>3723</v>
      </c>
      <c r="O59" s="713">
        <v>83700</v>
      </c>
      <c r="P59" s="713">
        <v>13080</v>
      </c>
      <c r="Q59" s="185"/>
      <c r="R59" s="185"/>
      <c r="S59" s="185"/>
      <c r="T59" s="185"/>
      <c r="U59" s="185"/>
      <c r="V59" s="185"/>
      <c r="W59" s="185"/>
      <c r="X59" s="185"/>
      <c r="Y59" s="185"/>
      <c r="Z59" s="185"/>
      <c r="AA59" s="185"/>
      <c r="AB59" s="185"/>
      <c r="AC59" s="185"/>
      <c r="AD59" s="185"/>
      <c r="AE59" s="713">
        <v>83700</v>
      </c>
      <c r="AF59" s="714" t="s">
        <v>3724</v>
      </c>
      <c r="AG59" s="185"/>
      <c r="AH59" s="185"/>
      <c r="AI59" s="715">
        <v>0.6</v>
      </c>
      <c r="AJ59" s="715"/>
      <c r="AK59" s="715"/>
      <c r="AL59" s="715">
        <v>0</v>
      </c>
      <c r="AM59" s="185">
        <v>0</v>
      </c>
      <c r="AN59" s="185">
        <v>0</v>
      </c>
      <c r="AO59" s="185"/>
      <c r="AP59" s="666" t="s">
        <v>3725</v>
      </c>
      <c r="AQ59" s="185"/>
      <c r="AR59" s="185"/>
      <c r="AS59" s="666"/>
      <c r="AT59" s="666" t="s">
        <v>395</v>
      </c>
      <c r="AU59" s="666" t="s">
        <v>395</v>
      </c>
      <c r="AV59" s="666" t="s">
        <v>395</v>
      </c>
      <c r="AW59" s="666" t="s">
        <v>395</v>
      </c>
      <c r="AX59" s="666" t="s">
        <v>395</v>
      </c>
      <c r="AY59" s="666" t="s">
        <v>395</v>
      </c>
      <c r="AZ59" s="666" t="s">
        <v>395</v>
      </c>
      <c r="BA59" s="666" t="s">
        <v>395</v>
      </c>
      <c r="BB59" s="666" t="s">
        <v>395</v>
      </c>
      <c r="BC59" s="666" t="s">
        <v>395</v>
      </c>
      <c r="BD59" s="666" t="s">
        <v>395</v>
      </c>
      <c r="BE59" s="666" t="s">
        <v>3726</v>
      </c>
      <c r="BF59" s="671"/>
    </row>
    <row r="60" spans="1:58" ht="375" x14ac:dyDescent="0.25">
      <c r="A60" s="662" t="s">
        <v>49</v>
      </c>
      <c r="B60" s="663" t="s">
        <v>249</v>
      </c>
      <c r="C60" s="946"/>
      <c r="D60" s="946"/>
      <c r="E60" s="946"/>
      <c r="F60" s="664" t="s">
        <v>3720</v>
      </c>
      <c r="G60" s="949"/>
      <c r="H60" s="651" t="s">
        <v>3727</v>
      </c>
      <c r="I60" s="651" t="s">
        <v>3728</v>
      </c>
      <c r="J60" s="643">
        <v>0</v>
      </c>
      <c r="K60" s="177" t="s">
        <v>3004</v>
      </c>
      <c r="L60" s="643">
        <v>126</v>
      </c>
      <c r="M60" s="712">
        <v>42</v>
      </c>
      <c r="N60" s="643" t="s">
        <v>3728</v>
      </c>
      <c r="O60" s="713">
        <v>30000</v>
      </c>
      <c r="P60" s="713">
        <v>43018</v>
      </c>
      <c r="Q60" s="185"/>
      <c r="R60" s="185"/>
      <c r="S60" s="185"/>
      <c r="T60" s="185"/>
      <c r="U60" s="185"/>
      <c r="V60" s="185"/>
      <c r="W60" s="185"/>
      <c r="X60" s="185"/>
      <c r="Y60" s="185"/>
      <c r="Z60" s="185"/>
      <c r="AA60" s="185"/>
      <c r="AB60" s="185"/>
      <c r="AC60" s="185"/>
      <c r="AD60" s="185"/>
      <c r="AE60" s="713">
        <v>30000</v>
      </c>
      <c r="AF60" s="714" t="s">
        <v>3724</v>
      </c>
      <c r="AG60" s="185"/>
      <c r="AH60" s="185"/>
      <c r="AI60" s="715">
        <v>42</v>
      </c>
      <c r="AJ60" s="715"/>
      <c r="AK60" s="715"/>
      <c r="AL60" s="715">
        <v>42</v>
      </c>
      <c r="AM60" s="185" t="s">
        <v>397</v>
      </c>
      <c r="AN60" s="185">
        <v>900</v>
      </c>
      <c r="AO60" s="185"/>
      <c r="AP60" s="666" t="s">
        <v>3729</v>
      </c>
      <c r="AQ60" s="185"/>
      <c r="AR60" s="185"/>
      <c r="AS60" s="185"/>
      <c r="AT60" s="666" t="s">
        <v>395</v>
      </c>
      <c r="AU60" s="666" t="s">
        <v>395</v>
      </c>
      <c r="AV60" s="666" t="s">
        <v>395</v>
      </c>
      <c r="AW60" s="666" t="s">
        <v>395</v>
      </c>
      <c r="AX60" s="666" t="s">
        <v>395</v>
      </c>
      <c r="AY60" s="666" t="s">
        <v>395</v>
      </c>
      <c r="AZ60" s="666" t="s">
        <v>395</v>
      </c>
      <c r="BA60" s="666" t="s">
        <v>395</v>
      </c>
      <c r="BB60" s="666" t="s">
        <v>395</v>
      </c>
      <c r="BC60" s="666" t="s">
        <v>395</v>
      </c>
      <c r="BD60" s="666" t="s">
        <v>395</v>
      </c>
      <c r="BE60" s="185" t="s">
        <v>3730</v>
      </c>
      <c r="BF60" s="675" t="s">
        <v>3731</v>
      </c>
    </row>
    <row r="61" spans="1:58" ht="375" x14ac:dyDescent="0.25">
      <c r="A61" s="662" t="s">
        <v>49</v>
      </c>
      <c r="B61" s="663" t="s">
        <v>249</v>
      </c>
      <c r="C61" s="946"/>
      <c r="D61" s="946"/>
      <c r="E61" s="946"/>
      <c r="F61" s="664" t="s">
        <v>3720</v>
      </c>
      <c r="G61" s="949"/>
      <c r="H61" s="651" t="s">
        <v>3732</v>
      </c>
      <c r="I61" s="651" t="s">
        <v>3733</v>
      </c>
      <c r="J61" s="177">
        <v>0</v>
      </c>
      <c r="K61" s="643" t="s">
        <v>2985</v>
      </c>
      <c r="L61" s="704">
        <v>1</v>
      </c>
      <c r="M61" s="716">
        <v>0.25</v>
      </c>
      <c r="N61" s="643" t="s">
        <v>3733</v>
      </c>
      <c r="O61" s="713">
        <v>15000</v>
      </c>
      <c r="P61" s="713">
        <v>25100</v>
      </c>
      <c r="Q61" s="185"/>
      <c r="R61" s="185"/>
      <c r="S61" s="185"/>
      <c r="T61" s="185"/>
      <c r="U61" s="185"/>
      <c r="V61" s="185"/>
      <c r="W61" s="185"/>
      <c r="X61" s="185"/>
      <c r="Y61" s="185"/>
      <c r="Z61" s="185"/>
      <c r="AA61" s="185"/>
      <c r="AB61" s="185"/>
      <c r="AC61" s="185"/>
      <c r="AD61" s="185"/>
      <c r="AE61" s="713">
        <v>15000</v>
      </c>
      <c r="AF61" s="714" t="s">
        <v>3724</v>
      </c>
      <c r="AG61" s="185"/>
      <c r="AH61" s="185"/>
      <c r="AI61" s="717">
        <v>0.25</v>
      </c>
      <c r="AJ61" s="717"/>
      <c r="AK61" s="717"/>
      <c r="AL61" s="717">
        <v>0.25</v>
      </c>
      <c r="AM61" s="185">
        <v>0</v>
      </c>
      <c r="AN61" s="185">
        <v>0</v>
      </c>
      <c r="AO61" s="185"/>
      <c r="AP61" s="666" t="s">
        <v>3734</v>
      </c>
      <c r="AQ61" s="185"/>
      <c r="AR61" s="185"/>
      <c r="AS61" s="185"/>
      <c r="AT61" s="666" t="s">
        <v>395</v>
      </c>
      <c r="AU61" s="666" t="s">
        <v>395</v>
      </c>
      <c r="AV61" s="666" t="s">
        <v>395</v>
      </c>
      <c r="AW61" s="666" t="s">
        <v>395</v>
      </c>
      <c r="AX61" s="666" t="s">
        <v>395</v>
      </c>
      <c r="AY61" s="666" t="s">
        <v>395</v>
      </c>
      <c r="AZ61" s="666" t="s">
        <v>395</v>
      </c>
      <c r="BA61" s="666" t="s">
        <v>395</v>
      </c>
      <c r="BB61" s="666" t="s">
        <v>395</v>
      </c>
      <c r="BC61" s="666" t="s">
        <v>395</v>
      </c>
      <c r="BD61" s="666" t="s">
        <v>395</v>
      </c>
      <c r="BE61" s="666" t="s">
        <v>3726</v>
      </c>
      <c r="BF61" s="671"/>
    </row>
    <row r="62" spans="1:58" ht="405" x14ac:dyDescent="0.25">
      <c r="A62" s="662" t="s">
        <v>49</v>
      </c>
      <c r="B62" s="663" t="s">
        <v>249</v>
      </c>
      <c r="C62" s="946"/>
      <c r="D62" s="946"/>
      <c r="E62" s="946"/>
      <c r="F62" s="664" t="s">
        <v>3720</v>
      </c>
      <c r="G62" s="949"/>
      <c r="H62" s="651" t="s">
        <v>3735</v>
      </c>
      <c r="I62" s="651" t="s">
        <v>3736</v>
      </c>
      <c r="J62" s="643">
        <v>0</v>
      </c>
      <c r="K62" s="643" t="s">
        <v>2985</v>
      </c>
      <c r="L62" s="643">
        <v>42</v>
      </c>
      <c r="M62" s="712">
        <v>9</v>
      </c>
      <c r="N62" s="643" t="s">
        <v>3736</v>
      </c>
      <c r="O62" s="713">
        <v>64884</v>
      </c>
      <c r="P62" s="713">
        <v>72917.850999999995</v>
      </c>
      <c r="Q62" s="185"/>
      <c r="R62" s="185"/>
      <c r="S62" s="185"/>
      <c r="T62" s="185"/>
      <c r="U62" s="185"/>
      <c r="V62" s="185"/>
      <c r="W62" s="185"/>
      <c r="X62" s="185"/>
      <c r="Y62" s="185"/>
      <c r="Z62" s="185"/>
      <c r="AA62" s="185"/>
      <c r="AB62" s="185"/>
      <c r="AC62" s="185"/>
      <c r="AD62" s="185"/>
      <c r="AE62" s="713">
        <v>64884</v>
      </c>
      <c r="AF62" s="714" t="s">
        <v>3724</v>
      </c>
      <c r="AG62" s="185"/>
      <c r="AH62" s="185"/>
      <c r="AI62" s="715">
        <v>9</v>
      </c>
      <c r="AJ62" s="715"/>
      <c r="AK62" s="715"/>
      <c r="AL62" s="715">
        <v>9</v>
      </c>
      <c r="AM62" s="185" t="s">
        <v>397</v>
      </c>
      <c r="AN62" s="185">
        <v>900</v>
      </c>
      <c r="AO62" s="185"/>
      <c r="AP62" s="666" t="s">
        <v>3737</v>
      </c>
      <c r="AQ62" s="185"/>
      <c r="AR62" s="185"/>
      <c r="AS62" s="185"/>
      <c r="AT62" s="666" t="s">
        <v>395</v>
      </c>
      <c r="AU62" s="666" t="s">
        <v>395</v>
      </c>
      <c r="AV62" s="666" t="s">
        <v>395</v>
      </c>
      <c r="AW62" s="666" t="s">
        <v>395</v>
      </c>
      <c r="AX62" s="666" t="s">
        <v>395</v>
      </c>
      <c r="AY62" s="666" t="s">
        <v>395</v>
      </c>
      <c r="AZ62" s="666" t="s">
        <v>395</v>
      </c>
      <c r="BA62" s="666" t="s">
        <v>395</v>
      </c>
      <c r="BB62" s="666" t="s">
        <v>395</v>
      </c>
      <c r="BC62" s="666" t="s">
        <v>395</v>
      </c>
      <c r="BD62" s="666" t="s">
        <v>395</v>
      </c>
      <c r="BE62" s="666" t="s">
        <v>3726</v>
      </c>
      <c r="BF62" s="671"/>
    </row>
    <row r="63" spans="1:58" ht="375" x14ac:dyDescent="0.25">
      <c r="A63" s="662" t="s">
        <v>49</v>
      </c>
      <c r="B63" s="663" t="s">
        <v>249</v>
      </c>
      <c r="C63" s="946"/>
      <c r="D63" s="946"/>
      <c r="E63" s="946"/>
      <c r="F63" s="664" t="s">
        <v>3720</v>
      </c>
      <c r="G63" s="949"/>
      <c r="H63" s="651" t="s">
        <v>3738</v>
      </c>
      <c r="I63" s="651" t="s">
        <v>3739</v>
      </c>
      <c r="J63" s="643">
        <v>0</v>
      </c>
      <c r="K63" s="643" t="s">
        <v>2985</v>
      </c>
      <c r="L63" s="643">
        <v>28</v>
      </c>
      <c r="M63" s="712">
        <v>7</v>
      </c>
      <c r="N63" s="643" t="s">
        <v>3739</v>
      </c>
      <c r="O63" s="713">
        <v>88970</v>
      </c>
      <c r="P63" s="713">
        <v>116000</v>
      </c>
      <c r="Q63" s="185"/>
      <c r="R63" s="185"/>
      <c r="S63" s="185"/>
      <c r="T63" s="185"/>
      <c r="U63" s="185"/>
      <c r="V63" s="185"/>
      <c r="W63" s="185"/>
      <c r="X63" s="185"/>
      <c r="Y63" s="185"/>
      <c r="Z63" s="185"/>
      <c r="AA63" s="185"/>
      <c r="AB63" s="185"/>
      <c r="AC63" s="185"/>
      <c r="AD63" s="185"/>
      <c r="AE63" s="713">
        <v>88970</v>
      </c>
      <c r="AF63" s="714" t="s">
        <v>3724</v>
      </c>
      <c r="AG63" s="185"/>
      <c r="AH63" s="185"/>
      <c r="AI63" s="715">
        <v>7</v>
      </c>
      <c r="AJ63" s="715"/>
      <c r="AK63" s="715"/>
      <c r="AL63" s="715">
        <v>7</v>
      </c>
      <c r="AM63" s="185" t="s">
        <v>397</v>
      </c>
      <c r="AN63" s="185">
        <v>200</v>
      </c>
      <c r="AO63" s="185"/>
      <c r="AP63" s="666" t="s">
        <v>3740</v>
      </c>
      <c r="AQ63" s="185"/>
      <c r="AR63" s="185"/>
      <c r="AS63" s="185"/>
      <c r="AT63" s="666" t="s">
        <v>395</v>
      </c>
      <c r="AU63" s="666" t="s">
        <v>395</v>
      </c>
      <c r="AV63" s="666" t="s">
        <v>395</v>
      </c>
      <c r="AW63" s="666" t="s">
        <v>395</v>
      </c>
      <c r="AX63" s="666" t="s">
        <v>395</v>
      </c>
      <c r="AY63" s="666" t="s">
        <v>395</v>
      </c>
      <c r="AZ63" s="666" t="s">
        <v>395</v>
      </c>
      <c r="BA63" s="666" t="s">
        <v>395</v>
      </c>
      <c r="BB63" s="666" t="s">
        <v>395</v>
      </c>
      <c r="BC63" s="666" t="s">
        <v>395</v>
      </c>
      <c r="BD63" s="666" t="s">
        <v>395</v>
      </c>
      <c r="BE63" s="185" t="s">
        <v>3741</v>
      </c>
      <c r="BF63" s="675" t="s">
        <v>3731</v>
      </c>
    </row>
    <row r="64" spans="1:58" ht="315" x14ac:dyDescent="0.25">
      <c r="A64" s="688" t="s">
        <v>49</v>
      </c>
      <c r="B64" s="645" t="s">
        <v>249</v>
      </c>
      <c r="C64" s="873" t="s">
        <v>3742</v>
      </c>
      <c r="D64" s="873" t="s">
        <v>3743</v>
      </c>
      <c r="E64" s="873" t="s">
        <v>3744</v>
      </c>
      <c r="F64" s="646" t="s">
        <v>3745</v>
      </c>
      <c r="G64" s="974" t="s">
        <v>3746</v>
      </c>
      <c r="H64" s="643" t="s">
        <v>3747</v>
      </c>
      <c r="I64" s="643" t="s">
        <v>3748</v>
      </c>
      <c r="J64" s="177">
        <v>0</v>
      </c>
      <c r="K64" s="177" t="s">
        <v>323</v>
      </c>
      <c r="L64" s="177">
        <v>1</v>
      </c>
      <c r="M64" s="177">
        <v>0.45</v>
      </c>
      <c r="N64" s="643" t="s">
        <v>3748</v>
      </c>
      <c r="O64" s="718">
        <v>30000</v>
      </c>
      <c r="P64" s="245">
        <v>30000</v>
      </c>
      <c r="Q64" s="185"/>
      <c r="R64" s="185"/>
      <c r="S64" s="185"/>
      <c r="T64" s="185"/>
      <c r="U64" s="185"/>
      <c r="V64" s="185"/>
      <c r="W64" s="185"/>
      <c r="X64" s="185"/>
      <c r="Y64" s="185"/>
      <c r="Z64" s="185"/>
      <c r="AA64" s="185"/>
      <c r="AB64" s="185"/>
      <c r="AC64" s="185"/>
      <c r="AD64" s="185"/>
      <c r="AE64" s="185">
        <v>60000</v>
      </c>
      <c r="AF64" s="230" t="s">
        <v>3749</v>
      </c>
      <c r="AG64" s="185"/>
      <c r="AH64" s="666" t="s">
        <v>3750</v>
      </c>
      <c r="AI64" s="666" t="s">
        <v>3751</v>
      </c>
      <c r="AJ64" s="666" t="s">
        <v>3751</v>
      </c>
      <c r="AK64" s="666" t="s">
        <v>3751</v>
      </c>
      <c r="AL64" s="185">
        <v>42</v>
      </c>
      <c r="AM64" s="666" t="s">
        <v>3365</v>
      </c>
      <c r="AN64" s="185">
        <v>500</v>
      </c>
      <c r="AO64" s="185"/>
      <c r="AP64" s="643" t="s">
        <v>3752</v>
      </c>
      <c r="AQ64" s="185"/>
      <c r="AR64" s="185"/>
      <c r="AS64" s="185"/>
      <c r="AT64" s="185" t="s">
        <v>395</v>
      </c>
      <c r="AU64" s="185" t="s">
        <v>395</v>
      </c>
      <c r="AV64" s="185" t="s">
        <v>395</v>
      </c>
      <c r="AW64" s="185" t="s">
        <v>395</v>
      </c>
      <c r="AX64" s="185" t="s">
        <v>395</v>
      </c>
      <c r="AY64" s="185" t="s">
        <v>395</v>
      </c>
      <c r="AZ64" s="185" t="s">
        <v>395</v>
      </c>
      <c r="BA64" s="185" t="s">
        <v>395</v>
      </c>
      <c r="BB64" s="185" t="s">
        <v>395</v>
      </c>
      <c r="BC64" s="185" t="s">
        <v>395</v>
      </c>
      <c r="BD64" s="185" t="s">
        <v>395</v>
      </c>
      <c r="BE64" s="666" t="s">
        <v>3753</v>
      </c>
      <c r="BF64" s="675" t="s">
        <v>3754</v>
      </c>
    </row>
    <row r="65" spans="1:58" ht="315" x14ac:dyDescent="0.25">
      <c r="A65" s="688" t="s">
        <v>49</v>
      </c>
      <c r="B65" s="645" t="s">
        <v>249</v>
      </c>
      <c r="C65" s="874"/>
      <c r="D65" s="874"/>
      <c r="E65" s="874"/>
      <c r="F65" s="646" t="s">
        <v>3745</v>
      </c>
      <c r="G65" s="975"/>
      <c r="H65" s="719" t="s">
        <v>3755</v>
      </c>
      <c r="I65" s="643" t="s">
        <v>3756</v>
      </c>
      <c r="J65" s="643" t="s">
        <v>3757</v>
      </c>
      <c r="K65" s="177" t="s">
        <v>323</v>
      </c>
      <c r="L65" s="643">
        <v>1</v>
      </c>
      <c r="M65" s="643">
        <v>0.2</v>
      </c>
      <c r="N65" s="643" t="s">
        <v>3756</v>
      </c>
      <c r="O65" s="718">
        <v>17000</v>
      </c>
      <c r="P65" s="245">
        <v>10347</v>
      </c>
      <c r="Q65" s="185"/>
      <c r="R65" s="185"/>
      <c r="S65" s="185"/>
      <c r="T65" s="185"/>
      <c r="U65" s="185"/>
      <c r="V65" s="185"/>
      <c r="W65" s="185"/>
      <c r="X65" s="185"/>
      <c r="Y65" s="185"/>
      <c r="Z65" s="185"/>
      <c r="AA65" s="185"/>
      <c r="AB65" s="185"/>
      <c r="AC65" s="185"/>
      <c r="AD65" s="185"/>
      <c r="AE65" s="185">
        <v>66000</v>
      </c>
      <c r="AF65" s="230" t="s">
        <v>3749</v>
      </c>
      <c r="AG65" s="185"/>
      <c r="AH65" s="666" t="s">
        <v>3750</v>
      </c>
      <c r="AI65" s="666" t="s">
        <v>3751</v>
      </c>
      <c r="AJ65" s="666" t="s">
        <v>3751</v>
      </c>
      <c r="AK65" s="666" t="s">
        <v>3751</v>
      </c>
      <c r="AL65" s="185">
        <v>42</v>
      </c>
      <c r="AM65" s="666" t="s">
        <v>3365</v>
      </c>
      <c r="AN65" s="185">
        <v>100</v>
      </c>
      <c r="AO65" s="185"/>
      <c r="AP65" s="643" t="s">
        <v>3758</v>
      </c>
      <c r="AQ65" s="185"/>
      <c r="AR65" s="185"/>
      <c r="AS65" s="185" t="s">
        <v>395</v>
      </c>
      <c r="AT65" s="185" t="s">
        <v>395</v>
      </c>
      <c r="AU65" s="185" t="s">
        <v>395</v>
      </c>
      <c r="AV65" s="185" t="s">
        <v>395</v>
      </c>
      <c r="AW65" s="185" t="s">
        <v>395</v>
      </c>
      <c r="AX65" s="185" t="s">
        <v>395</v>
      </c>
      <c r="AY65" s="185" t="s">
        <v>395</v>
      </c>
      <c r="AZ65" s="185" t="s">
        <v>395</v>
      </c>
      <c r="BA65" s="185" t="s">
        <v>395</v>
      </c>
      <c r="BB65" s="185" t="s">
        <v>395</v>
      </c>
      <c r="BC65" s="185" t="s">
        <v>395</v>
      </c>
      <c r="BD65" s="185" t="s">
        <v>395</v>
      </c>
      <c r="BE65" s="666" t="s">
        <v>3753</v>
      </c>
      <c r="BF65" s="675" t="s">
        <v>3754</v>
      </c>
    </row>
    <row r="66" spans="1:58" ht="315" x14ac:dyDescent="0.25">
      <c r="A66" s="688" t="s">
        <v>49</v>
      </c>
      <c r="B66" s="645" t="s">
        <v>249</v>
      </c>
      <c r="C66" s="874"/>
      <c r="D66" s="874"/>
      <c r="E66" s="874"/>
      <c r="F66" s="646" t="s">
        <v>3745</v>
      </c>
      <c r="G66" s="975"/>
      <c r="H66" s="643" t="s">
        <v>3759</v>
      </c>
      <c r="I66" s="643" t="s">
        <v>3760</v>
      </c>
      <c r="J66" s="643">
        <v>0</v>
      </c>
      <c r="K66" s="177" t="s">
        <v>323</v>
      </c>
      <c r="L66" s="643">
        <v>16</v>
      </c>
      <c r="M66" s="643">
        <v>8</v>
      </c>
      <c r="N66" s="643" t="s">
        <v>3760</v>
      </c>
      <c r="O66" s="718">
        <v>244000</v>
      </c>
      <c r="P66" s="245">
        <v>38947</v>
      </c>
      <c r="Q66" s="185"/>
      <c r="R66" s="185"/>
      <c r="S66" s="185"/>
      <c r="T66" s="185"/>
      <c r="U66" s="185"/>
      <c r="V66" s="185"/>
      <c r="W66" s="185"/>
      <c r="X66" s="185"/>
      <c r="Y66" s="185"/>
      <c r="Z66" s="185"/>
      <c r="AA66" s="185"/>
      <c r="AB66" s="185"/>
      <c r="AC66" s="185"/>
      <c r="AD66" s="185"/>
      <c r="AE66" s="185">
        <v>40000</v>
      </c>
      <c r="AF66" s="230" t="s">
        <v>3749</v>
      </c>
      <c r="AG66" s="185"/>
      <c r="AH66" s="666" t="s">
        <v>3761</v>
      </c>
      <c r="AI66" s="666" t="s">
        <v>3751</v>
      </c>
      <c r="AJ66" s="666" t="s">
        <v>3751</v>
      </c>
      <c r="AK66" s="666" t="s">
        <v>3751</v>
      </c>
      <c r="AL66" s="185">
        <v>42</v>
      </c>
      <c r="AM66" s="666" t="s">
        <v>3365</v>
      </c>
      <c r="AN66" s="185">
        <v>400</v>
      </c>
      <c r="AO66" s="185"/>
      <c r="AP66" s="643" t="s">
        <v>3762</v>
      </c>
      <c r="AQ66" s="185"/>
      <c r="AR66" s="185"/>
      <c r="AS66" s="185"/>
      <c r="AT66" s="185" t="s">
        <v>395</v>
      </c>
      <c r="AU66" s="185" t="s">
        <v>395</v>
      </c>
      <c r="AV66" s="185" t="s">
        <v>395</v>
      </c>
      <c r="AW66" s="185" t="s">
        <v>395</v>
      </c>
      <c r="AX66" s="185"/>
      <c r="AY66" s="185"/>
      <c r="AZ66" s="185"/>
      <c r="BA66" s="185" t="s">
        <v>395</v>
      </c>
      <c r="BB66" s="185" t="s">
        <v>395</v>
      </c>
      <c r="BC66" s="185" t="s">
        <v>395</v>
      </c>
      <c r="BD66" s="185" t="s">
        <v>395</v>
      </c>
      <c r="BE66" s="666" t="s">
        <v>3753</v>
      </c>
      <c r="BF66" s="675" t="s">
        <v>3754</v>
      </c>
    </row>
    <row r="67" spans="1:58" ht="315.75" thickBot="1" x14ac:dyDescent="0.3">
      <c r="A67" s="720" t="s">
        <v>49</v>
      </c>
      <c r="B67" s="644" t="s">
        <v>249</v>
      </c>
      <c r="C67" s="977"/>
      <c r="D67" s="977"/>
      <c r="E67" s="977"/>
      <c r="F67" s="721" t="s">
        <v>3745</v>
      </c>
      <c r="G67" s="978"/>
      <c r="H67" s="644" t="s">
        <v>3763</v>
      </c>
      <c r="I67" s="644" t="s">
        <v>3764</v>
      </c>
      <c r="J67" s="644" t="s">
        <v>3765</v>
      </c>
      <c r="K67" s="722" t="s">
        <v>323</v>
      </c>
      <c r="L67" s="644">
        <v>20</v>
      </c>
      <c r="M67" s="644">
        <v>7</v>
      </c>
      <c r="N67" s="644" t="s">
        <v>3764</v>
      </c>
      <c r="O67" s="723">
        <v>53160</v>
      </c>
      <c r="P67" s="724">
        <v>35947</v>
      </c>
      <c r="Q67" s="725"/>
      <c r="R67" s="725"/>
      <c r="S67" s="725"/>
      <c r="T67" s="725"/>
      <c r="U67" s="725"/>
      <c r="V67" s="725"/>
      <c r="W67" s="725"/>
      <c r="X67" s="725"/>
      <c r="Y67" s="725"/>
      <c r="Z67" s="725"/>
      <c r="AA67" s="725"/>
      <c r="AB67" s="725"/>
      <c r="AC67" s="725"/>
      <c r="AD67" s="725"/>
      <c r="AE67" s="725">
        <v>70000</v>
      </c>
      <c r="AF67" s="726" t="s">
        <v>3749</v>
      </c>
      <c r="AG67" s="725"/>
      <c r="AH67" s="727" t="s">
        <v>3761</v>
      </c>
      <c r="AI67" s="727" t="s">
        <v>3751</v>
      </c>
      <c r="AJ67" s="727" t="s">
        <v>3751</v>
      </c>
      <c r="AK67" s="727" t="s">
        <v>3751</v>
      </c>
      <c r="AL67" s="725">
        <v>42</v>
      </c>
      <c r="AM67" s="727" t="s">
        <v>3365</v>
      </c>
      <c r="AN67" s="725">
        <v>350</v>
      </c>
      <c r="AO67" s="725"/>
      <c r="AP67" s="644" t="s">
        <v>3766</v>
      </c>
      <c r="AQ67" s="725"/>
      <c r="AR67" s="725"/>
      <c r="AS67" s="725"/>
      <c r="AT67" s="725" t="s">
        <v>395</v>
      </c>
      <c r="AU67" s="725" t="s">
        <v>395</v>
      </c>
      <c r="AV67" s="725"/>
      <c r="AW67" s="725"/>
      <c r="AX67" s="725" t="s">
        <v>395</v>
      </c>
      <c r="AY67" s="725"/>
      <c r="AZ67" s="725"/>
      <c r="BA67" s="725"/>
      <c r="BB67" s="725" t="s">
        <v>395</v>
      </c>
      <c r="BC67" s="725" t="s">
        <v>395</v>
      </c>
      <c r="BD67" s="725" t="s">
        <v>395</v>
      </c>
      <c r="BE67" s="727" t="s">
        <v>3753</v>
      </c>
      <c r="BF67" s="728" t="s">
        <v>3754</v>
      </c>
    </row>
  </sheetData>
  <sheetProtection password="C71C" sheet="1" objects="1" scenarios="1"/>
  <mergeCells count="72">
    <mergeCell ref="C59:C63"/>
    <mergeCell ref="D59:D63"/>
    <mergeCell ref="E59:E63"/>
    <mergeCell ref="G59:G63"/>
    <mergeCell ref="C64:C67"/>
    <mergeCell ref="D64:D67"/>
    <mergeCell ref="E64:E67"/>
    <mergeCell ref="G64:G67"/>
    <mergeCell ref="G37:G40"/>
    <mergeCell ref="G41:G47"/>
    <mergeCell ref="C48:C57"/>
    <mergeCell ref="D48:D57"/>
    <mergeCell ref="E48:E57"/>
    <mergeCell ref="G48:G51"/>
    <mergeCell ref="G52:G53"/>
    <mergeCell ref="G54:G57"/>
    <mergeCell ref="C31:C34"/>
    <mergeCell ref="D31:D34"/>
    <mergeCell ref="E31:E34"/>
    <mergeCell ref="G31:G34"/>
    <mergeCell ref="C35:C36"/>
    <mergeCell ref="D35:D36"/>
    <mergeCell ref="E35:E36"/>
    <mergeCell ref="G35:G36"/>
    <mergeCell ref="C23:C26"/>
    <mergeCell ref="D23:D26"/>
    <mergeCell ref="E23:E26"/>
    <mergeCell ref="G23:G30"/>
    <mergeCell ref="C27:C30"/>
    <mergeCell ref="D27:D30"/>
    <mergeCell ref="E27:E30"/>
    <mergeCell ref="BF14:BF15"/>
    <mergeCell ref="C16:C19"/>
    <mergeCell ref="D16:D19"/>
    <mergeCell ref="E16:E19"/>
    <mergeCell ref="G16:G19"/>
    <mergeCell ref="AS14:BD14"/>
    <mergeCell ref="BE14:BE15"/>
    <mergeCell ref="AQ14:AQ15"/>
    <mergeCell ref="H14:H15"/>
    <mergeCell ref="I14:I15"/>
    <mergeCell ref="J14:J15"/>
    <mergeCell ref="K14:K15"/>
    <mergeCell ref="L14:L15"/>
    <mergeCell ref="F14:F15"/>
    <mergeCell ref="C20:C22"/>
    <mergeCell ref="D20:D22"/>
    <mergeCell ref="E20:E22"/>
    <mergeCell ref="G20:G22"/>
    <mergeCell ref="AP14:AP15"/>
    <mergeCell ref="AL14:AL15"/>
    <mergeCell ref="AM14:AM15"/>
    <mergeCell ref="AN14:AN15"/>
    <mergeCell ref="AO14:AO15"/>
    <mergeCell ref="M14:M15"/>
    <mergeCell ref="N14:O14"/>
    <mergeCell ref="P14:P15"/>
    <mergeCell ref="Q14:AD14"/>
    <mergeCell ref="AF14:AF15"/>
    <mergeCell ref="AG14:AG15"/>
    <mergeCell ref="G14:G15"/>
    <mergeCell ref="A14:A15"/>
    <mergeCell ref="B14:B15"/>
    <mergeCell ref="C14:C15"/>
    <mergeCell ref="D14:D15"/>
    <mergeCell ref="E14:E15"/>
    <mergeCell ref="A11:M11"/>
    <mergeCell ref="A2:L2"/>
    <mergeCell ref="A3:L3"/>
    <mergeCell ref="A5:L5"/>
    <mergeCell ref="A6:L6"/>
    <mergeCell ref="A9:M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4"/>
  <sheetViews>
    <sheetView topLeftCell="A6" workbookViewId="0">
      <selection activeCell="J16" sqref="J16"/>
    </sheetView>
  </sheetViews>
  <sheetFormatPr baseColWidth="10" defaultRowHeight="15" x14ac:dyDescent="0.25"/>
  <cols>
    <col min="38" max="49" width="4.7109375" customWidth="1"/>
  </cols>
  <sheetData>
    <row r="1" spans="1:58"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8" ht="18" x14ac:dyDescent="0.25">
      <c r="A2" s="910" t="s">
        <v>0</v>
      </c>
      <c r="B2" s="910"/>
      <c r="C2" s="910"/>
      <c r="D2" s="910"/>
      <c r="E2" s="910"/>
      <c r="F2" s="910"/>
      <c r="G2" s="910"/>
      <c r="H2" s="910"/>
      <c r="I2" s="910"/>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8" ht="18" x14ac:dyDescent="0.25">
      <c r="A3" s="911" t="s">
        <v>1</v>
      </c>
      <c r="B3" s="911"/>
      <c r="C3" s="911"/>
      <c r="D3" s="911"/>
      <c r="E3" s="911"/>
      <c r="F3" s="911"/>
      <c r="G3" s="911"/>
      <c r="H3" s="911"/>
      <c r="I3" s="911"/>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8" x14ac:dyDescent="0.25">
      <c r="A4" s="131"/>
      <c r="B4" s="126"/>
      <c r="C4" s="126"/>
      <c r="D4" s="126"/>
      <c r="E4" s="126"/>
      <c r="F4" s="126"/>
      <c r="G4" s="126"/>
      <c r="H4" s="127"/>
      <c r="I4" s="126"/>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8" ht="18" x14ac:dyDescent="0.25">
      <c r="A5" s="912" t="s">
        <v>2</v>
      </c>
      <c r="B5" s="912"/>
      <c r="C5" s="912"/>
      <c r="D5" s="912"/>
      <c r="E5" s="912"/>
      <c r="F5" s="912"/>
      <c r="G5" s="912"/>
      <c r="H5" s="912"/>
      <c r="I5" s="912"/>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8" ht="18" x14ac:dyDescent="0.25">
      <c r="A6" s="910" t="s">
        <v>2125</v>
      </c>
      <c r="B6" s="910"/>
      <c r="C6" s="910"/>
      <c r="D6" s="910"/>
      <c r="E6" s="910"/>
      <c r="F6" s="910"/>
      <c r="G6" s="910"/>
      <c r="H6" s="910"/>
      <c r="I6" s="910"/>
      <c r="J6" s="910"/>
      <c r="K6" s="910"/>
      <c r="L6" s="910"/>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8" ht="18" x14ac:dyDescent="0.25">
      <c r="A7" s="133"/>
      <c r="B7" s="133"/>
      <c r="C7" s="133"/>
      <c r="D7" s="133"/>
      <c r="E7" s="133"/>
      <c r="F7" s="133"/>
      <c r="G7" s="133"/>
      <c r="H7" s="133"/>
      <c r="I7" s="133"/>
      <c r="J7" s="133"/>
      <c r="K7" s="133"/>
      <c r="L7" s="133"/>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8" ht="18" x14ac:dyDescent="0.25">
      <c r="A8" s="133"/>
      <c r="B8" s="133"/>
      <c r="C8" s="133"/>
      <c r="D8" s="133"/>
      <c r="E8" s="133"/>
      <c r="F8" s="133"/>
      <c r="G8" s="133"/>
      <c r="H8" s="133"/>
      <c r="I8" s="133"/>
      <c r="J8" s="133"/>
      <c r="K8" s="133"/>
      <c r="L8" s="133"/>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8" x14ac:dyDescent="0.25">
      <c r="A9" s="861" t="s">
        <v>2871</v>
      </c>
      <c r="B9" s="861"/>
      <c r="C9" s="861"/>
      <c r="D9" s="861"/>
      <c r="E9" s="861"/>
      <c r="F9" s="861"/>
      <c r="G9" s="861"/>
      <c r="H9" s="861"/>
      <c r="I9" s="861"/>
      <c r="J9" s="861"/>
      <c r="K9" s="861"/>
      <c r="L9" s="861"/>
      <c r="M9" s="861"/>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8" ht="18" x14ac:dyDescent="0.25">
      <c r="A10" s="135"/>
      <c r="B10" s="135"/>
      <c r="C10" s="135"/>
      <c r="D10" s="135"/>
      <c r="E10" s="135"/>
      <c r="F10" s="133"/>
      <c r="G10" s="133"/>
      <c r="H10" s="133"/>
      <c r="I10" s="133"/>
      <c r="J10" s="133"/>
      <c r="K10" s="133"/>
      <c r="L10" s="133"/>
      <c r="M10" s="133"/>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8" x14ac:dyDescent="0.25">
      <c r="A11" s="861" t="s">
        <v>2872</v>
      </c>
      <c r="B11" s="861"/>
      <c r="C11" s="861"/>
      <c r="D11" s="861"/>
      <c r="E11" s="861"/>
      <c r="F11" s="861"/>
      <c r="G11" s="861"/>
      <c r="H11" s="861"/>
      <c r="I11" s="861"/>
      <c r="J11" s="861"/>
      <c r="K11" s="861"/>
      <c r="L11" s="861"/>
      <c r="M11" s="861"/>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row>
    <row r="12" spans="1:58" ht="18" x14ac:dyDescent="0.25">
      <c r="A12" s="133"/>
      <c r="B12" s="133"/>
      <c r="C12" s="133"/>
      <c r="D12" s="133"/>
      <c r="E12" s="133"/>
      <c r="F12" s="133"/>
      <c r="G12" s="133"/>
      <c r="H12" s="133"/>
      <c r="I12" s="133"/>
      <c r="J12" s="133"/>
      <c r="K12" s="133"/>
      <c r="L12" s="133"/>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8" x14ac:dyDescent="0.25">
      <c r="A13" s="126"/>
      <c r="B13" s="126"/>
      <c r="C13" s="126"/>
      <c r="D13" s="126"/>
      <c r="E13" s="126"/>
      <c r="F13" s="126"/>
      <c r="G13" s="126"/>
      <c r="H13" s="127"/>
      <c r="I13" s="126"/>
      <c r="J13" s="126"/>
      <c r="K13" s="126"/>
      <c r="L13" s="126"/>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row>
    <row r="14" spans="1:58" ht="34.5" customHeight="1" x14ac:dyDescent="0.25">
      <c r="A14" s="866" t="s">
        <v>3</v>
      </c>
      <c r="B14" s="866" t="s">
        <v>4</v>
      </c>
      <c r="C14" s="864" t="s">
        <v>5</v>
      </c>
      <c r="D14" s="864" t="s">
        <v>6</v>
      </c>
      <c r="E14" s="864" t="s">
        <v>7</v>
      </c>
      <c r="F14" s="864" t="s">
        <v>8</v>
      </c>
      <c r="G14" s="864" t="s">
        <v>9</v>
      </c>
      <c r="H14" s="864" t="s">
        <v>10</v>
      </c>
      <c r="I14" s="864" t="s">
        <v>11</v>
      </c>
      <c r="J14" s="864" t="s">
        <v>12</v>
      </c>
      <c r="K14" s="864" t="s">
        <v>13</v>
      </c>
      <c r="L14" s="864" t="s">
        <v>14</v>
      </c>
      <c r="M14" s="869" t="s">
        <v>325</v>
      </c>
      <c r="N14" s="853" t="s">
        <v>11</v>
      </c>
      <c r="O14" s="853"/>
      <c r="P14" s="853" t="s">
        <v>326</v>
      </c>
      <c r="Q14" s="915" t="s">
        <v>15</v>
      </c>
      <c r="R14" s="915"/>
      <c r="S14" s="915"/>
      <c r="T14" s="915"/>
      <c r="U14" s="915"/>
      <c r="V14" s="915"/>
      <c r="W14" s="915"/>
      <c r="X14" s="915"/>
      <c r="Y14" s="915"/>
      <c r="Z14" s="915"/>
      <c r="AA14" s="915"/>
      <c r="AB14" s="915"/>
      <c r="AC14" s="915"/>
      <c r="AD14" s="915"/>
      <c r="AE14" s="915" t="s">
        <v>16</v>
      </c>
      <c r="AF14" s="915" t="s">
        <v>17</v>
      </c>
      <c r="AG14" s="915" t="s">
        <v>18</v>
      </c>
      <c r="AH14" s="921" t="s">
        <v>19</v>
      </c>
      <c r="AI14" s="915" t="s">
        <v>619</v>
      </c>
      <c r="AJ14" s="915" t="s">
        <v>568</v>
      </c>
      <c r="AK14" s="915" t="s">
        <v>21</v>
      </c>
      <c r="AL14" s="916" t="s">
        <v>22</v>
      </c>
      <c r="AM14" s="916"/>
      <c r="AN14" s="916"/>
      <c r="AO14" s="916"/>
      <c r="AP14" s="916"/>
      <c r="AQ14" s="916"/>
      <c r="AR14" s="916"/>
      <c r="AS14" s="916"/>
      <c r="AT14" s="916"/>
      <c r="AU14" s="916"/>
      <c r="AV14" s="916"/>
      <c r="AW14" s="916"/>
      <c r="AX14" s="916" t="s">
        <v>23</v>
      </c>
      <c r="AY14" s="917" t="s">
        <v>24</v>
      </c>
    </row>
    <row r="15" spans="1:58" ht="64.5" thickBot="1" x14ac:dyDescent="0.3">
      <c r="A15" s="867"/>
      <c r="B15" s="867"/>
      <c r="C15" s="868"/>
      <c r="D15" s="868"/>
      <c r="E15" s="868"/>
      <c r="F15" s="868"/>
      <c r="G15" s="868"/>
      <c r="H15" s="868"/>
      <c r="I15" s="868"/>
      <c r="J15" s="868"/>
      <c r="K15" s="868"/>
      <c r="L15" s="868"/>
      <c r="M15" s="902"/>
      <c r="N15" s="136" t="s">
        <v>25</v>
      </c>
      <c r="O15" s="136" t="s">
        <v>621</v>
      </c>
      <c r="P15" s="853"/>
      <c r="Q15" s="137" t="s">
        <v>27</v>
      </c>
      <c r="R15" s="137" t="s">
        <v>28</v>
      </c>
      <c r="S15" s="137" t="s">
        <v>29</v>
      </c>
      <c r="T15" s="137" t="s">
        <v>623</v>
      </c>
      <c r="U15" s="137" t="s">
        <v>30</v>
      </c>
      <c r="V15" s="137" t="s">
        <v>1449</v>
      </c>
      <c r="W15" s="137" t="s">
        <v>1450</v>
      </c>
      <c r="X15" s="137" t="s">
        <v>33</v>
      </c>
      <c r="Y15" s="137" t="s">
        <v>34</v>
      </c>
      <c r="Z15" s="137" t="s">
        <v>624</v>
      </c>
      <c r="AA15" s="137" t="s">
        <v>36</v>
      </c>
      <c r="AB15" s="137" t="s">
        <v>37</v>
      </c>
      <c r="AC15" s="137" t="s">
        <v>38</v>
      </c>
      <c r="AD15" s="137" t="s">
        <v>39</v>
      </c>
      <c r="AE15" s="915"/>
      <c r="AF15" s="915"/>
      <c r="AG15" s="915"/>
      <c r="AH15" s="922"/>
      <c r="AI15" s="915"/>
      <c r="AJ15" s="915"/>
      <c r="AK15" s="923"/>
      <c r="AL15" s="138" t="s">
        <v>40</v>
      </c>
      <c r="AM15" s="138" t="s">
        <v>41</v>
      </c>
      <c r="AN15" s="138" t="s">
        <v>42</v>
      </c>
      <c r="AO15" s="138" t="s">
        <v>43</v>
      </c>
      <c r="AP15" s="138" t="s">
        <v>42</v>
      </c>
      <c r="AQ15" s="138" t="s">
        <v>44</v>
      </c>
      <c r="AR15" s="138" t="s">
        <v>44</v>
      </c>
      <c r="AS15" s="138" t="s">
        <v>43</v>
      </c>
      <c r="AT15" s="138" t="s">
        <v>45</v>
      </c>
      <c r="AU15" s="138" t="s">
        <v>46</v>
      </c>
      <c r="AV15" s="138" t="s">
        <v>47</v>
      </c>
      <c r="AW15" s="138" t="s">
        <v>48</v>
      </c>
      <c r="AX15" s="916"/>
      <c r="AY15" s="918"/>
    </row>
    <row r="16" spans="1:58" ht="294" thickBot="1" x14ac:dyDescent="0.3">
      <c r="A16" s="547" t="s">
        <v>2873</v>
      </c>
      <c r="B16" s="548" t="s">
        <v>2874</v>
      </c>
      <c r="C16" s="979" t="s">
        <v>2875</v>
      </c>
      <c r="D16" s="979" t="s">
        <v>2876</v>
      </c>
      <c r="E16" s="982" t="s">
        <v>2877</v>
      </c>
      <c r="F16" s="549" t="s">
        <v>2878</v>
      </c>
      <c r="G16" s="985" t="s">
        <v>2879</v>
      </c>
      <c r="H16" s="549" t="s">
        <v>2880</v>
      </c>
      <c r="I16" s="549" t="s">
        <v>2881</v>
      </c>
      <c r="J16" s="549" t="s">
        <v>2882</v>
      </c>
      <c r="K16" s="551" t="s">
        <v>323</v>
      </c>
      <c r="L16" s="549">
        <v>1</v>
      </c>
      <c r="M16" s="552" t="s">
        <v>2883</v>
      </c>
      <c r="N16" s="553" t="s">
        <v>2881</v>
      </c>
      <c r="O16" s="554" t="s">
        <v>2884</v>
      </c>
      <c r="P16" s="555">
        <v>109629769</v>
      </c>
      <c r="Q16" s="556">
        <v>25000</v>
      </c>
      <c r="R16" s="557">
        <v>0</v>
      </c>
      <c r="S16" s="557">
        <v>0</v>
      </c>
      <c r="T16" s="557">
        <v>0</v>
      </c>
      <c r="U16" s="557">
        <v>0</v>
      </c>
      <c r="V16" s="557">
        <v>0</v>
      </c>
      <c r="W16" s="557">
        <v>0</v>
      </c>
      <c r="X16" s="557">
        <v>0</v>
      </c>
      <c r="Y16" s="557"/>
      <c r="Z16" s="557"/>
      <c r="AA16" s="557"/>
      <c r="AB16" s="557"/>
      <c r="AC16" s="557"/>
      <c r="AD16" s="556">
        <v>84629</v>
      </c>
      <c r="AE16" s="557" t="s">
        <v>2885</v>
      </c>
      <c r="AF16" s="558">
        <v>0</v>
      </c>
      <c r="AG16" s="557">
        <v>42</v>
      </c>
      <c r="AH16" s="552">
        <v>7</v>
      </c>
      <c r="AI16" s="557" t="s">
        <v>2886</v>
      </c>
      <c r="AJ16" s="559">
        <v>165409</v>
      </c>
      <c r="AK16" s="560" t="s">
        <v>2933</v>
      </c>
      <c r="AL16" s="557"/>
      <c r="AM16" s="557"/>
      <c r="AN16" s="557"/>
      <c r="AO16" s="557"/>
      <c r="AP16" s="557"/>
      <c r="AQ16" s="557"/>
      <c r="AR16" s="557"/>
      <c r="AS16" s="557"/>
      <c r="AT16" s="557"/>
      <c r="AU16" s="557"/>
      <c r="AV16" s="557"/>
      <c r="AW16" s="557"/>
      <c r="AX16" s="557" t="s">
        <v>2887</v>
      </c>
      <c r="AY16" s="561" t="s">
        <v>2934</v>
      </c>
      <c r="AZ16" s="546"/>
      <c r="BA16" s="546"/>
      <c r="BB16" s="546"/>
      <c r="BC16" s="546"/>
      <c r="BD16" s="546"/>
      <c r="BE16" s="546"/>
      <c r="BF16" s="546"/>
    </row>
    <row r="17" spans="1:58" ht="153.75" thickBot="1" x14ac:dyDescent="0.3">
      <c r="A17" s="547" t="s">
        <v>2873</v>
      </c>
      <c r="B17" s="548" t="s">
        <v>2874</v>
      </c>
      <c r="C17" s="980"/>
      <c r="D17" s="980"/>
      <c r="E17" s="983"/>
      <c r="F17" s="549" t="s">
        <v>2878</v>
      </c>
      <c r="G17" s="985"/>
      <c r="H17" s="549" t="s">
        <v>2888</v>
      </c>
      <c r="I17" s="549" t="s">
        <v>2889</v>
      </c>
      <c r="J17" s="562">
        <v>0</v>
      </c>
      <c r="K17" s="551" t="s">
        <v>323</v>
      </c>
      <c r="L17" s="562">
        <v>1</v>
      </c>
      <c r="M17" s="552" t="s">
        <v>2890</v>
      </c>
      <c r="N17" s="549" t="s">
        <v>2889</v>
      </c>
      <c r="O17" s="563" t="s">
        <v>2884</v>
      </c>
      <c r="P17" s="564">
        <v>79111224</v>
      </c>
      <c r="Q17" s="557">
        <v>25000</v>
      </c>
      <c r="R17" s="557">
        <v>0</v>
      </c>
      <c r="S17" s="557">
        <v>0</v>
      </c>
      <c r="T17" s="557">
        <v>0</v>
      </c>
      <c r="U17" s="557">
        <v>0</v>
      </c>
      <c r="V17" s="557">
        <v>0</v>
      </c>
      <c r="W17" s="557">
        <v>0</v>
      </c>
      <c r="X17" s="557">
        <v>0</v>
      </c>
      <c r="Y17" s="557"/>
      <c r="Z17" s="557"/>
      <c r="AA17" s="557"/>
      <c r="AB17" s="557"/>
      <c r="AC17" s="557"/>
      <c r="AD17" s="556">
        <v>54111</v>
      </c>
      <c r="AE17" s="557" t="s">
        <v>2885</v>
      </c>
      <c r="AF17" s="558">
        <v>0</v>
      </c>
      <c r="AG17" s="557">
        <v>42</v>
      </c>
      <c r="AH17" s="557">
        <v>7</v>
      </c>
      <c r="AI17" s="557" t="s">
        <v>2886</v>
      </c>
      <c r="AJ17" s="565">
        <v>79111</v>
      </c>
      <c r="AK17" s="557" t="s">
        <v>2891</v>
      </c>
      <c r="AL17" s="557"/>
      <c r="AM17" s="557"/>
      <c r="AN17" s="557"/>
      <c r="AO17" s="557"/>
      <c r="AP17" s="557"/>
      <c r="AQ17" s="557"/>
      <c r="AR17" s="557"/>
      <c r="AS17" s="557"/>
      <c r="AT17" s="557"/>
      <c r="AU17" s="557"/>
      <c r="AV17" s="557"/>
      <c r="AW17" s="557"/>
      <c r="AX17" s="557" t="s">
        <v>2892</v>
      </c>
      <c r="AY17" s="557"/>
      <c r="AZ17" s="546"/>
      <c r="BA17" s="546"/>
      <c r="BB17" s="546"/>
      <c r="BC17" s="546"/>
      <c r="BD17" s="546"/>
      <c r="BE17" s="546"/>
      <c r="BF17" s="546"/>
    </row>
    <row r="18" spans="1:58" ht="153.75" thickBot="1" x14ac:dyDescent="0.3">
      <c r="A18" s="547" t="s">
        <v>2873</v>
      </c>
      <c r="B18" s="548" t="s">
        <v>2874</v>
      </c>
      <c r="C18" s="980"/>
      <c r="D18" s="980"/>
      <c r="E18" s="983"/>
      <c r="F18" s="549" t="s">
        <v>2878</v>
      </c>
      <c r="G18" s="985"/>
      <c r="H18" s="549" t="s">
        <v>2893</v>
      </c>
      <c r="I18" s="549" t="s">
        <v>2894</v>
      </c>
      <c r="J18" s="562">
        <v>0</v>
      </c>
      <c r="K18" s="551" t="s">
        <v>323</v>
      </c>
      <c r="L18" s="562">
        <v>1</v>
      </c>
      <c r="M18" s="552" t="s">
        <v>2895</v>
      </c>
      <c r="N18" s="549" t="s">
        <v>2894</v>
      </c>
      <c r="O18" s="563" t="s">
        <v>2896</v>
      </c>
      <c r="P18" s="565">
        <v>39555612</v>
      </c>
      <c r="Q18" s="557">
        <v>25000</v>
      </c>
      <c r="R18" s="557">
        <v>0</v>
      </c>
      <c r="S18" s="557">
        <v>0</v>
      </c>
      <c r="T18" s="557">
        <v>0</v>
      </c>
      <c r="U18" s="557">
        <v>0</v>
      </c>
      <c r="V18" s="557">
        <v>0</v>
      </c>
      <c r="W18" s="557">
        <v>0</v>
      </c>
      <c r="X18" s="557">
        <v>0</v>
      </c>
      <c r="Y18" s="557">
        <v>0</v>
      </c>
      <c r="Z18" s="557"/>
      <c r="AA18" s="557"/>
      <c r="AB18" s="557"/>
      <c r="AC18" s="557"/>
      <c r="AD18" s="556">
        <v>14555</v>
      </c>
      <c r="AE18" s="557" t="s">
        <v>2885</v>
      </c>
      <c r="AF18" s="558">
        <v>0</v>
      </c>
      <c r="AG18" s="557">
        <v>42</v>
      </c>
      <c r="AH18" s="557">
        <v>3</v>
      </c>
      <c r="AI18" s="557" t="s">
        <v>2886</v>
      </c>
      <c r="AJ18" s="565">
        <v>39555</v>
      </c>
      <c r="AK18" s="557" t="s">
        <v>2897</v>
      </c>
      <c r="AL18" s="557"/>
      <c r="AM18" s="557"/>
      <c r="AN18" s="557"/>
      <c r="AO18" s="557"/>
      <c r="AP18" s="557"/>
      <c r="AQ18" s="557"/>
      <c r="AR18" s="557"/>
      <c r="AS18" s="557"/>
      <c r="AT18" s="557"/>
      <c r="AU18" s="557"/>
      <c r="AV18" s="557"/>
      <c r="AW18" s="557"/>
      <c r="AX18" s="557" t="s">
        <v>2892</v>
      </c>
      <c r="AY18" s="557"/>
      <c r="AZ18" s="546"/>
      <c r="BA18" s="546"/>
      <c r="BB18" s="546"/>
      <c r="BC18" s="546"/>
      <c r="BD18" s="546"/>
      <c r="BE18" s="546"/>
      <c r="BF18" s="546"/>
    </row>
    <row r="19" spans="1:58" ht="153.75" thickBot="1" x14ac:dyDescent="0.3">
      <c r="A19" s="547" t="s">
        <v>2873</v>
      </c>
      <c r="B19" s="548" t="s">
        <v>2874</v>
      </c>
      <c r="C19" s="980"/>
      <c r="D19" s="980"/>
      <c r="E19" s="983"/>
      <c r="F19" s="549" t="s">
        <v>2878</v>
      </c>
      <c r="G19" s="985"/>
      <c r="H19" s="549" t="s">
        <v>2898</v>
      </c>
      <c r="I19" s="549" t="s">
        <v>2899</v>
      </c>
      <c r="J19" s="549">
        <v>0</v>
      </c>
      <c r="K19" s="551" t="s">
        <v>323</v>
      </c>
      <c r="L19" s="549">
        <v>1</v>
      </c>
      <c r="M19" s="552" t="s">
        <v>2895</v>
      </c>
      <c r="N19" s="553" t="s">
        <v>2899</v>
      </c>
      <c r="O19" s="563" t="s">
        <v>2896</v>
      </c>
      <c r="P19" s="556">
        <v>39555612</v>
      </c>
      <c r="Q19" s="557">
        <v>25000</v>
      </c>
      <c r="R19" s="557">
        <v>0</v>
      </c>
      <c r="S19" s="557">
        <v>0</v>
      </c>
      <c r="T19" s="557">
        <v>0</v>
      </c>
      <c r="U19" s="557">
        <v>0</v>
      </c>
      <c r="V19" s="557">
        <v>0</v>
      </c>
      <c r="W19" s="557">
        <v>0</v>
      </c>
      <c r="X19" s="557">
        <v>0</v>
      </c>
      <c r="Y19" s="557">
        <v>0</v>
      </c>
      <c r="Z19" s="557"/>
      <c r="AA19" s="557"/>
      <c r="AB19" s="557"/>
      <c r="AC19" s="557"/>
      <c r="AD19" s="556">
        <v>14555</v>
      </c>
      <c r="AE19" s="557" t="s">
        <v>2885</v>
      </c>
      <c r="AF19" s="558">
        <v>0</v>
      </c>
      <c r="AG19" s="557">
        <v>42</v>
      </c>
      <c r="AH19" s="557">
        <v>7</v>
      </c>
      <c r="AI19" s="557" t="s">
        <v>2886</v>
      </c>
      <c r="AJ19" s="565">
        <v>39555</v>
      </c>
      <c r="AK19" s="557" t="s">
        <v>2900</v>
      </c>
      <c r="AL19" s="557"/>
      <c r="AM19" s="557"/>
      <c r="AN19" s="557"/>
      <c r="AO19" s="557"/>
      <c r="AP19" s="557"/>
      <c r="AQ19" s="557"/>
      <c r="AR19" s="557"/>
      <c r="AS19" s="557"/>
      <c r="AT19" s="557"/>
      <c r="AU19" s="557"/>
      <c r="AV19" s="557"/>
      <c r="AW19" s="557"/>
      <c r="AX19" s="557" t="s">
        <v>2892</v>
      </c>
      <c r="AY19" s="557"/>
      <c r="AZ19" s="546"/>
      <c r="BA19" s="546"/>
      <c r="BB19" s="546"/>
      <c r="BC19" s="546"/>
      <c r="BD19" s="546"/>
      <c r="BE19" s="546"/>
      <c r="BF19" s="546"/>
    </row>
    <row r="20" spans="1:58" ht="153.75" thickBot="1" x14ac:dyDescent="0.3">
      <c r="A20" s="547" t="s">
        <v>2873</v>
      </c>
      <c r="B20" s="548" t="s">
        <v>2874</v>
      </c>
      <c r="C20" s="980"/>
      <c r="D20" s="980"/>
      <c r="E20" s="983"/>
      <c r="F20" s="549" t="s">
        <v>2901</v>
      </c>
      <c r="G20" s="985" t="s">
        <v>2902</v>
      </c>
      <c r="H20" s="549" t="s">
        <v>2903</v>
      </c>
      <c r="I20" s="549" t="s">
        <v>2904</v>
      </c>
      <c r="J20" s="562">
        <v>0</v>
      </c>
      <c r="K20" s="551" t="s">
        <v>323</v>
      </c>
      <c r="L20" s="562">
        <v>1</v>
      </c>
      <c r="M20" s="552" t="s">
        <v>2905</v>
      </c>
      <c r="N20" s="549" t="s">
        <v>2904</v>
      </c>
      <c r="O20" s="563" t="s">
        <v>2906</v>
      </c>
      <c r="P20" s="556">
        <v>77966317</v>
      </c>
      <c r="Q20" s="557">
        <v>62424</v>
      </c>
      <c r="R20" s="557">
        <v>0</v>
      </c>
      <c r="S20" s="557">
        <v>0</v>
      </c>
      <c r="T20" s="557">
        <v>0</v>
      </c>
      <c r="U20" s="557">
        <v>0</v>
      </c>
      <c r="V20" s="557">
        <v>0</v>
      </c>
      <c r="W20" s="557">
        <v>0</v>
      </c>
      <c r="X20" s="557">
        <v>0</v>
      </c>
      <c r="Y20" s="557">
        <v>0</v>
      </c>
      <c r="Z20" s="557"/>
      <c r="AA20" s="557"/>
      <c r="AB20" s="557"/>
      <c r="AC20" s="557"/>
      <c r="AD20" s="556">
        <v>15541</v>
      </c>
      <c r="AE20" s="557" t="s">
        <v>2907</v>
      </c>
      <c r="AF20" s="558" t="s">
        <v>2908</v>
      </c>
      <c r="AG20" s="557">
        <v>42</v>
      </c>
      <c r="AH20" s="557">
        <v>7</v>
      </c>
      <c r="AI20" s="557" t="s">
        <v>2886</v>
      </c>
      <c r="AJ20" s="565">
        <v>77966</v>
      </c>
      <c r="AK20" s="557" t="s">
        <v>2909</v>
      </c>
      <c r="AL20" s="557"/>
      <c r="AM20" s="557"/>
      <c r="AN20" s="557"/>
      <c r="AO20" s="557"/>
      <c r="AP20" s="557"/>
      <c r="AQ20" s="557"/>
      <c r="AR20" s="557"/>
      <c r="AS20" s="557"/>
      <c r="AT20" s="557"/>
      <c r="AU20" s="557"/>
      <c r="AV20" s="557"/>
      <c r="AW20" s="557"/>
      <c r="AX20" s="557" t="s">
        <v>2910</v>
      </c>
      <c r="AY20" s="557"/>
      <c r="AZ20" s="546"/>
      <c r="BA20" s="546"/>
      <c r="BB20" s="546"/>
      <c r="BC20" s="546"/>
      <c r="BD20" s="546"/>
      <c r="BE20" s="546"/>
      <c r="BF20" s="546"/>
    </row>
    <row r="21" spans="1:58" ht="409.6" thickBot="1" x14ac:dyDescent="0.3">
      <c r="A21" s="547" t="s">
        <v>2873</v>
      </c>
      <c r="B21" s="548" t="s">
        <v>2874</v>
      </c>
      <c r="C21" s="980"/>
      <c r="D21" s="980"/>
      <c r="E21" s="983"/>
      <c r="F21" s="549" t="s">
        <v>2901</v>
      </c>
      <c r="G21" s="985"/>
      <c r="H21" s="549" t="s">
        <v>2911</v>
      </c>
      <c r="I21" s="549" t="s">
        <v>2912</v>
      </c>
      <c r="J21" s="562">
        <v>0</v>
      </c>
      <c r="K21" s="551" t="s">
        <v>323</v>
      </c>
      <c r="L21" s="562">
        <v>1</v>
      </c>
      <c r="M21" s="552" t="s">
        <v>2895</v>
      </c>
      <c r="N21" s="553" t="s">
        <v>2912</v>
      </c>
      <c r="O21" s="563" t="s">
        <v>2913</v>
      </c>
      <c r="P21" s="556">
        <v>140366974</v>
      </c>
      <c r="Q21" s="557">
        <v>62424</v>
      </c>
      <c r="R21" s="557">
        <v>0</v>
      </c>
      <c r="S21" s="557">
        <v>0</v>
      </c>
      <c r="T21" s="557">
        <v>0</v>
      </c>
      <c r="U21" s="557">
        <v>0</v>
      </c>
      <c r="V21" s="557">
        <v>0</v>
      </c>
      <c r="W21" s="557">
        <v>0</v>
      </c>
      <c r="X21" s="557">
        <v>0</v>
      </c>
      <c r="Y21" s="557">
        <v>0</v>
      </c>
      <c r="Z21" s="557"/>
      <c r="AA21" s="557"/>
      <c r="AB21" s="557"/>
      <c r="AC21" s="557"/>
      <c r="AD21" s="556">
        <v>77942</v>
      </c>
      <c r="AE21" s="557" t="s">
        <v>2907</v>
      </c>
      <c r="AF21" s="558" t="s">
        <v>2908</v>
      </c>
      <c r="AG21" s="557">
        <v>42</v>
      </c>
      <c r="AH21" s="557">
        <v>7</v>
      </c>
      <c r="AI21" s="557" t="s">
        <v>2886</v>
      </c>
      <c r="AJ21" s="565">
        <v>140366</v>
      </c>
      <c r="AK21" s="557" t="s">
        <v>2914</v>
      </c>
      <c r="AL21" s="557"/>
      <c r="AM21" s="557"/>
      <c r="AN21" s="557"/>
      <c r="AO21" s="557"/>
      <c r="AP21" s="557"/>
      <c r="AQ21" s="557"/>
      <c r="AR21" s="557"/>
      <c r="AS21" s="557"/>
      <c r="AT21" s="557"/>
      <c r="AU21" s="557"/>
      <c r="AV21" s="557"/>
      <c r="AW21" s="557"/>
      <c r="AX21" s="557" t="s">
        <v>2892</v>
      </c>
      <c r="AY21" s="557"/>
      <c r="AZ21" s="546"/>
      <c r="BA21" s="546"/>
      <c r="BB21" s="546"/>
      <c r="BC21" s="546"/>
      <c r="BD21" s="546"/>
      <c r="BE21" s="546"/>
      <c r="BF21" s="546"/>
    </row>
    <row r="22" spans="1:58" ht="153.75" thickBot="1" x14ac:dyDescent="0.3">
      <c r="A22" s="547" t="s">
        <v>2873</v>
      </c>
      <c r="B22" s="548" t="s">
        <v>2874</v>
      </c>
      <c r="C22" s="980"/>
      <c r="D22" s="980"/>
      <c r="E22" s="983"/>
      <c r="F22" s="549" t="s">
        <v>2915</v>
      </c>
      <c r="G22" s="985" t="s">
        <v>2916</v>
      </c>
      <c r="H22" s="549" t="s">
        <v>2917</v>
      </c>
      <c r="I22" s="549" t="s">
        <v>2918</v>
      </c>
      <c r="J22" s="549">
        <v>0</v>
      </c>
      <c r="K22" s="551" t="s">
        <v>323</v>
      </c>
      <c r="L22" s="549">
        <v>1</v>
      </c>
      <c r="M22" s="552" t="s">
        <v>2919</v>
      </c>
      <c r="N22" s="549" t="s">
        <v>2918</v>
      </c>
      <c r="O22" s="563" t="s">
        <v>2920</v>
      </c>
      <c r="P22" s="556">
        <v>100000000</v>
      </c>
      <c r="Q22" s="556">
        <v>0</v>
      </c>
      <c r="R22" s="557">
        <v>0</v>
      </c>
      <c r="S22" s="557">
        <v>0</v>
      </c>
      <c r="T22" s="557">
        <v>0</v>
      </c>
      <c r="U22" s="557">
        <v>0</v>
      </c>
      <c r="V22" s="557">
        <v>0</v>
      </c>
      <c r="W22" s="557">
        <v>0</v>
      </c>
      <c r="X22" s="557">
        <v>0</v>
      </c>
      <c r="Y22" s="557">
        <v>0</v>
      </c>
      <c r="Z22" s="557"/>
      <c r="AA22" s="557"/>
      <c r="AB22" s="557"/>
      <c r="AC22" s="557"/>
      <c r="AD22" s="556">
        <v>100000</v>
      </c>
      <c r="AE22" s="557" t="s">
        <v>2921</v>
      </c>
      <c r="AF22" s="558" t="s">
        <v>2922</v>
      </c>
      <c r="AG22" s="557">
        <v>42</v>
      </c>
      <c r="AH22" s="557">
        <v>7</v>
      </c>
      <c r="AI22" s="557" t="s">
        <v>2886</v>
      </c>
      <c r="AJ22" s="565">
        <v>100000</v>
      </c>
      <c r="AK22" s="557" t="s">
        <v>2923</v>
      </c>
      <c r="AL22" s="557"/>
      <c r="AM22" s="557"/>
      <c r="AN22" s="557"/>
      <c r="AO22" s="557"/>
      <c r="AP22" s="557"/>
      <c r="AQ22" s="557"/>
      <c r="AR22" s="557"/>
      <c r="AS22" s="557"/>
      <c r="AT22" s="557"/>
      <c r="AU22" s="557"/>
      <c r="AV22" s="557"/>
      <c r="AW22" s="557"/>
      <c r="AX22" s="557" t="s">
        <v>2892</v>
      </c>
      <c r="AY22" s="557"/>
      <c r="AZ22" s="546"/>
      <c r="BA22" s="546"/>
      <c r="BB22" s="546"/>
      <c r="BC22" s="546"/>
      <c r="BD22" s="546"/>
      <c r="BE22" s="546"/>
      <c r="BF22" s="546"/>
    </row>
    <row r="23" spans="1:58" ht="230.25" thickBot="1" x14ac:dyDescent="0.3">
      <c r="A23" s="547" t="s">
        <v>2873</v>
      </c>
      <c r="B23" s="548" t="s">
        <v>2874</v>
      </c>
      <c r="C23" s="980"/>
      <c r="D23" s="980"/>
      <c r="E23" s="983"/>
      <c r="F23" s="549" t="s">
        <v>2915</v>
      </c>
      <c r="G23" s="985"/>
      <c r="H23" s="549" t="s">
        <v>2924</v>
      </c>
      <c r="I23" s="549" t="s">
        <v>2925</v>
      </c>
      <c r="J23" s="562">
        <v>0</v>
      </c>
      <c r="K23" s="551" t="s">
        <v>323</v>
      </c>
      <c r="L23" s="562">
        <v>1</v>
      </c>
      <c r="M23" s="552" t="s">
        <v>2890</v>
      </c>
      <c r="N23" s="549" t="s">
        <v>2925</v>
      </c>
      <c r="O23" s="563" t="s">
        <v>2913</v>
      </c>
      <c r="P23" s="556">
        <v>41366696</v>
      </c>
      <c r="Q23" s="556">
        <v>41367</v>
      </c>
      <c r="R23" s="557">
        <v>0</v>
      </c>
      <c r="S23" s="557">
        <v>0</v>
      </c>
      <c r="T23" s="557">
        <v>0</v>
      </c>
      <c r="U23" s="557">
        <v>0</v>
      </c>
      <c r="V23" s="557">
        <v>0</v>
      </c>
      <c r="W23" s="557">
        <v>0</v>
      </c>
      <c r="X23" s="557">
        <v>0</v>
      </c>
      <c r="Y23" s="557">
        <v>0</v>
      </c>
      <c r="Z23" s="557"/>
      <c r="AA23" s="557"/>
      <c r="AB23" s="557"/>
      <c r="AC23" s="557"/>
      <c r="AD23" s="557">
        <v>0</v>
      </c>
      <c r="AE23" s="557" t="s">
        <v>2921</v>
      </c>
      <c r="AF23" s="558" t="s">
        <v>2926</v>
      </c>
      <c r="AG23" s="557">
        <v>42</v>
      </c>
      <c r="AH23" s="557">
        <v>7</v>
      </c>
      <c r="AI23" s="557" t="s">
        <v>2886</v>
      </c>
      <c r="AJ23" s="565">
        <v>41366</v>
      </c>
      <c r="AK23" s="557" t="s">
        <v>2927</v>
      </c>
      <c r="AL23" s="557"/>
      <c r="AM23" s="557"/>
      <c r="AN23" s="557"/>
      <c r="AO23" s="557"/>
      <c r="AP23" s="557"/>
      <c r="AQ23" s="557"/>
      <c r="AR23" s="557"/>
      <c r="AS23" s="557"/>
      <c r="AT23" s="557"/>
      <c r="AU23" s="557"/>
      <c r="AV23" s="557"/>
      <c r="AW23" s="557"/>
      <c r="AX23" s="557" t="s">
        <v>2892</v>
      </c>
      <c r="AY23" s="557"/>
      <c r="AZ23" s="546"/>
      <c r="BA23" s="546"/>
      <c r="BB23" s="546"/>
      <c r="BC23" s="546"/>
      <c r="BD23" s="546"/>
      <c r="BE23" s="546"/>
      <c r="BF23" s="546"/>
    </row>
    <row r="24" spans="1:58" ht="409.6" thickBot="1" x14ac:dyDescent="0.3">
      <c r="A24" s="550" t="s">
        <v>2873</v>
      </c>
      <c r="B24" s="548" t="s">
        <v>2874</v>
      </c>
      <c r="C24" s="981"/>
      <c r="D24" s="981"/>
      <c r="E24" s="984"/>
      <c r="F24" s="549" t="s">
        <v>2915</v>
      </c>
      <c r="G24" s="985"/>
      <c r="H24" s="549" t="s">
        <v>2928</v>
      </c>
      <c r="I24" s="549" t="s">
        <v>2929</v>
      </c>
      <c r="J24" s="562">
        <v>0</v>
      </c>
      <c r="K24" s="551" t="s">
        <v>323</v>
      </c>
      <c r="L24" s="562">
        <v>1</v>
      </c>
      <c r="M24" s="552" t="s">
        <v>2930</v>
      </c>
      <c r="N24" s="549" t="s">
        <v>2929</v>
      </c>
      <c r="O24" s="563" t="s">
        <v>2931</v>
      </c>
      <c r="P24" s="556">
        <v>165409572</v>
      </c>
      <c r="Q24" s="556">
        <v>165409</v>
      </c>
      <c r="R24" s="557">
        <v>0</v>
      </c>
      <c r="S24" s="557">
        <v>0</v>
      </c>
      <c r="T24" s="557">
        <v>0</v>
      </c>
      <c r="U24" s="557">
        <v>0</v>
      </c>
      <c r="V24" s="557">
        <v>0</v>
      </c>
      <c r="W24" s="557">
        <v>0</v>
      </c>
      <c r="X24" s="557">
        <v>0</v>
      </c>
      <c r="Y24" s="557">
        <v>0</v>
      </c>
      <c r="Z24" s="557"/>
      <c r="AA24" s="557"/>
      <c r="AB24" s="557"/>
      <c r="AC24" s="557"/>
      <c r="AD24" s="557">
        <v>0</v>
      </c>
      <c r="AE24" s="557" t="s">
        <v>2921</v>
      </c>
      <c r="AF24" s="558" t="s">
        <v>2926</v>
      </c>
      <c r="AG24" s="557">
        <v>42</v>
      </c>
      <c r="AH24" s="557">
        <v>7</v>
      </c>
      <c r="AI24" s="557" t="s">
        <v>2886</v>
      </c>
      <c r="AJ24" s="565">
        <v>165409</v>
      </c>
      <c r="AK24" s="557" t="s">
        <v>2932</v>
      </c>
      <c r="AL24" s="557"/>
      <c r="AM24" s="557"/>
      <c r="AN24" s="557"/>
      <c r="AO24" s="557"/>
      <c r="AP24" s="557"/>
      <c r="AQ24" s="557"/>
      <c r="AR24" s="557"/>
      <c r="AS24" s="557"/>
      <c r="AT24" s="557"/>
      <c r="AU24" s="557"/>
      <c r="AV24" s="557"/>
      <c r="AW24" s="557"/>
      <c r="AX24" s="557" t="s">
        <v>2892</v>
      </c>
      <c r="AY24" s="557"/>
      <c r="AZ24" s="546"/>
      <c r="BA24" s="546"/>
      <c r="BB24" s="546"/>
      <c r="BC24" s="546"/>
      <c r="BD24" s="546"/>
      <c r="BE24" s="546"/>
      <c r="BF24" s="546"/>
    </row>
  </sheetData>
  <sheetProtection password="C71C" sheet="1" objects="1" scenarios="1"/>
  <mergeCells count="38">
    <mergeCell ref="AX14:AX15"/>
    <mergeCell ref="AY14:AY15"/>
    <mergeCell ref="C16:C24"/>
    <mergeCell ref="D16:D24"/>
    <mergeCell ref="E16:E24"/>
    <mergeCell ref="G16:G19"/>
    <mergeCell ref="G20:G21"/>
    <mergeCell ref="G22:G24"/>
    <mergeCell ref="AG14:AG15"/>
    <mergeCell ref="AH14:AH15"/>
    <mergeCell ref="AI14:AI15"/>
    <mergeCell ref="AJ14:AJ15"/>
    <mergeCell ref="AK14:AK15"/>
    <mergeCell ref="AL14:AW14"/>
    <mergeCell ref="M14:M15"/>
    <mergeCell ref="N14:O14"/>
    <mergeCell ref="P14:P15"/>
    <mergeCell ref="Q14:AD14"/>
    <mergeCell ref="AE14:AE15"/>
    <mergeCell ref="AF14:AF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6"/>
  <sheetViews>
    <sheetView topLeftCell="A11" workbookViewId="0">
      <selection activeCell="L18" sqref="L18"/>
    </sheetView>
  </sheetViews>
  <sheetFormatPr baseColWidth="10" defaultRowHeight="15" x14ac:dyDescent="0.25"/>
  <cols>
    <col min="38" max="49" width="4.7109375" customWidth="1"/>
  </cols>
  <sheetData>
    <row r="1" spans="1:51"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ht="18" x14ac:dyDescent="0.25">
      <c r="A2" s="910" t="s">
        <v>0</v>
      </c>
      <c r="B2" s="910"/>
      <c r="C2" s="910"/>
      <c r="D2" s="910"/>
      <c r="E2" s="910"/>
      <c r="F2" s="910"/>
      <c r="G2" s="910"/>
      <c r="H2" s="910"/>
      <c r="I2" s="910"/>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ht="18" x14ac:dyDescent="0.25">
      <c r="A3" s="911" t="s">
        <v>1</v>
      </c>
      <c r="B3" s="911"/>
      <c r="C3" s="911"/>
      <c r="D3" s="911"/>
      <c r="E3" s="911"/>
      <c r="F3" s="911"/>
      <c r="G3" s="911"/>
      <c r="H3" s="911"/>
      <c r="I3" s="911"/>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x14ac:dyDescent="0.25">
      <c r="A4" s="131"/>
      <c r="B4" s="126"/>
      <c r="C4" s="126"/>
      <c r="D4" s="126"/>
      <c r="E4" s="126"/>
      <c r="F4" s="126"/>
      <c r="G4" s="126"/>
      <c r="H4" s="127"/>
      <c r="I4" s="126"/>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ht="18" x14ac:dyDescent="0.25">
      <c r="A5" s="912" t="s">
        <v>2</v>
      </c>
      <c r="B5" s="912"/>
      <c r="C5" s="912"/>
      <c r="D5" s="912"/>
      <c r="E5" s="912"/>
      <c r="F5" s="912"/>
      <c r="G5" s="912"/>
      <c r="H5" s="912"/>
      <c r="I5" s="912"/>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ht="18" x14ac:dyDescent="0.25">
      <c r="A6" s="910" t="s">
        <v>2125</v>
      </c>
      <c r="B6" s="910"/>
      <c r="C6" s="910"/>
      <c r="D6" s="910"/>
      <c r="E6" s="910"/>
      <c r="F6" s="910"/>
      <c r="G6" s="910"/>
      <c r="H6" s="910"/>
      <c r="I6" s="910"/>
      <c r="J6" s="910"/>
      <c r="K6" s="910"/>
      <c r="L6" s="910"/>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1" ht="18" x14ac:dyDescent="0.25">
      <c r="A7" s="633"/>
      <c r="B7" s="633"/>
      <c r="C7" s="633"/>
      <c r="D7" s="633"/>
      <c r="E7" s="633"/>
      <c r="F7" s="633"/>
      <c r="G7" s="633"/>
      <c r="H7" s="633"/>
      <c r="I7" s="633"/>
      <c r="J7" s="633"/>
      <c r="K7" s="633"/>
      <c r="L7" s="633"/>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1" ht="18" x14ac:dyDescent="0.25">
      <c r="A8" s="633"/>
      <c r="B8" s="633"/>
      <c r="C8" s="633"/>
      <c r="D8" s="633"/>
      <c r="E8" s="633"/>
      <c r="F8" s="633"/>
      <c r="G8" s="633"/>
      <c r="H8" s="633"/>
      <c r="I8" s="633"/>
      <c r="J8" s="633"/>
      <c r="K8" s="633"/>
      <c r="L8" s="633"/>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1" x14ac:dyDescent="0.25">
      <c r="A9" s="861" t="s">
        <v>3176</v>
      </c>
      <c r="B9" s="861"/>
      <c r="C9" s="861"/>
      <c r="D9" s="861"/>
      <c r="E9" s="861"/>
      <c r="F9" s="861"/>
      <c r="G9" s="861"/>
      <c r="H9" s="861"/>
      <c r="I9" s="861"/>
      <c r="J9" s="861"/>
      <c r="K9" s="861"/>
      <c r="L9" s="861"/>
      <c r="M9" s="861"/>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1" ht="18" x14ac:dyDescent="0.25">
      <c r="A10" s="632"/>
      <c r="B10" s="632"/>
      <c r="C10" s="632"/>
      <c r="D10" s="632"/>
      <c r="E10" s="632"/>
      <c r="F10" s="633"/>
      <c r="G10" s="633"/>
      <c r="H10" s="633"/>
      <c r="I10" s="633"/>
      <c r="J10" s="633"/>
      <c r="K10" s="633"/>
      <c r="L10" s="633"/>
      <c r="M10" s="633"/>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1" x14ac:dyDescent="0.25">
      <c r="A11" s="861" t="s">
        <v>1448</v>
      </c>
      <c r="B11" s="861"/>
      <c r="C11" s="861"/>
      <c r="D11" s="861"/>
      <c r="E11" s="861"/>
      <c r="F11" s="861"/>
      <c r="G11" s="861"/>
      <c r="H11" s="861"/>
      <c r="I11" s="861"/>
      <c r="J11" s="861"/>
      <c r="K11" s="861"/>
      <c r="L11" s="861"/>
      <c r="M11" s="861"/>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row>
    <row r="12" spans="1:51" ht="18" x14ac:dyDescent="0.25">
      <c r="A12" s="633"/>
      <c r="B12" s="633"/>
      <c r="C12" s="633"/>
      <c r="D12" s="633"/>
      <c r="E12" s="633"/>
      <c r="F12" s="633"/>
      <c r="G12" s="633"/>
      <c r="H12" s="633"/>
      <c r="I12" s="633"/>
      <c r="J12" s="633"/>
      <c r="K12" s="633"/>
      <c r="L12" s="633"/>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1" x14ac:dyDescent="0.25">
      <c r="A13" s="126"/>
      <c r="B13" s="126"/>
      <c r="C13" s="126"/>
      <c r="D13" s="126"/>
      <c r="E13" s="126"/>
      <c r="F13" s="126"/>
      <c r="G13" s="126"/>
      <c r="H13" s="127"/>
      <c r="I13" s="126"/>
      <c r="J13" s="126"/>
      <c r="K13" s="126"/>
      <c r="L13" s="126"/>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row>
    <row r="14" spans="1:51" ht="15" customHeight="1" x14ac:dyDescent="0.25">
      <c r="A14" s="866" t="s">
        <v>3</v>
      </c>
      <c r="B14" s="866" t="s">
        <v>4</v>
      </c>
      <c r="C14" s="864" t="s">
        <v>5</v>
      </c>
      <c r="D14" s="864" t="s">
        <v>6</v>
      </c>
      <c r="E14" s="864" t="s">
        <v>7</v>
      </c>
      <c r="F14" s="864" t="s">
        <v>8</v>
      </c>
      <c r="G14" s="864" t="s">
        <v>9</v>
      </c>
      <c r="H14" s="864" t="s">
        <v>10</v>
      </c>
      <c r="I14" s="864" t="s">
        <v>11</v>
      </c>
      <c r="J14" s="864" t="s">
        <v>12</v>
      </c>
      <c r="K14" s="864" t="s">
        <v>13</v>
      </c>
      <c r="L14" s="864" t="s">
        <v>14</v>
      </c>
      <c r="M14" s="869" t="s">
        <v>325</v>
      </c>
      <c r="N14" s="994" t="s">
        <v>11</v>
      </c>
      <c r="O14" s="995"/>
      <c r="P14" s="869" t="s">
        <v>1760</v>
      </c>
      <c r="Q14" s="996" t="s">
        <v>15</v>
      </c>
      <c r="R14" s="997"/>
      <c r="S14" s="997"/>
      <c r="T14" s="997"/>
      <c r="U14" s="997"/>
      <c r="V14" s="997"/>
      <c r="W14" s="997"/>
      <c r="X14" s="997"/>
      <c r="Y14" s="997"/>
      <c r="Z14" s="997"/>
      <c r="AA14" s="997"/>
      <c r="AB14" s="997"/>
      <c r="AC14" s="997"/>
      <c r="AD14" s="998"/>
      <c r="AE14" s="921" t="s">
        <v>16</v>
      </c>
      <c r="AF14" s="921" t="s">
        <v>17</v>
      </c>
      <c r="AG14" s="921" t="s">
        <v>18</v>
      </c>
      <c r="AH14" s="921" t="s">
        <v>19</v>
      </c>
      <c r="AI14" s="921" t="s">
        <v>619</v>
      </c>
      <c r="AJ14" s="921" t="s">
        <v>568</v>
      </c>
      <c r="AK14" s="921" t="s">
        <v>21</v>
      </c>
      <c r="AL14" s="991" t="s">
        <v>22</v>
      </c>
      <c r="AM14" s="992"/>
      <c r="AN14" s="992"/>
      <c r="AO14" s="992"/>
      <c r="AP14" s="992"/>
      <c r="AQ14" s="992"/>
      <c r="AR14" s="992"/>
      <c r="AS14" s="992"/>
      <c r="AT14" s="992"/>
      <c r="AU14" s="992"/>
      <c r="AV14" s="992"/>
      <c r="AW14" s="993"/>
      <c r="AX14" s="989" t="s">
        <v>23</v>
      </c>
      <c r="AY14" s="921" t="s">
        <v>24</v>
      </c>
    </row>
    <row r="15" spans="1:51" ht="63.75" x14ac:dyDescent="0.25">
      <c r="A15" s="867"/>
      <c r="B15" s="867"/>
      <c r="C15" s="868"/>
      <c r="D15" s="868"/>
      <c r="E15" s="868"/>
      <c r="F15" s="868"/>
      <c r="G15" s="868"/>
      <c r="H15" s="868"/>
      <c r="I15" s="868"/>
      <c r="J15" s="868"/>
      <c r="K15" s="868"/>
      <c r="L15" s="868"/>
      <c r="M15" s="902"/>
      <c r="N15" s="630" t="s">
        <v>25</v>
      </c>
      <c r="O15" s="630" t="s">
        <v>3177</v>
      </c>
      <c r="P15" s="902"/>
      <c r="Q15" s="631" t="s">
        <v>27</v>
      </c>
      <c r="R15" s="631" t="s">
        <v>28</v>
      </c>
      <c r="S15" s="631" t="s">
        <v>29</v>
      </c>
      <c r="T15" s="631" t="s">
        <v>623</v>
      </c>
      <c r="U15" s="631" t="s">
        <v>30</v>
      </c>
      <c r="V15" s="631" t="s">
        <v>1449</v>
      </c>
      <c r="W15" s="631" t="s">
        <v>1450</v>
      </c>
      <c r="X15" s="631" t="s">
        <v>33</v>
      </c>
      <c r="Y15" s="631" t="s">
        <v>34</v>
      </c>
      <c r="Z15" s="631" t="s">
        <v>624</v>
      </c>
      <c r="AA15" s="631" t="s">
        <v>36</v>
      </c>
      <c r="AB15" s="631" t="s">
        <v>37</v>
      </c>
      <c r="AC15" s="631" t="s">
        <v>38</v>
      </c>
      <c r="AD15" s="631" t="s">
        <v>39</v>
      </c>
      <c r="AE15" s="922"/>
      <c r="AF15" s="922"/>
      <c r="AG15" s="922"/>
      <c r="AH15" s="922"/>
      <c r="AI15" s="922"/>
      <c r="AJ15" s="922"/>
      <c r="AK15" s="922"/>
      <c r="AL15" s="634" t="s">
        <v>40</v>
      </c>
      <c r="AM15" s="634" t="s">
        <v>41</v>
      </c>
      <c r="AN15" s="634" t="s">
        <v>42</v>
      </c>
      <c r="AO15" s="634" t="s">
        <v>43</v>
      </c>
      <c r="AP15" s="634" t="s">
        <v>42</v>
      </c>
      <c r="AQ15" s="634" t="s">
        <v>44</v>
      </c>
      <c r="AR15" s="634" t="s">
        <v>44</v>
      </c>
      <c r="AS15" s="634" t="s">
        <v>43</v>
      </c>
      <c r="AT15" s="634" t="s">
        <v>45</v>
      </c>
      <c r="AU15" s="634" t="s">
        <v>46</v>
      </c>
      <c r="AV15" s="634" t="s">
        <v>47</v>
      </c>
      <c r="AW15" s="634" t="s">
        <v>48</v>
      </c>
      <c r="AX15" s="969"/>
      <c r="AY15" s="922"/>
    </row>
    <row r="16" spans="1:51" ht="195" x14ac:dyDescent="0.25">
      <c r="A16" s="635" t="s">
        <v>223</v>
      </c>
      <c r="B16" s="139" t="s">
        <v>224</v>
      </c>
      <c r="C16" s="919" t="s">
        <v>3178</v>
      </c>
      <c r="D16" s="919" t="s">
        <v>3179</v>
      </c>
      <c r="E16" s="990" t="s">
        <v>3180</v>
      </c>
      <c r="F16" s="139" t="s">
        <v>3181</v>
      </c>
      <c r="G16" s="919" t="s">
        <v>3182</v>
      </c>
      <c r="H16" s="139" t="s">
        <v>3183</v>
      </c>
      <c r="I16" s="139" t="s">
        <v>3184</v>
      </c>
      <c r="J16" s="652">
        <v>0</v>
      </c>
      <c r="K16" s="652" t="s">
        <v>322</v>
      </c>
      <c r="L16" s="652">
        <v>1</v>
      </c>
      <c r="M16" s="152">
        <v>1</v>
      </c>
      <c r="N16" s="139" t="s">
        <v>3184</v>
      </c>
      <c r="O16" s="152">
        <v>0</v>
      </c>
      <c r="P16" s="542">
        <v>1510325</v>
      </c>
      <c r="Q16" s="542">
        <v>1510325</v>
      </c>
      <c r="R16" s="152"/>
      <c r="S16" s="152"/>
      <c r="T16" s="152"/>
      <c r="U16" s="152"/>
      <c r="V16" s="152"/>
      <c r="W16" s="152"/>
      <c r="X16" s="152"/>
      <c r="Y16" s="152"/>
      <c r="Z16" s="152"/>
      <c r="AA16" s="152"/>
      <c r="AB16" s="152"/>
      <c r="AC16" s="152"/>
      <c r="AD16" s="152"/>
      <c r="AE16" s="152" t="s">
        <v>3185</v>
      </c>
      <c r="AF16" s="152" t="s">
        <v>3186</v>
      </c>
      <c r="AG16" s="152">
        <v>42</v>
      </c>
      <c r="AH16" s="152">
        <v>7</v>
      </c>
      <c r="AI16" s="152">
        <v>1350000</v>
      </c>
      <c r="AJ16" s="542">
        <v>1510325</v>
      </c>
      <c r="AK16" s="152" t="s">
        <v>3187</v>
      </c>
      <c r="AL16" s="152" t="s">
        <v>395</v>
      </c>
      <c r="AM16" s="152" t="s">
        <v>395</v>
      </c>
      <c r="AN16" s="152" t="s">
        <v>395</v>
      </c>
      <c r="AO16" s="152" t="s">
        <v>395</v>
      </c>
      <c r="AP16" s="152" t="s">
        <v>395</v>
      </c>
      <c r="AQ16" s="152" t="s">
        <v>395</v>
      </c>
      <c r="AR16" s="152" t="s">
        <v>395</v>
      </c>
      <c r="AS16" s="152" t="s">
        <v>395</v>
      </c>
      <c r="AT16" s="152" t="s">
        <v>395</v>
      </c>
      <c r="AU16" s="152" t="s">
        <v>395</v>
      </c>
      <c r="AV16" s="152" t="s">
        <v>395</v>
      </c>
      <c r="AW16" s="152" t="s">
        <v>395</v>
      </c>
      <c r="AX16" s="158" t="s">
        <v>3188</v>
      </c>
      <c r="AY16" s="158"/>
    </row>
    <row r="17" spans="1:51" ht="180" x14ac:dyDescent="0.25">
      <c r="A17" s="635" t="s">
        <v>223</v>
      </c>
      <c r="B17" s="139" t="s">
        <v>224</v>
      </c>
      <c r="C17" s="919"/>
      <c r="D17" s="919"/>
      <c r="E17" s="990"/>
      <c r="F17" s="139" t="s">
        <v>3181</v>
      </c>
      <c r="G17" s="919"/>
      <c r="H17" s="139" t="s">
        <v>3189</v>
      </c>
      <c r="I17" s="139" t="s">
        <v>3190</v>
      </c>
      <c r="J17" s="653" t="s">
        <v>3191</v>
      </c>
      <c r="K17" s="652" t="s">
        <v>322</v>
      </c>
      <c r="L17" s="653">
        <v>1</v>
      </c>
      <c r="M17" s="152">
        <v>1</v>
      </c>
      <c r="N17" s="139" t="s">
        <v>3190</v>
      </c>
      <c r="O17" s="653" t="s">
        <v>3191</v>
      </c>
      <c r="P17" s="542">
        <v>14844266</v>
      </c>
      <c r="Q17" s="542">
        <v>14844266</v>
      </c>
      <c r="R17" s="152"/>
      <c r="S17" s="152"/>
      <c r="T17" s="152"/>
      <c r="U17" s="152"/>
      <c r="V17" s="152"/>
      <c r="W17" s="152"/>
      <c r="X17" s="152"/>
      <c r="Y17" s="152"/>
      <c r="Z17" s="152"/>
      <c r="AA17" s="152"/>
      <c r="AB17" s="152"/>
      <c r="AC17" s="152"/>
      <c r="AD17" s="152"/>
      <c r="AE17" s="152" t="s">
        <v>3192</v>
      </c>
      <c r="AF17" s="152">
        <v>0</v>
      </c>
      <c r="AG17" s="152">
        <v>42</v>
      </c>
      <c r="AH17" s="152">
        <v>7</v>
      </c>
      <c r="AI17" s="152">
        <v>1340000</v>
      </c>
      <c r="AJ17" s="542">
        <v>14844266</v>
      </c>
      <c r="AK17" s="152" t="s">
        <v>3193</v>
      </c>
      <c r="AL17" s="152" t="s">
        <v>395</v>
      </c>
      <c r="AM17" s="152" t="s">
        <v>395</v>
      </c>
      <c r="AN17" s="152" t="s">
        <v>395</v>
      </c>
      <c r="AO17" s="152" t="s">
        <v>395</v>
      </c>
      <c r="AP17" s="152" t="s">
        <v>395</v>
      </c>
      <c r="AQ17" s="152" t="s">
        <v>395</v>
      </c>
      <c r="AR17" s="152" t="s">
        <v>395</v>
      </c>
      <c r="AS17" s="152" t="s">
        <v>395</v>
      </c>
      <c r="AT17" s="152" t="s">
        <v>395</v>
      </c>
      <c r="AU17" s="152" t="s">
        <v>395</v>
      </c>
      <c r="AV17" s="152" t="s">
        <v>395</v>
      </c>
      <c r="AW17" s="152" t="s">
        <v>395</v>
      </c>
      <c r="AX17" s="158" t="s">
        <v>3194</v>
      </c>
      <c r="AY17" s="158"/>
    </row>
    <row r="18" spans="1:51" ht="120" x14ac:dyDescent="0.25">
      <c r="A18" s="635" t="s">
        <v>223</v>
      </c>
      <c r="B18" s="139" t="s">
        <v>224</v>
      </c>
      <c r="C18" s="919"/>
      <c r="D18" s="919"/>
      <c r="E18" s="990"/>
      <c r="F18" s="139" t="s">
        <v>3181</v>
      </c>
      <c r="G18" s="919"/>
      <c r="H18" s="139" t="s">
        <v>3195</v>
      </c>
      <c r="I18" s="139" t="s">
        <v>3196</v>
      </c>
      <c r="J18" s="653">
        <v>0</v>
      </c>
      <c r="K18" s="653"/>
      <c r="L18" s="653">
        <v>1</v>
      </c>
      <c r="M18" s="152"/>
      <c r="N18" s="139" t="s">
        <v>3196</v>
      </c>
      <c r="O18" s="152">
        <v>0</v>
      </c>
      <c r="P18" s="654"/>
      <c r="Q18" s="654"/>
      <c r="R18" s="152"/>
      <c r="S18" s="152"/>
      <c r="T18" s="152"/>
      <c r="U18" s="152"/>
      <c r="V18" s="152"/>
      <c r="W18" s="152"/>
      <c r="X18" s="152"/>
      <c r="Y18" s="152"/>
      <c r="Z18" s="152"/>
      <c r="AA18" s="152"/>
      <c r="AB18" s="654"/>
      <c r="AC18" s="152"/>
      <c r="AD18" s="152"/>
      <c r="AE18" s="139" t="s">
        <v>3197</v>
      </c>
      <c r="AF18" s="152">
        <v>0</v>
      </c>
      <c r="AG18" s="152">
        <v>42</v>
      </c>
      <c r="AH18" s="152">
        <v>7</v>
      </c>
      <c r="AI18" s="152">
        <v>1340000</v>
      </c>
      <c r="AJ18" s="654">
        <v>38400</v>
      </c>
      <c r="AK18" s="139" t="s">
        <v>3198</v>
      </c>
      <c r="AL18" s="152"/>
      <c r="AM18" s="152"/>
      <c r="AN18" s="152"/>
      <c r="AO18" s="152"/>
      <c r="AP18" s="152"/>
      <c r="AQ18" s="152"/>
      <c r="AR18" s="152"/>
      <c r="AS18" s="152"/>
      <c r="AT18" s="152"/>
      <c r="AU18" s="152"/>
      <c r="AV18" s="152"/>
      <c r="AW18" s="152"/>
      <c r="AX18" s="158" t="s">
        <v>3199</v>
      </c>
      <c r="AY18" s="158" t="s">
        <v>3200</v>
      </c>
    </row>
    <row r="19" spans="1:51" ht="195" x14ac:dyDescent="0.25">
      <c r="A19" s="635" t="s">
        <v>223</v>
      </c>
      <c r="B19" s="139" t="s">
        <v>224</v>
      </c>
      <c r="C19" s="919"/>
      <c r="D19" s="919"/>
      <c r="E19" s="990"/>
      <c r="F19" s="139" t="s">
        <v>3181</v>
      </c>
      <c r="G19" s="919"/>
      <c r="H19" s="139" t="s">
        <v>3201</v>
      </c>
      <c r="I19" s="139" t="s">
        <v>3202</v>
      </c>
      <c r="J19" s="652">
        <v>0</v>
      </c>
      <c r="K19" s="652"/>
      <c r="L19" s="652">
        <v>1</v>
      </c>
      <c r="M19" s="152"/>
      <c r="N19" s="139" t="s">
        <v>3202</v>
      </c>
      <c r="O19" s="152">
        <v>0</v>
      </c>
      <c r="P19" s="655"/>
      <c r="Q19" s="656"/>
      <c r="R19" s="152"/>
      <c r="S19" s="152"/>
      <c r="T19" s="152"/>
      <c r="U19" s="152"/>
      <c r="V19" s="152"/>
      <c r="W19" s="152"/>
      <c r="X19" s="152"/>
      <c r="Y19" s="152"/>
      <c r="Z19" s="152"/>
      <c r="AA19" s="152"/>
      <c r="AB19" s="655"/>
      <c r="AC19" s="152"/>
      <c r="AD19" s="152"/>
      <c r="AE19" s="152" t="s">
        <v>3203</v>
      </c>
      <c r="AF19" s="152">
        <v>0</v>
      </c>
      <c r="AG19" s="152">
        <v>42</v>
      </c>
      <c r="AH19" s="152">
        <v>7</v>
      </c>
      <c r="AI19" s="152">
        <v>1340000</v>
      </c>
      <c r="AJ19" s="655">
        <v>25600</v>
      </c>
      <c r="AK19" s="152" t="s">
        <v>3204</v>
      </c>
      <c r="AL19" s="152"/>
      <c r="AM19" s="152"/>
      <c r="AN19" s="152"/>
      <c r="AO19" s="152"/>
      <c r="AP19" s="152"/>
      <c r="AQ19" s="152"/>
      <c r="AR19" s="152"/>
      <c r="AS19" s="152"/>
      <c r="AT19" s="152"/>
      <c r="AU19" s="152"/>
      <c r="AV19" s="152"/>
      <c r="AW19" s="152"/>
      <c r="AX19" s="158" t="s">
        <v>3205</v>
      </c>
      <c r="AY19" s="158" t="s">
        <v>3200</v>
      </c>
    </row>
    <row r="20" spans="1:51" x14ac:dyDescent="0.25">
      <c r="A20" s="126"/>
      <c r="B20" s="126"/>
      <c r="C20" s="126"/>
      <c r="D20" s="126"/>
      <c r="E20" s="126"/>
      <c r="F20" s="126"/>
      <c r="G20" s="126"/>
      <c r="H20" s="127"/>
      <c r="I20" s="126"/>
      <c r="J20" s="126"/>
      <c r="K20" s="126"/>
      <c r="L20" s="126"/>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row>
    <row r="21" spans="1:51" x14ac:dyDescent="0.25">
      <c r="A21" s="986" t="s">
        <v>311</v>
      </c>
      <c r="B21" s="986"/>
      <c r="C21" s="657"/>
      <c r="D21" s="657"/>
      <c r="E21" s="126"/>
      <c r="F21" s="126"/>
      <c r="G21" s="126"/>
      <c r="H21" s="127"/>
      <c r="I21" s="126"/>
      <c r="J21" s="126"/>
      <c r="K21" s="126"/>
      <c r="L21" s="126"/>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row>
    <row r="22" spans="1:51" x14ac:dyDescent="0.25">
      <c r="A22" s="986" t="s">
        <v>312</v>
      </c>
      <c r="B22" s="986"/>
      <c r="C22" s="988" t="s">
        <v>3206</v>
      </c>
      <c r="D22" s="988"/>
      <c r="E22" s="126"/>
      <c r="F22" s="126"/>
      <c r="G22" s="126"/>
      <c r="H22" s="127"/>
      <c r="I22" s="126"/>
      <c r="J22" s="126"/>
      <c r="K22" s="126"/>
      <c r="L22" s="126"/>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row>
    <row r="23" spans="1:51" x14ac:dyDescent="0.25">
      <c r="A23" s="986" t="s">
        <v>313</v>
      </c>
      <c r="B23" s="986"/>
      <c r="C23" s="988" t="s">
        <v>3207</v>
      </c>
      <c r="D23" s="988"/>
      <c r="E23" s="126"/>
      <c r="F23" s="126"/>
      <c r="G23" s="126"/>
      <c r="H23" s="127"/>
      <c r="I23" s="126"/>
      <c r="J23" s="126"/>
      <c r="K23" s="126"/>
      <c r="L23" s="126"/>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row>
    <row r="24" spans="1:51" x14ac:dyDescent="0.25">
      <c r="A24" s="986" t="s">
        <v>314</v>
      </c>
      <c r="B24" s="986"/>
      <c r="C24" s="988" t="s">
        <v>3206</v>
      </c>
      <c r="D24" s="988"/>
      <c r="E24" s="126"/>
      <c r="F24" s="126"/>
      <c r="G24" s="126"/>
      <c r="H24" s="127"/>
      <c r="I24" s="126"/>
      <c r="J24" s="126"/>
      <c r="K24" s="126"/>
      <c r="L24" s="126"/>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row>
    <row r="25" spans="1:51" x14ac:dyDescent="0.25">
      <c r="A25" s="986" t="s">
        <v>315</v>
      </c>
      <c r="B25" s="986"/>
      <c r="C25" s="987" t="s">
        <v>3208</v>
      </c>
      <c r="D25" s="988"/>
      <c r="E25" s="126"/>
      <c r="F25" s="126"/>
      <c r="G25" s="126"/>
      <c r="H25" s="127"/>
      <c r="I25" s="126"/>
      <c r="J25" s="126"/>
      <c r="K25" s="126"/>
      <c r="L25" s="126"/>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row>
    <row r="26" spans="1:51" x14ac:dyDescent="0.25">
      <c r="A26" s="658"/>
      <c r="B26" s="658"/>
      <c r="C26" s="658"/>
      <c r="D26" s="658"/>
      <c r="E26" s="126"/>
      <c r="F26" s="126"/>
      <c r="G26" s="126"/>
      <c r="H26" s="127"/>
      <c r="I26" s="126"/>
      <c r="J26" s="126"/>
      <c r="K26" s="126"/>
      <c r="L26" s="126"/>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row>
    <row r="27" spans="1:51" x14ac:dyDescent="0.25">
      <c r="A27" s="126"/>
      <c r="B27" s="126"/>
      <c r="C27" s="126"/>
      <c r="D27" s="126"/>
      <c r="E27" s="126"/>
      <c r="F27" s="126"/>
      <c r="G27" s="126"/>
      <c r="H27" s="127"/>
      <c r="I27" s="126"/>
      <c r="J27" s="126"/>
      <c r="K27" s="126"/>
      <c r="L27" s="126"/>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row>
    <row r="28" spans="1:51" x14ac:dyDescent="0.25">
      <c r="A28" s="126"/>
      <c r="B28" s="126"/>
      <c r="C28" s="126"/>
      <c r="D28" s="126"/>
      <c r="E28" s="126"/>
      <c r="F28" s="126"/>
      <c r="G28" s="126"/>
      <c r="H28" s="127"/>
      <c r="I28" s="126"/>
      <c r="J28" s="126"/>
      <c r="K28" s="126"/>
      <c r="L28" s="126"/>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row>
    <row r="29" spans="1:51" x14ac:dyDescent="0.25">
      <c r="A29" s="126"/>
      <c r="B29" s="126"/>
      <c r="C29" s="126"/>
      <c r="D29" s="126"/>
      <c r="E29" s="126"/>
      <c r="F29" s="126"/>
      <c r="G29" s="126"/>
      <c r="H29" s="127"/>
      <c r="I29" s="126"/>
      <c r="J29" s="126"/>
      <c r="K29" s="126"/>
      <c r="L29" s="126"/>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row>
    <row r="30" spans="1:51" x14ac:dyDescent="0.25">
      <c r="A30" s="126"/>
      <c r="B30" s="126"/>
      <c r="C30" s="126"/>
      <c r="D30" s="126"/>
      <c r="E30" s="126"/>
      <c r="F30" s="126"/>
      <c r="G30" s="126"/>
      <c r="H30" s="127"/>
      <c r="I30" s="126"/>
      <c r="J30" s="126"/>
      <c r="K30" s="126"/>
      <c r="L30" s="126"/>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row>
    <row r="31" spans="1:51" x14ac:dyDescent="0.25">
      <c r="A31" s="126"/>
      <c r="B31" s="126"/>
      <c r="C31" s="126"/>
      <c r="D31" s="126"/>
      <c r="E31" s="126"/>
      <c r="F31" s="126"/>
      <c r="G31" s="126"/>
      <c r="H31" s="127"/>
      <c r="I31" s="126"/>
      <c r="J31" s="126"/>
      <c r="K31" s="126"/>
      <c r="L31" s="126"/>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row>
    <row r="32" spans="1:51" x14ac:dyDescent="0.25">
      <c r="A32" s="126"/>
      <c r="B32" s="126"/>
      <c r="C32" s="126"/>
      <c r="D32" s="126"/>
      <c r="E32" s="126"/>
      <c r="F32" s="126"/>
      <c r="G32" s="126"/>
      <c r="H32" s="127"/>
      <c r="I32" s="126"/>
      <c r="J32" s="126"/>
      <c r="K32" s="126"/>
      <c r="L32" s="126"/>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row>
    <row r="33" spans="1:51" x14ac:dyDescent="0.25">
      <c r="A33" s="126"/>
      <c r="B33" s="126"/>
      <c r="C33" s="126"/>
      <c r="D33" s="126"/>
      <c r="E33" s="126"/>
      <c r="F33" s="126"/>
      <c r="G33" s="126"/>
      <c r="H33" s="127"/>
      <c r="I33" s="126"/>
      <c r="J33" s="126"/>
      <c r="K33" s="126"/>
      <c r="L33" s="126"/>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row>
    <row r="34" spans="1:51" x14ac:dyDescent="0.25">
      <c r="A34" s="126"/>
      <c r="B34" s="126"/>
      <c r="C34" s="126"/>
      <c r="D34" s="126"/>
      <c r="E34" s="126"/>
      <c r="F34" s="126"/>
      <c r="G34" s="126"/>
      <c r="H34" s="127"/>
      <c r="I34" s="126"/>
      <c r="J34" s="126"/>
      <c r="K34" s="126"/>
      <c r="L34" s="126"/>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row>
    <row r="35" spans="1:51" x14ac:dyDescent="0.25">
      <c r="A35" s="126"/>
      <c r="B35" s="126"/>
      <c r="C35" s="126"/>
      <c r="D35" s="126"/>
      <c r="E35" s="126"/>
      <c r="F35" s="126"/>
      <c r="G35" s="126"/>
      <c r="H35" s="127"/>
      <c r="I35" s="126"/>
      <c r="J35" s="126"/>
      <c r="K35" s="126"/>
      <c r="L35" s="126"/>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row>
    <row r="36" spans="1:51" x14ac:dyDescent="0.25">
      <c r="A36" s="126"/>
      <c r="B36" s="126"/>
      <c r="C36" s="126"/>
      <c r="D36" s="126"/>
      <c r="E36" s="126"/>
      <c r="F36" s="126"/>
      <c r="G36" s="126"/>
      <c r="H36" s="127"/>
      <c r="I36" s="126"/>
      <c r="J36" s="126"/>
      <c r="K36" s="126"/>
      <c r="L36" s="126"/>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row>
  </sheetData>
  <sheetProtection password="C71C" sheet="1" objects="1" scenarios="1"/>
  <mergeCells count="45">
    <mergeCell ref="F14:F15"/>
    <mergeCell ref="A2:L2"/>
    <mergeCell ref="A3:L3"/>
    <mergeCell ref="A5:L5"/>
    <mergeCell ref="A6:L6"/>
    <mergeCell ref="A9:M9"/>
    <mergeCell ref="A11:M11"/>
    <mergeCell ref="A14:A15"/>
    <mergeCell ref="B14:B15"/>
    <mergeCell ref="C14:C15"/>
    <mergeCell ref="D14:D15"/>
    <mergeCell ref="E14:E15"/>
    <mergeCell ref="AE14:AE15"/>
    <mergeCell ref="AF14:AF15"/>
    <mergeCell ref="G14:G15"/>
    <mergeCell ref="H14:H15"/>
    <mergeCell ref="I14:I15"/>
    <mergeCell ref="J14:J15"/>
    <mergeCell ref="K14:K15"/>
    <mergeCell ref="L14:L15"/>
    <mergeCell ref="AX14:AX15"/>
    <mergeCell ref="AY14:AY15"/>
    <mergeCell ref="C16:C19"/>
    <mergeCell ref="D16:D19"/>
    <mergeCell ref="E16:E19"/>
    <mergeCell ref="G16:G19"/>
    <mergeCell ref="AG14:AG15"/>
    <mergeCell ref="AH14:AH15"/>
    <mergeCell ref="AI14:AI15"/>
    <mergeCell ref="AJ14:AJ15"/>
    <mergeCell ref="AK14:AK15"/>
    <mergeCell ref="AL14:AW14"/>
    <mergeCell ref="M14:M15"/>
    <mergeCell ref="N14:O14"/>
    <mergeCell ref="P14:P15"/>
    <mergeCell ref="Q14:AD14"/>
    <mergeCell ref="A25:B25"/>
    <mergeCell ref="C25:D25"/>
    <mergeCell ref="A21:B21"/>
    <mergeCell ref="A22:B22"/>
    <mergeCell ref="C22:D22"/>
    <mergeCell ref="A23:B23"/>
    <mergeCell ref="C23:D23"/>
    <mergeCell ref="A24:B24"/>
    <mergeCell ref="C24:D2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2"/>
  <sheetViews>
    <sheetView topLeftCell="A13" workbookViewId="0">
      <selection activeCell="H17" sqref="H17"/>
    </sheetView>
  </sheetViews>
  <sheetFormatPr baseColWidth="10" defaultRowHeight="15" x14ac:dyDescent="0.25"/>
  <cols>
    <col min="38" max="49" width="4.7109375" customWidth="1"/>
    <col min="51" max="51" width="17.28515625" customWidth="1"/>
  </cols>
  <sheetData>
    <row r="1" spans="1:51"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ht="18" x14ac:dyDescent="0.25">
      <c r="A2" s="910" t="s">
        <v>0</v>
      </c>
      <c r="B2" s="910"/>
      <c r="C2" s="910"/>
      <c r="D2" s="910"/>
      <c r="E2" s="910"/>
      <c r="F2" s="910"/>
      <c r="G2" s="910"/>
      <c r="H2" s="910"/>
      <c r="I2" s="910"/>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ht="18" x14ac:dyDescent="0.25">
      <c r="A3" s="911" t="s">
        <v>1</v>
      </c>
      <c r="B3" s="911"/>
      <c r="C3" s="911"/>
      <c r="D3" s="911"/>
      <c r="E3" s="911"/>
      <c r="F3" s="911"/>
      <c r="G3" s="911"/>
      <c r="H3" s="911"/>
      <c r="I3" s="911"/>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x14ac:dyDescent="0.25">
      <c r="A4" s="131"/>
      <c r="B4" s="126"/>
      <c r="C4" s="126"/>
      <c r="D4" s="126"/>
      <c r="E4" s="126"/>
      <c r="F4" s="126"/>
      <c r="G4" s="126"/>
      <c r="H4" s="127"/>
      <c r="I4" s="126"/>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ht="18" x14ac:dyDescent="0.25">
      <c r="A5" s="912" t="s">
        <v>2</v>
      </c>
      <c r="B5" s="912"/>
      <c r="C5" s="912"/>
      <c r="D5" s="912"/>
      <c r="E5" s="912"/>
      <c r="F5" s="912"/>
      <c r="G5" s="912"/>
      <c r="H5" s="912"/>
      <c r="I5" s="912"/>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ht="18" x14ac:dyDescent="0.25">
      <c r="A6" s="910" t="s">
        <v>321</v>
      </c>
      <c r="B6" s="910"/>
      <c r="C6" s="910"/>
      <c r="D6" s="910"/>
      <c r="E6" s="910"/>
      <c r="F6" s="910"/>
      <c r="G6" s="910"/>
      <c r="H6" s="910"/>
      <c r="I6" s="910"/>
      <c r="J6" s="910"/>
      <c r="K6" s="910"/>
      <c r="L6" s="910"/>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1" ht="18" x14ac:dyDescent="0.25">
      <c r="A7" s="199"/>
      <c r="B7" s="199"/>
      <c r="C7" s="199"/>
      <c r="D7" s="199"/>
      <c r="E7" s="199"/>
      <c r="F7" s="199"/>
      <c r="G7" s="199"/>
      <c r="H7" s="199"/>
      <c r="I7" s="199"/>
      <c r="J7" s="199"/>
      <c r="K7" s="199"/>
      <c r="L7" s="19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1" ht="18" x14ac:dyDescent="0.25">
      <c r="A8" s="199"/>
      <c r="B8" s="199"/>
      <c r="C8" s="199"/>
      <c r="D8" s="199"/>
      <c r="E8" s="199"/>
      <c r="F8" s="199"/>
      <c r="G8" s="199"/>
      <c r="H8" s="199"/>
      <c r="I8" s="199"/>
      <c r="J8" s="199"/>
      <c r="K8" s="199"/>
      <c r="L8" s="19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1" x14ac:dyDescent="0.25">
      <c r="A9" s="861" t="s">
        <v>2935</v>
      </c>
      <c r="B9" s="861"/>
      <c r="C9" s="861"/>
      <c r="D9" s="861"/>
      <c r="E9" s="861"/>
      <c r="F9" s="861"/>
      <c r="G9" s="861"/>
      <c r="H9" s="861"/>
      <c r="I9" s="861"/>
      <c r="J9" s="861"/>
      <c r="K9" s="861"/>
      <c r="L9" s="861"/>
      <c r="M9" s="861"/>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1" ht="18" x14ac:dyDescent="0.25">
      <c r="A10" s="200"/>
      <c r="B10" s="200"/>
      <c r="C10" s="200"/>
      <c r="D10" s="200"/>
      <c r="E10" s="200"/>
      <c r="F10" s="199"/>
      <c r="G10" s="199"/>
      <c r="H10" s="199"/>
      <c r="I10" s="199"/>
      <c r="J10" s="199"/>
      <c r="K10" s="199"/>
      <c r="L10" s="199"/>
      <c r="M10" s="19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1" x14ac:dyDescent="0.25">
      <c r="A11" s="861" t="s">
        <v>1448</v>
      </c>
      <c r="B11" s="861"/>
      <c r="C11" s="861"/>
      <c r="D11" s="861"/>
      <c r="E11" s="861"/>
      <c r="F11" s="861"/>
      <c r="G11" s="861"/>
      <c r="H11" s="861"/>
      <c r="I11" s="861"/>
      <c r="J11" s="861"/>
      <c r="K11" s="861"/>
      <c r="L11" s="861"/>
      <c r="M11" s="861"/>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row>
    <row r="12" spans="1:51" ht="18" x14ac:dyDescent="0.25">
      <c r="A12" s="199"/>
      <c r="B12" s="199"/>
      <c r="C12" s="199"/>
      <c r="D12" s="199"/>
      <c r="E12" s="199"/>
      <c r="F12" s="199"/>
      <c r="G12" s="199"/>
      <c r="H12" s="199"/>
      <c r="I12" s="199"/>
      <c r="J12" s="199"/>
      <c r="K12" s="199"/>
      <c r="L12" s="19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1" ht="18" x14ac:dyDescent="0.25">
      <c r="A13" s="199"/>
      <c r="B13" s="199"/>
      <c r="C13" s="199"/>
      <c r="D13" s="199"/>
      <c r="E13" s="199"/>
      <c r="F13" s="199"/>
      <c r="G13" s="199"/>
      <c r="H13" s="199"/>
      <c r="I13" s="199"/>
      <c r="J13" s="199"/>
      <c r="K13" s="199"/>
      <c r="L13" s="19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row>
    <row r="14" spans="1:51" x14ac:dyDescent="0.25">
      <c r="A14" s="126"/>
      <c r="B14" s="126"/>
      <c r="C14" s="126"/>
      <c r="D14" s="126"/>
      <c r="E14" s="126"/>
      <c r="F14" s="126"/>
      <c r="G14" s="126"/>
      <c r="H14" s="127"/>
      <c r="I14" s="126"/>
      <c r="J14" s="126"/>
      <c r="K14" s="126"/>
      <c r="L14" s="126"/>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row>
    <row r="15" spans="1:51" ht="24" customHeight="1" x14ac:dyDescent="0.25">
      <c r="A15" s="866" t="s">
        <v>3</v>
      </c>
      <c r="B15" s="866" t="s">
        <v>4</v>
      </c>
      <c r="C15" s="864" t="s">
        <v>5</v>
      </c>
      <c r="D15" s="864" t="s">
        <v>6</v>
      </c>
      <c r="E15" s="864" t="s">
        <v>7</v>
      </c>
      <c r="F15" s="864" t="s">
        <v>8</v>
      </c>
      <c r="G15" s="864" t="s">
        <v>9</v>
      </c>
      <c r="H15" s="864" t="s">
        <v>10</v>
      </c>
      <c r="I15" s="864" t="s">
        <v>11</v>
      </c>
      <c r="J15" s="864" t="s">
        <v>12</v>
      </c>
      <c r="K15" s="864" t="s">
        <v>13</v>
      </c>
      <c r="L15" s="864" t="s">
        <v>14</v>
      </c>
      <c r="M15" s="869" t="s">
        <v>325</v>
      </c>
      <c r="N15" s="853" t="s">
        <v>11</v>
      </c>
      <c r="O15" s="853"/>
      <c r="P15" s="853" t="s">
        <v>326</v>
      </c>
      <c r="Q15" s="915" t="s">
        <v>15</v>
      </c>
      <c r="R15" s="915"/>
      <c r="S15" s="915"/>
      <c r="T15" s="915"/>
      <c r="U15" s="915"/>
      <c r="V15" s="915"/>
      <c r="W15" s="915"/>
      <c r="X15" s="915"/>
      <c r="Y15" s="915"/>
      <c r="Z15" s="915"/>
      <c r="AA15" s="915"/>
      <c r="AB15" s="915"/>
      <c r="AC15" s="915"/>
      <c r="AD15" s="915"/>
      <c r="AE15" s="915" t="s">
        <v>16</v>
      </c>
      <c r="AF15" s="915" t="s">
        <v>17</v>
      </c>
      <c r="AG15" s="915" t="s">
        <v>18</v>
      </c>
      <c r="AH15" s="921" t="s">
        <v>19</v>
      </c>
      <c r="AI15" s="915" t="s">
        <v>619</v>
      </c>
      <c r="AJ15" s="915" t="s">
        <v>2774</v>
      </c>
      <c r="AK15" s="915" t="s">
        <v>21</v>
      </c>
      <c r="AL15" s="916" t="s">
        <v>22</v>
      </c>
      <c r="AM15" s="916"/>
      <c r="AN15" s="916"/>
      <c r="AO15" s="916"/>
      <c r="AP15" s="916"/>
      <c r="AQ15" s="916"/>
      <c r="AR15" s="916"/>
      <c r="AS15" s="916"/>
      <c r="AT15" s="916"/>
      <c r="AU15" s="916"/>
      <c r="AV15" s="916"/>
      <c r="AW15" s="916"/>
      <c r="AX15" s="916" t="s">
        <v>23</v>
      </c>
      <c r="AY15" s="917" t="s">
        <v>24</v>
      </c>
    </row>
    <row r="16" spans="1:51" ht="63.75" x14ac:dyDescent="0.25">
      <c r="A16" s="867"/>
      <c r="B16" s="867"/>
      <c r="C16" s="868"/>
      <c r="D16" s="868"/>
      <c r="E16" s="868"/>
      <c r="F16" s="868"/>
      <c r="G16" s="868"/>
      <c r="H16" s="868"/>
      <c r="I16" s="868"/>
      <c r="J16" s="868"/>
      <c r="K16" s="868"/>
      <c r="L16" s="868"/>
      <c r="M16" s="902"/>
      <c r="N16" s="198" t="s">
        <v>25</v>
      </c>
      <c r="O16" s="198" t="s">
        <v>26</v>
      </c>
      <c r="P16" s="853"/>
      <c r="Q16" s="300" t="s">
        <v>27</v>
      </c>
      <c r="R16" s="300" t="s">
        <v>28</v>
      </c>
      <c r="S16" s="300" t="s">
        <v>29</v>
      </c>
      <c r="T16" s="300" t="s">
        <v>623</v>
      </c>
      <c r="U16" s="300" t="s">
        <v>30</v>
      </c>
      <c r="V16" s="300" t="s">
        <v>1449</v>
      </c>
      <c r="W16" s="300" t="s">
        <v>1450</v>
      </c>
      <c r="X16" s="300" t="s">
        <v>33</v>
      </c>
      <c r="Y16" s="300" t="s">
        <v>34</v>
      </c>
      <c r="Z16" s="300" t="s">
        <v>624</v>
      </c>
      <c r="AA16" s="300" t="s">
        <v>36</v>
      </c>
      <c r="AB16" s="300" t="s">
        <v>37</v>
      </c>
      <c r="AC16" s="300" t="s">
        <v>38</v>
      </c>
      <c r="AD16" s="300" t="s">
        <v>39</v>
      </c>
      <c r="AE16" s="915"/>
      <c r="AF16" s="915"/>
      <c r="AG16" s="915"/>
      <c r="AH16" s="922"/>
      <c r="AI16" s="915"/>
      <c r="AJ16" s="915"/>
      <c r="AK16" s="923"/>
      <c r="AL16" s="197" t="s">
        <v>40</v>
      </c>
      <c r="AM16" s="197" t="s">
        <v>41</v>
      </c>
      <c r="AN16" s="197" t="s">
        <v>42</v>
      </c>
      <c r="AO16" s="197" t="s">
        <v>43</v>
      </c>
      <c r="AP16" s="197" t="s">
        <v>42</v>
      </c>
      <c r="AQ16" s="197" t="s">
        <v>44</v>
      </c>
      <c r="AR16" s="197" t="s">
        <v>44</v>
      </c>
      <c r="AS16" s="197" t="s">
        <v>43</v>
      </c>
      <c r="AT16" s="197" t="s">
        <v>45</v>
      </c>
      <c r="AU16" s="197" t="s">
        <v>46</v>
      </c>
      <c r="AV16" s="197" t="s">
        <v>47</v>
      </c>
      <c r="AW16" s="197" t="s">
        <v>48</v>
      </c>
      <c r="AX16" s="916"/>
      <c r="AY16" s="918"/>
    </row>
    <row r="17" spans="1:51" ht="135" x14ac:dyDescent="0.25">
      <c r="A17" s="196" t="s">
        <v>223</v>
      </c>
      <c r="B17" s="252" t="s">
        <v>224</v>
      </c>
      <c r="C17" s="938" t="s">
        <v>2936</v>
      </c>
      <c r="D17" s="938" t="s">
        <v>2937</v>
      </c>
      <c r="E17" s="938" t="s">
        <v>2938</v>
      </c>
      <c r="F17" s="252" t="s">
        <v>2939</v>
      </c>
      <c r="G17" s="938" t="s">
        <v>2940</v>
      </c>
      <c r="H17" s="252" t="s">
        <v>2941</v>
      </c>
      <c r="I17" s="252" t="s">
        <v>2942</v>
      </c>
      <c r="J17" s="381">
        <v>11</v>
      </c>
      <c r="K17" s="381" t="s">
        <v>323</v>
      </c>
      <c r="L17" s="285">
        <v>11</v>
      </c>
      <c r="M17" s="381">
        <v>3</v>
      </c>
      <c r="N17" s="252" t="s">
        <v>2942</v>
      </c>
      <c r="O17" s="381">
        <v>12</v>
      </c>
      <c r="P17" s="566">
        <v>26900</v>
      </c>
      <c r="Q17" s="224">
        <v>16900</v>
      </c>
      <c r="R17" s="184"/>
      <c r="S17" s="184"/>
      <c r="T17" s="184"/>
      <c r="U17" s="184"/>
      <c r="V17" s="184"/>
      <c r="W17" s="184"/>
      <c r="X17" s="184"/>
      <c r="Y17" s="184"/>
      <c r="Z17" s="184"/>
      <c r="AA17" s="184"/>
      <c r="AB17" s="567">
        <v>10000</v>
      </c>
      <c r="AC17" s="184"/>
      <c r="AD17" s="184"/>
      <c r="AE17" s="184"/>
      <c r="AF17" s="184"/>
      <c r="AG17" s="184"/>
      <c r="AH17" s="184"/>
      <c r="AI17" s="184"/>
      <c r="AJ17" s="184"/>
      <c r="AK17" s="184"/>
      <c r="AL17" s="185" t="s">
        <v>751</v>
      </c>
      <c r="AM17" s="185" t="s">
        <v>751</v>
      </c>
      <c r="AN17" s="185" t="s">
        <v>751</v>
      </c>
      <c r="AO17" s="184"/>
      <c r="AP17" s="184"/>
      <c r="AQ17" s="184"/>
      <c r="AR17" s="180" t="s">
        <v>751</v>
      </c>
      <c r="AS17" s="180" t="s">
        <v>751</v>
      </c>
      <c r="AT17" s="184"/>
      <c r="AU17" s="184"/>
      <c r="AV17" s="184"/>
      <c r="AW17" s="185"/>
      <c r="AX17" s="568" t="s">
        <v>2943</v>
      </c>
      <c r="AY17" s="184"/>
    </row>
    <row r="18" spans="1:51" ht="165" x14ac:dyDescent="0.25">
      <c r="A18" s="196" t="s">
        <v>223</v>
      </c>
      <c r="B18" s="252" t="s">
        <v>224</v>
      </c>
      <c r="C18" s="938"/>
      <c r="D18" s="938"/>
      <c r="E18" s="938"/>
      <c r="F18" s="252" t="s">
        <v>2939</v>
      </c>
      <c r="G18" s="938"/>
      <c r="H18" s="252" t="s">
        <v>2944</v>
      </c>
      <c r="I18" s="252" t="s">
        <v>2945</v>
      </c>
      <c r="J18" s="381">
        <v>0</v>
      </c>
      <c r="K18" s="381" t="s">
        <v>323</v>
      </c>
      <c r="L18" s="228">
        <v>0.1</v>
      </c>
      <c r="M18" s="228">
        <v>0.1</v>
      </c>
      <c r="N18" s="252" t="s">
        <v>2945</v>
      </c>
      <c r="O18" s="381">
        <v>0</v>
      </c>
      <c r="P18" s="566">
        <v>10000</v>
      </c>
      <c r="Q18" s="224">
        <v>10000</v>
      </c>
      <c r="R18" s="184"/>
      <c r="S18" s="184"/>
      <c r="T18" s="184"/>
      <c r="U18" s="184"/>
      <c r="V18" s="184"/>
      <c r="W18" s="184"/>
      <c r="X18" s="184"/>
      <c r="Y18" s="184"/>
      <c r="Z18" s="184"/>
      <c r="AA18" s="184"/>
      <c r="AB18" s="567"/>
      <c r="AC18" s="184"/>
      <c r="AD18" s="184"/>
      <c r="AE18" s="184"/>
      <c r="AF18" s="184"/>
      <c r="AG18" s="184"/>
      <c r="AH18" s="184"/>
      <c r="AI18" s="184"/>
      <c r="AJ18" s="184"/>
      <c r="AK18" s="184"/>
      <c r="AL18" s="184"/>
      <c r="AM18" s="184"/>
      <c r="AN18" s="184"/>
      <c r="AO18" s="180" t="s">
        <v>751</v>
      </c>
      <c r="AP18" s="180" t="s">
        <v>751</v>
      </c>
      <c r="AQ18" s="180" t="s">
        <v>751</v>
      </c>
      <c r="AR18" s="180" t="s">
        <v>751</v>
      </c>
      <c r="AS18" s="180" t="s">
        <v>751</v>
      </c>
      <c r="AT18" s="180" t="s">
        <v>751</v>
      </c>
      <c r="AU18" s="180" t="s">
        <v>751</v>
      </c>
      <c r="AV18" s="180" t="s">
        <v>751</v>
      </c>
      <c r="AW18" s="180" t="s">
        <v>751</v>
      </c>
      <c r="AX18" s="183" t="s">
        <v>2946</v>
      </c>
      <c r="AY18" s="184"/>
    </row>
    <row r="19" spans="1:51" ht="135" x14ac:dyDescent="0.25">
      <c r="A19" s="196" t="s">
        <v>223</v>
      </c>
      <c r="B19" s="252" t="s">
        <v>224</v>
      </c>
      <c r="C19" s="938"/>
      <c r="D19" s="938"/>
      <c r="E19" s="938"/>
      <c r="F19" s="252" t="s">
        <v>2939</v>
      </c>
      <c r="G19" s="196" t="s">
        <v>2947</v>
      </c>
      <c r="H19" s="253" t="s">
        <v>2948</v>
      </c>
      <c r="I19" s="252" t="s">
        <v>2949</v>
      </c>
      <c r="J19" s="177">
        <v>8</v>
      </c>
      <c r="K19" s="381" t="s">
        <v>323</v>
      </c>
      <c r="L19" s="569">
        <v>19</v>
      </c>
      <c r="M19" s="177">
        <v>2</v>
      </c>
      <c r="N19" s="252" t="s">
        <v>2949</v>
      </c>
      <c r="O19" s="177">
        <v>18</v>
      </c>
      <c r="P19" s="566">
        <v>18000</v>
      </c>
      <c r="Q19" s="224">
        <v>9000</v>
      </c>
      <c r="R19" s="184"/>
      <c r="S19" s="184"/>
      <c r="T19" s="184"/>
      <c r="U19" s="184"/>
      <c r="V19" s="184"/>
      <c r="W19" s="184"/>
      <c r="X19" s="184"/>
      <c r="Y19" s="184"/>
      <c r="Z19" s="184"/>
      <c r="AA19" s="184"/>
      <c r="AB19" s="567">
        <v>9000</v>
      </c>
      <c r="AC19" s="184"/>
      <c r="AD19" s="184"/>
      <c r="AE19" s="184"/>
      <c r="AF19" s="184"/>
      <c r="AG19" s="184"/>
      <c r="AH19" s="184"/>
      <c r="AI19" s="184"/>
      <c r="AJ19" s="184"/>
      <c r="AK19" s="184"/>
      <c r="AL19" s="180" t="s">
        <v>751</v>
      </c>
      <c r="AM19" s="180" t="s">
        <v>751</v>
      </c>
      <c r="AN19" s="180" t="s">
        <v>751</v>
      </c>
      <c r="AO19" s="184"/>
      <c r="AP19" s="184"/>
      <c r="AQ19" s="184"/>
      <c r="AR19" s="184"/>
      <c r="AS19" s="184"/>
      <c r="AT19" s="184"/>
      <c r="AU19" s="184"/>
      <c r="AV19" s="184"/>
      <c r="AW19" s="180" t="s">
        <v>751</v>
      </c>
      <c r="AX19" s="570" t="s">
        <v>2943</v>
      </c>
      <c r="AY19" s="184"/>
    </row>
    <row r="20" spans="1:51" ht="195" x14ac:dyDescent="0.25">
      <c r="A20" s="196" t="s">
        <v>223</v>
      </c>
      <c r="B20" s="252" t="s">
        <v>224</v>
      </c>
      <c r="C20" s="938"/>
      <c r="D20" s="938"/>
      <c r="E20" s="938"/>
      <c r="F20" s="252" t="s">
        <v>2939</v>
      </c>
      <c r="G20" s="254" t="s">
        <v>2950</v>
      </c>
      <c r="H20" s="252" t="s">
        <v>2951</v>
      </c>
      <c r="I20" s="252" t="s">
        <v>2952</v>
      </c>
      <c r="J20" s="381">
        <v>0</v>
      </c>
      <c r="K20" s="381" t="s">
        <v>323</v>
      </c>
      <c r="L20" s="285">
        <v>1</v>
      </c>
      <c r="M20" s="381">
        <v>0.5</v>
      </c>
      <c r="N20" s="252" t="s">
        <v>2952</v>
      </c>
      <c r="O20" s="381">
        <v>0</v>
      </c>
      <c r="P20" s="566">
        <v>2500000</v>
      </c>
      <c r="Q20" s="567"/>
      <c r="R20" s="184"/>
      <c r="S20" s="184"/>
      <c r="T20" s="184"/>
      <c r="U20" s="226">
        <v>2500000</v>
      </c>
      <c r="V20" s="184"/>
      <c r="W20" s="184"/>
      <c r="X20" s="184"/>
      <c r="Y20" s="184"/>
      <c r="Z20" s="184"/>
      <c r="AA20" s="184"/>
      <c r="AB20" s="567"/>
      <c r="AC20" s="184"/>
      <c r="AD20" s="184"/>
      <c r="AE20" s="184"/>
      <c r="AF20" s="184"/>
      <c r="AG20" s="184"/>
      <c r="AH20" s="184"/>
      <c r="AI20" s="184"/>
      <c r="AJ20" s="184"/>
      <c r="AK20" s="184"/>
      <c r="AL20" s="184"/>
      <c r="AM20" s="184"/>
      <c r="AN20" s="180" t="s">
        <v>751</v>
      </c>
      <c r="AO20" s="180" t="s">
        <v>751</v>
      </c>
      <c r="AP20" s="180" t="s">
        <v>751</v>
      </c>
      <c r="AQ20" s="180" t="s">
        <v>751</v>
      </c>
      <c r="AR20" s="180" t="s">
        <v>751</v>
      </c>
      <c r="AS20" s="180" t="s">
        <v>751</v>
      </c>
      <c r="AT20" s="180" t="s">
        <v>751</v>
      </c>
      <c r="AU20" s="180" t="s">
        <v>751</v>
      </c>
      <c r="AV20" s="180" t="s">
        <v>751</v>
      </c>
      <c r="AW20" s="180" t="s">
        <v>751</v>
      </c>
      <c r="AX20" s="570" t="s">
        <v>2943</v>
      </c>
      <c r="AY20" s="184"/>
    </row>
    <row r="21" spans="1:51" ht="150" x14ac:dyDescent="0.25">
      <c r="A21" s="196" t="s">
        <v>223</v>
      </c>
      <c r="B21" s="252" t="s">
        <v>224</v>
      </c>
      <c r="C21" s="252" t="s">
        <v>2953</v>
      </c>
      <c r="D21" s="196" t="s">
        <v>2954</v>
      </c>
      <c r="E21" s="571">
        <v>0.71</v>
      </c>
      <c r="F21" s="252" t="s">
        <v>2955</v>
      </c>
      <c r="G21" s="254" t="s">
        <v>2956</v>
      </c>
      <c r="H21" s="252" t="s">
        <v>2957</v>
      </c>
      <c r="I21" s="252" t="s">
        <v>2958</v>
      </c>
      <c r="J21" s="381">
        <v>120</v>
      </c>
      <c r="K21" s="381" t="s">
        <v>323</v>
      </c>
      <c r="L21" s="285">
        <v>100</v>
      </c>
      <c r="M21" s="381">
        <v>30</v>
      </c>
      <c r="N21" s="252" t="s">
        <v>2958</v>
      </c>
      <c r="O21" s="381">
        <v>120</v>
      </c>
      <c r="P21" s="566">
        <v>306000</v>
      </c>
      <c r="Q21" s="224">
        <v>206000</v>
      </c>
      <c r="R21" s="184"/>
      <c r="S21" s="184"/>
      <c r="T21" s="184"/>
      <c r="U21" s="184"/>
      <c r="V21" s="184"/>
      <c r="W21" s="184"/>
      <c r="X21" s="184"/>
      <c r="Y21" s="184"/>
      <c r="Z21" s="184"/>
      <c r="AA21" s="184"/>
      <c r="AB21" s="567">
        <v>100000</v>
      </c>
      <c r="AC21" s="184"/>
      <c r="AD21" s="184"/>
      <c r="AE21" s="184"/>
      <c r="AF21" s="184"/>
      <c r="AG21" s="184"/>
      <c r="AH21" s="184"/>
      <c r="AI21" s="184"/>
      <c r="AJ21" s="184"/>
      <c r="AK21" s="184"/>
      <c r="AL21" s="180" t="s">
        <v>751</v>
      </c>
      <c r="AM21" s="180" t="s">
        <v>751</v>
      </c>
      <c r="AN21" s="180" t="s">
        <v>751</v>
      </c>
      <c r="AO21" s="180" t="s">
        <v>751</v>
      </c>
      <c r="AP21" s="180" t="s">
        <v>751</v>
      </c>
      <c r="AQ21" s="180" t="s">
        <v>751</v>
      </c>
      <c r="AR21" s="180" t="s">
        <v>751</v>
      </c>
      <c r="AS21" s="180" t="s">
        <v>751</v>
      </c>
      <c r="AT21" s="180" t="s">
        <v>751</v>
      </c>
      <c r="AU21" s="180" t="s">
        <v>751</v>
      </c>
      <c r="AV21" s="180" t="s">
        <v>751</v>
      </c>
      <c r="AW21" s="180" t="s">
        <v>751</v>
      </c>
      <c r="AX21" s="570" t="s">
        <v>2943</v>
      </c>
      <c r="AY21" s="184"/>
    </row>
    <row r="22" spans="1:51" ht="409.5" x14ac:dyDescent="0.25">
      <c r="A22" s="196" t="s">
        <v>223</v>
      </c>
      <c r="B22" s="252" t="s">
        <v>224</v>
      </c>
      <c r="C22" s="253" t="s">
        <v>2959</v>
      </c>
      <c r="D22" s="253" t="s">
        <v>2960</v>
      </c>
      <c r="E22" s="253" t="s">
        <v>2961</v>
      </c>
      <c r="F22" s="252" t="s">
        <v>2962</v>
      </c>
      <c r="G22" s="253" t="s">
        <v>2963</v>
      </c>
      <c r="H22" s="253" t="s">
        <v>2964</v>
      </c>
      <c r="I22" s="253" t="s">
        <v>2965</v>
      </c>
      <c r="J22" s="572" t="s">
        <v>2966</v>
      </c>
      <c r="K22" s="381" t="s">
        <v>322</v>
      </c>
      <c r="L22" s="572">
        <v>1</v>
      </c>
      <c r="M22" s="185">
        <v>1</v>
      </c>
      <c r="N22" s="253" t="s">
        <v>2965</v>
      </c>
      <c r="O22" s="572" t="s">
        <v>2966</v>
      </c>
      <c r="P22" s="224">
        <v>1860000</v>
      </c>
      <c r="Q22" s="224">
        <v>55000</v>
      </c>
      <c r="R22" s="224"/>
      <c r="S22" s="224"/>
      <c r="T22" s="224"/>
      <c r="U22" s="224"/>
      <c r="V22" s="224"/>
      <c r="W22" s="224">
        <v>1790000</v>
      </c>
      <c r="X22" s="224"/>
      <c r="Y22" s="224"/>
      <c r="Z22" s="224"/>
      <c r="AA22" s="224"/>
      <c r="AB22" s="224">
        <v>15000</v>
      </c>
      <c r="AC22" s="224"/>
      <c r="AD22" s="224"/>
      <c r="AE22" s="224"/>
      <c r="AF22" s="224"/>
      <c r="AG22" s="224"/>
      <c r="AH22" s="224"/>
      <c r="AI22" s="224"/>
      <c r="AJ22" s="224"/>
      <c r="AK22" s="224"/>
      <c r="AL22" s="567"/>
      <c r="AM22" s="567"/>
      <c r="AN22" s="180" t="s">
        <v>751</v>
      </c>
      <c r="AO22" s="180" t="s">
        <v>751</v>
      </c>
      <c r="AP22" s="180" t="s">
        <v>751</v>
      </c>
      <c r="AQ22" s="180" t="s">
        <v>751</v>
      </c>
      <c r="AR22" s="180" t="s">
        <v>751</v>
      </c>
      <c r="AS22" s="180" t="s">
        <v>751</v>
      </c>
      <c r="AT22" s="180" t="s">
        <v>751</v>
      </c>
      <c r="AU22" s="180" t="s">
        <v>751</v>
      </c>
      <c r="AV22" s="180" t="s">
        <v>751</v>
      </c>
      <c r="AW22" s="180" t="s">
        <v>751</v>
      </c>
      <c r="AX22" s="226" t="s">
        <v>2967</v>
      </c>
      <c r="AY22" s="567"/>
    </row>
  </sheetData>
  <sheetProtection password="C71C" sheet="1" objects="1" scenarios="1"/>
  <mergeCells count="36">
    <mergeCell ref="F15:F16"/>
    <mergeCell ref="A2:L2"/>
    <mergeCell ref="A3:L3"/>
    <mergeCell ref="A5:L5"/>
    <mergeCell ref="A6:L6"/>
    <mergeCell ref="A9:M9"/>
    <mergeCell ref="A11:M11"/>
    <mergeCell ref="A15:A16"/>
    <mergeCell ref="B15:B16"/>
    <mergeCell ref="C15:C16"/>
    <mergeCell ref="D15:D16"/>
    <mergeCell ref="E15:E16"/>
    <mergeCell ref="AE15:AE16"/>
    <mergeCell ref="AF15:AF16"/>
    <mergeCell ref="G15:G16"/>
    <mergeCell ref="H15:H16"/>
    <mergeCell ref="I15:I16"/>
    <mergeCell ref="J15:J16"/>
    <mergeCell ref="K15:K16"/>
    <mergeCell ref="L15:L16"/>
    <mergeCell ref="AX15:AX16"/>
    <mergeCell ref="AY15:AY16"/>
    <mergeCell ref="C17:C20"/>
    <mergeCell ref="D17:D20"/>
    <mergeCell ref="E17:E20"/>
    <mergeCell ref="G17:G18"/>
    <mergeCell ref="AG15:AG16"/>
    <mergeCell ref="AH15:AH16"/>
    <mergeCell ref="AI15:AI16"/>
    <mergeCell ref="AJ15:AJ16"/>
    <mergeCell ref="AK15:AK16"/>
    <mergeCell ref="AL15:AW15"/>
    <mergeCell ref="M15:M16"/>
    <mergeCell ref="N15:O15"/>
    <mergeCell ref="P15:P16"/>
    <mergeCell ref="Q15:AD1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0"/>
  <sheetViews>
    <sheetView workbookViewId="0">
      <selection activeCell="I10" sqref="I10"/>
    </sheetView>
  </sheetViews>
  <sheetFormatPr baseColWidth="10" defaultRowHeight="15" x14ac:dyDescent="0.25"/>
  <cols>
    <col min="38" max="49" width="4.7109375" customWidth="1"/>
  </cols>
  <sheetData>
    <row r="1" spans="1:51"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ht="18" x14ac:dyDescent="0.25">
      <c r="A2" s="910" t="s">
        <v>0</v>
      </c>
      <c r="B2" s="910"/>
      <c r="C2" s="910"/>
      <c r="D2" s="910"/>
      <c r="E2" s="910"/>
      <c r="F2" s="910"/>
      <c r="G2" s="910"/>
      <c r="H2" s="910"/>
      <c r="I2" s="910"/>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ht="18" x14ac:dyDescent="0.25">
      <c r="A3" s="911" t="s">
        <v>1</v>
      </c>
      <c r="B3" s="911"/>
      <c r="C3" s="911"/>
      <c r="D3" s="911"/>
      <c r="E3" s="911"/>
      <c r="F3" s="911"/>
      <c r="G3" s="911"/>
      <c r="H3" s="911"/>
      <c r="I3" s="911"/>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x14ac:dyDescent="0.25">
      <c r="A4" s="131"/>
      <c r="B4" s="126"/>
      <c r="C4" s="126"/>
      <c r="D4" s="126"/>
      <c r="E4" s="126"/>
      <c r="F4" s="126"/>
      <c r="G4" s="126"/>
      <c r="H4" s="127"/>
      <c r="I4" s="126"/>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ht="18" x14ac:dyDescent="0.25">
      <c r="A5" s="912" t="s">
        <v>2</v>
      </c>
      <c r="B5" s="912"/>
      <c r="C5" s="912"/>
      <c r="D5" s="912"/>
      <c r="E5" s="912"/>
      <c r="F5" s="912"/>
      <c r="G5" s="912"/>
      <c r="H5" s="912"/>
      <c r="I5" s="912"/>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ht="18" x14ac:dyDescent="0.25">
      <c r="A6" s="910" t="s">
        <v>321</v>
      </c>
      <c r="B6" s="910"/>
      <c r="C6" s="910"/>
      <c r="D6" s="910"/>
      <c r="E6" s="910"/>
      <c r="F6" s="910"/>
      <c r="G6" s="910"/>
      <c r="H6" s="910"/>
      <c r="I6" s="910"/>
      <c r="J6" s="910"/>
      <c r="K6" s="910"/>
      <c r="L6" s="910"/>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1" x14ac:dyDescent="0.25">
      <c r="A7" s="126"/>
      <c r="B7" s="126"/>
      <c r="C7" s="126"/>
      <c r="D7" s="126"/>
      <c r="E7" s="126"/>
      <c r="F7" s="126"/>
      <c r="G7" s="126"/>
      <c r="H7" s="127"/>
      <c r="I7" s="126"/>
      <c r="J7" s="126"/>
      <c r="K7" s="126"/>
      <c r="L7" s="126"/>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1" x14ac:dyDescent="0.25">
      <c r="A8" s="866" t="s">
        <v>3</v>
      </c>
      <c r="B8" s="866" t="s">
        <v>4</v>
      </c>
      <c r="C8" s="864" t="s">
        <v>5</v>
      </c>
      <c r="D8" s="864" t="s">
        <v>6</v>
      </c>
      <c r="E8" s="864" t="s">
        <v>7</v>
      </c>
      <c r="F8" s="864" t="s">
        <v>8</v>
      </c>
      <c r="G8" s="864" t="s">
        <v>9</v>
      </c>
      <c r="H8" s="864" t="s">
        <v>10</v>
      </c>
      <c r="I8" s="864" t="s">
        <v>11</v>
      </c>
      <c r="J8" s="864" t="s">
        <v>12</v>
      </c>
      <c r="K8" s="864" t="s">
        <v>13</v>
      </c>
      <c r="L8" s="864" t="s">
        <v>617</v>
      </c>
      <c r="M8" s="869" t="s">
        <v>325</v>
      </c>
      <c r="N8" s="853" t="s">
        <v>11</v>
      </c>
      <c r="O8" s="853"/>
      <c r="P8" s="853" t="s">
        <v>326</v>
      </c>
      <c r="Q8" s="853" t="s">
        <v>15</v>
      </c>
      <c r="R8" s="853"/>
      <c r="S8" s="853"/>
      <c r="T8" s="853"/>
      <c r="U8" s="853"/>
      <c r="V8" s="853"/>
      <c r="W8" s="853"/>
      <c r="X8" s="853"/>
      <c r="Y8" s="853"/>
      <c r="Z8" s="853"/>
      <c r="AA8" s="853"/>
      <c r="AB8" s="853"/>
      <c r="AC8" s="853"/>
      <c r="AD8" s="853"/>
      <c r="AE8" s="853" t="s">
        <v>16</v>
      </c>
      <c r="AF8" s="853" t="s">
        <v>17</v>
      </c>
      <c r="AG8" s="853" t="s">
        <v>18</v>
      </c>
      <c r="AH8" s="869" t="s">
        <v>19</v>
      </c>
      <c r="AI8" s="853" t="s">
        <v>619</v>
      </c>
      <c r="AJ8" s="853" t="s">
        <v>568</v>
      </c>
      <c r="AK8" s="853" t="s">
        <v>21</v>
      </c>
      <c r="AL8" s="854" t="s">
        <v>620</v>
      </c>
      <c r="AM8" s="854"/>
      <c r="AN8" s="854"/>
      <c r="AO8" s="854"/>
      <c r="AP8" s="854"/>
      <c r="AQ8" s="854"/>
      <c r="AR8" s="854"/>
      <c r="AS8" s="854"/>
      <c r="AT8" s="854"/>
      <c r="AU8" s="854"/>
      <c r="AV8" s="854"/>
      <c r="AW8" s="854"/>
      <c r="AX8" s="854" t="s">
        <v>23</v>
      </c>
      <c r="AY8" s="917" t="s">
        <v>24</v>
      </c>
    </row>
    <row r="9" spans="1:51" ht="72.75" customHeight="1" x14ac:dyDescent="0.25">
      <c r="A9" s="867"/>
      <c r="B9" s="867"/>
      <c r="C9" s="868"/>
      <c r="D9" s="868"/>
      <c r="E9" s="868"/>
      <c r="F9" s="868"/>
      <c r="G9" s="868"/>
      <c r="H9" s="868"/>
      <c r="I9" s="868"/>
      <c r="J9" s="868"/>
      <c r="K9" s="868"/>
      <c r="L9" s="868"/>
      <c r="M9" s="902"/>
      <c r="N9" s="753" t="s">
        <v>25</v>
      </c>
      <c r="O9" s="753" t="s">
        <v>621</v>
      </c>
      <c r="P9" s="853"/>
      <c r="Q9" s="752" t="s">
        <v>27</v>
      </c>
      <c r="R9" s="752" t="s">
        <v>28</v>
      </c>
      <c r="S9" s="752" t="s">
        <v>29</v>
      </c>
      <c r="T9" s="752" t="s">
        <v>2530</v>
      </c>
      <c r="U9" s="752" t="s">
        <v>30</v>
      </c>
      <c r="V9" s="752" t="s">
        <v>1449</v>
      </c>
      <c r="W9" s="752" t="s">
        <v>1450</v>
      </c>
      <c r="X9" s="752" t="s">
        <v>33</v>
      </c>
      <c r="Y9" s="752" t="s">
        <v>34</v>
      </c>
      <c r="Z9" s="752" t="s">
        <v>3211</v>
      </c>
      <c r="AA9" s="752" t="s">
        <v>36</v>
      </c>
      <c r="AB9" s="752" t="s">
        <v>37</v>
      </c>
      <c r="AC9" s="752" t="s">
        <v>38</v>
      </c>
      <c r="AD9" s="752" t="s">
        <v>39</v>
      </c>
      <c r="AE9" s="853"/>
      <c r="AF9" s="853"/>
      <c r="AG9" s="853"/>
      <c r="AH9" s="902"/>
      <c r="AI9" s="853"/>
      <c r="AJ9" s="853"/>
      <c r="AK9" s="826"/>
      <c r="AL9" s="751" t="s">
        <v>40</v>
      </c>
      <c r="AM9" s="751" t="s">
        <v>41</v>
      </c>
      <c r="AN9" s="751" t="s">
        <v>42</v>
      </c>
      <c r="AO9" s="751" t="s">
        <v>43</v>
      </c>
      <c r="AP9" s="751" t="s">
        <v>42</v>
      </c>
      <c r="AQ9" s="751" t="s">
        <v>44</v>
      </c>
      <c r="AR9" s="751" t="s">
        <v>44</v>
      </c>
      <c r="AS9" s="751" t="s">
        <v>43</v>
      </c>
      <c r="AT9" s="751" t="s">
        <v>45</v>
      </c>
      <c r="AU9" s="751" t="s">
        <v>46</v>
      </c>
      <c r="AV9" s="751" t="s">
        <v>47</v>
      </c>
      <c r="AW9" s="751" t="s">
        <v>48</v>
      </c>
      <c r="AX9" s="854"/>
      <c r="AY9" s="918"/>
    </row>
    <row r="10" spans="1:51" ht="300" x14ac:dyDescent="0.25">
      <c r="A10" s="750" t="s">
        <v>223</v>
      </c>
      <c r="B10" s="663" t="s">
        <v>3767</v>
      </c>
      <c r="C10" s="945" t="s">
        <v>2959</v>
      </c>
      <c r="D10" s="945" t="s">
        <v>2960</v>
      </c>
      <c r="E10" s="945" t="s">
        <v>2961</v>
      </c>
      <c r="F10" s="663" t="s">
        <v>3768</v>
      </c>
      <c r="G10" s="938" t="s">
        <v>3769</v>
      </c>
      <c r="H10" s="220" t="s">
        <v>3770</v>
      </c>
      <c r="I10" s="220" t="s">
        <v>3771</v>
      </c>
      <c r="J10" s="754" t="s">
        <v>2961</v>
      </c>
      <c r="K10" s="754" t="s">
        <v>323</v>
      </c>
      <c r="L10" s="228">
        <v>0.8</v>
      </c>
      <c r="M10" s="759">
        <v>0.13</v>
      </c>
      <c r="N10" s="184"/>
      <c r="O10" s="185">
        <v>0</v>
      </c>
      <c r="P10" s="185">
        <v>45000</v>
      </c>
      <c r="Q10" s="185">
        <v>45000</v>
      </c>
      <c r="R10" s="184"/>
      <c r="S10" s="184"/>
      <c r="T10" s="184"/>
      <c r="U10" s="184"/>
      <c r="V10" s="184"/>
      <c r="W10" s="184"/>
      <c r="X10" s="184"/>
      <c r="Y10" s="184"/>
      <c r="Z10" s="184"/>
      <c r="AA10" s="184"/>
      <c r="AB10" s="184"/>
      <c r="AC10" s="184"/>
      <c r="AD10" s="184"/>
      <c r="AE10" s="760" t="s">
        <v>3772</v>
      </c>
      <c r="AF10" s="666" t="s">
        <v>3773</v>
      </c>
      <c r="AG10" s="185" t="s">
        <v>1267</v>
      </c>
      <c r="AH10" s="185" t="s">
        <v>1267</v>
      </c>
      <c r="AI10" s="185">
        <v>1244886</v>
      </c>
      <c r="AJ10" s="761">
        <v>3330000</v>
      </c>
      <c r="AK10" s="760" t="s">
        <v>3774</v>
      </c>
      <c r="AL10" s="185" t="s">
        <v>751</v>
      </c>
      <c r="AM10" s="185" t="s">
        <v>751</v>
      </c>
      <c r="AN10" s="185" t="s">
        <v>751</v>
      </c>
      <c r="AO10" s="185" t="s">
        <v>751</v>
      </c>
      <c r="AP10" s="185" t="s">
        <v>751</v>
      </c>
      <c r="AQ10" s="185" t="s">
        <v>751</v>
      </c>
      <c r="AR10" s="185" t="s">
        <v>751</v>
      </c>
      <c r="AS10" s="185" t="s">
        <v>751</v>
      </c>
      <c r="AT10" s="185" t="s">
        <v>751</v>
      </c>
      <c r="AU10" s="185" t="s">
        <v>751</v>
      </c>
      <c r="AV10" s="185" t="s">
        <v>751</v>
      </c>
      <c r="AW10" s="185" t="s">
        <v>751</v>
      </c>
      <c r="AX10" s="183" t="s">
        <v>3775</v>
      </c>
      <c r="AY10" s="183" t="s">
        <v>3776</v>
      </c>
    </row>
    <row r="11" spans="1:51" ht="300" x14ac:dyDescent="0.25">
      <c r="A11" s="750" t="s">
        <v>223</v>
      </c>
      <c r="B11" s="663" t="s">
        <v>3767</v>
      </c>
      <c r="C11" s="946"/>
      <c r="D11" s="946"/>
      <c r="E11" s="946"/>
      <c r="F11" s="663" t="s">
        <v>3768</v>
      </c>
      <c r="G11" s="938"/>
      <c r="H11" s="220" t="s">
        <v>3777</v>
      </c>
      <c r="I11" s="220" t="s">
        <v>3778</v>
      </c>
      <c r="J11" s="754">
        <v>0</v>
      </c>
      <c r="K11" s="754" t="s">
        <v>323</v>
      </c>
      <c r="L11" s="228">
        <v>0.7</v>
      </c>
      <c r="M11" s="759">
        <v>0.27</v>
      </c>
      <c r="N11" s="184"/>
      <c r="O11" s="185">
        <v>8</v>
      </c>
      <c r="P11" s="185">
        <v>2446.65</v>
      </c>
      <c r="Q11" s="184"/>
      <c r="R11" s="184"/>
      <c r="S11" s="184"/>
      <c r="T11" s="184"/>
      <c r="U11" s="184"/>
      <c r="V11" s="184"/>
      <c r="W11" s="184"/>
      <c r="X11" s="184"/>
      <c r="Y11" s="184"/>
      <c r="Z11" s="184"/>
      <c r="AA11" s="184"/>
      <c r="AB11" s="184"/>
      <c r="AC11" s="184"/>
      <c r="AD11" s="184"/>
      <c r="AE11" s="760" t="s">
        <v>3772</v>
      </c>
      <c r="AF11" s="666" t="s">
        <v>3773</v>
      </c>
      <c r="AG11" s="185" t="s">
        <v>1267</v>
      </c>
      <c r="AH11" s="185" t="s">
        <v>1267</v>
      </c>
      <c r="AI11" s="185">
        <v>1244886</v>
      </c>
      <c r="AJ11" s="761">
        <v>3330000</v>
      </c>
      <c r="AK11" s="760" t="s">
        <v>3774</v>
      </c>
      <c r="AL11" s="184"/>
      <c r="AM11" s="184"/>
      <c r="AN11" s="185" t="s">
        <v>751</v>
      </c>
      <c r="AO11" s="185" t="s">
        <v>751</v>
      </c>
      <c r="AP11" s="185" t="s">
        <v>751</v>
      </c>
      <c r="AQ11" s="185" t="s">
        <v>751</v>
      </c>
      <c r="AR11" s="185" t="s">
        <v>751</v>
      </c>
      <c r="AS11" s="185" t="s">
        <v>751</v>
      </c>
      <c r="AT11" s="185" t="s">
        <v>751</v>
      </c>
      <c r="AU11" s="185" t="s">
        <v>751</v>
      </c>
      <c r="AV11" s="185" t="s">
        <v>751</v>
      </c>
      <c r="AW11" s="185" t="s">
        <v>751</v>
      </c>
      <c r="AX11" s="183" t="s">
        <v>3775</v>
      </c>
      <c r="AY11" s="183" t="s">
        <v>3776</v>
      </c>
    </row>
    <row r="12" spans="1:51" ht="300" x14ac:dyDescent="0.25">
      <c r="A12" s="750" t="s">
        <v>223</v>
      </c>
      <c r="B12" s="663" t="s">
        <v>3767</v>
      </c>
      <c r="C12" s="946"/>
      <c r="D12" s="946"/>
      <c r="E12" s="946"/>
      <c r="F12" s="663" t="s">
        <v>3768</v>
      </c>
      <c r="G12" s="938"/>
      <c r="H12" s="220" t="s">
        <v>3779</v>
      </c>
      <c r="I12" s="220" t="s">
        <v>3780</v>
      </c>
      <c r="J12" s="754">
        <v>0</v>
      </c>
      <c r="K12" s="754" t="s">
        <v>323</v>
      </c>
      <c r="L12" s="228">
        <v>0.3</v>
      </c>
      <c r="M12" s="759">
        <v>0.15</v>
      </c>
      <c r="N12" s="184"/>
      <c r="O12" s="185">
        <v>0</v>
      </c>
      <c r="P12" s="185">
        <v>45000</v>
      </c>
      <c r="Q12" s="184"/>
      <c r="R12" s="184"/>
      <c r="S12" s="184"/>
      <c r="T12" s="184"/>
      <c r="U12" s="184"/>
      <c r="V12" s="184"/>
      <c r="W12" s="184"/>
      <c r="X12" s="184"/>
      <c r="Y12" s="184"/>
      <c r="Z12" s="184"/>
      <c r="AA12" s="184"/>
      <c r="AB12" s="184"/>
      <c r="AC12" s="184"/>
      <c r="AD12" s="184"/>
      <c r="AE12" s="760" t="s">
        <v>3772</v>
      </c>
      <c r="AF12" s="666" t="s">
        <v>3773</v>
      </c>
      <c r="AG12" s="185" t="s">
        <v>1267</v>
      </c>
      <c r="AH12" s="185" t="s">
        <v>1267</v>
      </c>
      <c r="AI12" s="185">
        <v>1244886</v>
      </c>
      <c r="AJ12" s="761">
        <v>3330000</v>
      </c>
      <c r="AK12" s="760" t="s">
        <v>3774</v>
      </c>
      <c r="AL12" s="184"/>
      <c r="AM12" s="184"/>
      <c r="AN12" s="185" t="s">
        <v>751</v>
      </c>
      <c r="AO12" s="185" t="s">
        <v>751</v>
      </c>
      <c r="AP12" s="185" t="s">
        <v>751</v>
      </c>
      <c r="AQ12" s="185" t="s">
        <v>751</v>
      </c>
      <c r="AR12" s="185" t="s">
        <v>751</v>
      </c>
      <c r="AS12" s="185" t="s">
        <v>751</v>
      </c>
      <c r="AT12" s="185" t="s">
        <v>751</v>
      </c>
      <c r="AU12" s="185" t="s">
        <v>751</v>
      </c>
      <c r="AV12" s="185" t="s">
        <v>751</v>
      </c>
      <c r="AW12" s="185" t="s">
        <v>751</v>
      </c>
      <c r="AX12" s="183" t="s">
        <v>3775</v>
      </c>
      <c r="AY12" s="183" t="s">
        <v>3776</v>
      </c>
    </row>
    <row r="13" spans="1:51" ht="180" x14ac:dyDescent="0.25">
      <c r="A13" s="750" t="s">
        <v>223</v>
      </c>
      <c r="B13" s="663" t="s">
        <v>3767</v>
      </c>
      <c r="C13" s="946"/>
      <c r="D13" s="946"/>
      <c r="E13" s="946"/>
      <c r="F13" s="663" t="s">
        <v>3768</v>
      </c>
      <c r="G13" s="938"/>
      <c r="H13" s="220" t="s">
        <v>3781</v>
      </c>
      <c r="I13" s="220" t="s">
        <v>3782</v>
      </c>
      <c r="J13" s="754">
        <v>0</v>
      </c>
      <c r="K13" s="754" t="s">
        <v>323</v>
      </c>
      <c r="L13" s="754">
        <v>2</v>
      </c>
      <c r="M13" s="185">
        <v>1</v>
      </c>
      <c r="N13" s="184"/>
      <c r="O13" s="184"/>
      <c r="P13" s="185">
        <v>43621</v>
      </c>
      <c r="Q13" s="185">
        <v>43621</v>
      </c>
      <c r="R13" s="184"/>
      <c r="S13" s="184"/>
      <c r="T13" s="184"/>
      <c r="U13" s="184"/>
      <c r="V13" s="184"/>
      <c r="W13" s="184"/>
      <c r="X13" s="184"/>
      <c r="Y13" s="184"/>
      <c r="Z13" s="184"/>
      <c r="AA13" s="184"/>
      <c r="AB13" s="184"/>
      <c r="AC13" s="184"/>
      <c r="AD13" s="184"/>
      <c r="AE13" s="699" t="s">
        <v>3783</v>
      </c>
      <c r="AF13" s="699" t="s">
        <v>3784</v>
      </c>
      <c r="AG13" s="699" t="s">
        <v>3785</v>
      </c>
      <c r="AH13" s="184"/>
      <c r="AI13" s="185">
        <v>3000</v>
      </c>
      <c r="AJ13" s="185">
        <v>43.621000000000002</v>
      </c>
      <c r="AK13" s="545" t="s">
        <v>3786</v>
      </c>
      <c r="AL13" s="184"/>
      <c r="AM13" s="184"/>
      <c r="AN13" s="184"/>
      <c r="AO13" s="184"/>
      <c r="AP13" s="184"/>
      <c r="AQ13" s="185" t="s">
        <v>395</v>
      </c>
      <c r="AR13" s="185" t="s">
        <v>395</v>
      </c>
      <c r="AS13" s="185" t="s">
        <v>395</v>
      </c>
      <c r="AT13" s="185" t="s">
        <v>395</v>
      </c>
      <c r="AU13" s="184"/>
      <c r="AV13" s="184"/>
      <c r="AW13" s="184"/>
      <c r="AX13" s="183" t="s">
        <v>3787</v>
      </c>
      <c r="AY13" s="183"/>
    </row>
    <row r="14" spans="1:51" ht="270" x14ac:dyDescent="0.25">
      <c r="A14" s="750" t="s">
        <v>223</v>
      </c>
      <c r="B14" s="663" t="s">
        <v>3767</v>
      </c>
      <c r="C14" s="946"/>
      <c r="D14" s="946"/>
      <c r="E14" s="946"/>
      <c r="F14" s="663" t="s">
        <v>3768</v>
      </c>
      <c r="G14" s="938"/>
      <c r="H14" s="220" t="s">
        <v>3788</v>
      </c>
      <c r="I14" s="220" t="s">
        <v>3789</v>
      </c>
      <c r="J14" s="755">
        <v>0.49</v>
      </c>
      <c r="K14" s="755" t="s">
        <v>323</v>
      </c>
      <c r="L14" s="755">
        <v>0.8</v>
      </c>
      <c r="M14" s="755">
        <v>0.12</v>
      </c>
      <c r="N14" s="663"/>
      <c r="O14" s="755">
        <v>3</v>
      </c>
      <c r="P14" s="755">
        <v>95000</v>
      </c>
      <c r="Q14" s="755">
        <v>95000</v>
      </c>
      <c r="R14" s="663"/>
      <c r="S14" s="663"/>
      <c r="T14" s="663"/>
      <c r="U14" s="663"/>
      <c r="V14" s="663"/>
      <c r="W14" s="663"/>
      <c r="X14" s="663"/>
      <c r="Y14" s="663"/>
      <c r="Z14" s="663"/>
      <c r="AA14" s="663"/>
      <c r="AB14" s="663"/>
      <c r="AC14" s="663"/>
      <c r="AD14" s="663"/>
      <c r="AE14" s="758" t="s">
        <v>364</v>
      </c>
      <c r="AF14" s="663"/>
      <c r="AG14" s="663"/>
      <c r="AH14" s="663"/>
      <c r="AI14" s="663"/>
      <c r="AJ14" s="663"/>
      <c r="AK14" s="663"/>
      <c r="AL14" s="755" t="s">
        <v>395</v>
      </c>
      <c r="AM14" s="755" t="s">
        <v>395</v>
      </c>
      <c r="AN14" s="755" t="s">
        <v>395</v>
      </c>
      <c r="AO14" s="755" t="s">
        <v>395</v>
      </c>
      <c r="AP14" s="755" t="s">
        <v>395</v>
      </c>
      <c r="AQ14" s="755" t="s">
        <v>395</v>
      </c>
      <c r="AR14" s="755" t="s">
        <v>395</v>
      </c>
      <c r="AS14" s="755" t="s">
        <v>395</v>
      </c>
      <c r="AT14" s="755" t="s">
        <v>395</v>
      </c>
      <c r="AU14" s="755" t="s">
        <v>395</v>
      </c>
      <c r="AV14" s="755" t="s">
        <v>395</v>
      </c>
      <c r="AW14" s="755" t="s">
        <v>395</v>
      </c>
      <c r="AX14" s="183" t="s">
        <v>3790</v>
      </c>
      <c r="AY14" s="270" t="s">
        <v>3791</v>
      </c>
    </row>
    <row r="15" spans="1:51" ht="195" x14ac:dyDescent="0.25">
      <c r="A15" s="750" t="s">
        <v>223</v>
      </c>
      <c r="B15" s="663" t="s">
        <v>3767</v>
      </c>
      <c r="C15" s="938" t="s">
        <v>3792</v>
      </c>
      <c r="D15" s="938" t="s">
        <v>3793</v>
      </c>
      <c r="E15" s="938">
        <v>0.39250000000000002</v>
      </c>
      <c r="F15" s="663" t="s">
        <v>3794</v>
      </c>
      <c r="G15" s="938" t="s">
        <v>3795</v>
      </c>
      <c r="H15" s="220" t="s">
        <v>3796</v>
      </c>
      <c r="I15" s="220" t="s">
        <v>3797</v>
      </c>
      <c r="J15" s="754">
        <v>0</v>
      </c>
      <c r="K15" s="755" t="s">
        <v>323</v>
      </c>
      <c r="L15" s="755">
        <v>4</v>
      </c>
      <c r="M15" s="185">
        <v>2</v>
      </c>
      <c r="N15" s="184"/>
      <c r="O15" s="184"/>
      <c r="P15" s="245">
        <v>2564</v>
      </c>
      <c r="Q15" s="245">
        <v>2564</v>
      </c>
      <c r="R15" s="184"/>
      <c r="S15" s="184"/>
      <c r="T15" s="184"/>
      <c r="U15" s="184"/>
      <c r="V15" s="184"/>
      <c r="W15" s="184"/>
      <c r="X15" s="184"/>
      <c r="Y15" s="184"/>
      <c r="Z15" s="184"/>
      <c r="AA15" s="184"/>
      <c r="AB15" s="184"/>
      <c r="AC15" s="184"/>
      <c r="AD15" s="184"/>
      <c r="AE15" s="184"/>
      <c r="AF15" s="184"/>
      <c r="AG15" s="184"/>
      <c r="AH15" s="184"/>
      <c r="AI15" s="184"/>
      <c r="AJ15" s="184"/>
      <c r="AK15" s="184"/>
      <c r="AL15" s="185" t="s">
        <v>395</v>
      </c>
      <c r="AM15" s="185" t="s">
        <v>395</v>
      </c>
      <c r="AN15" s="185" t="s">
        <v>395</v>
      </c>
      <c r="AO15" s="185" t="s">
        <v>395</v>
      </c>
      <c r="AP15" s="185" t="s">
        <v>395</v>
      </c>
      <c r="AQ15" s="185" t="s">
        <v>395</v>
      </c>
      <c r="AR15" s="185" t="s">
        <v>395</v>
      </c>
      <c r="AS15" s="185" t="s">
        <v>395</v>
      </c>
      <c r="AT15" s="185" t="s">
        <v>395</v>
      </c>
      <c r="AU15" s="185" t="s">
        <v>395</v>
      </c>
      <c r="AV15" s="185" t="s">
        <v>395</v>
      </c>
      <c r="AW15" s="185" t="s">
        <v>395</v>
      </c>
      <c r="AX15" s="183" t="s">
        <v>3798</v>
      </c>
      <c r="AY15" s="183" t="s">
        <v>3799</v>
      </c>
    </row>
    <row r="16" spans="1:51" ht="120" x14ac:dyDescent="0.25">
      <c r="A16" s="750" t="s">
        <v>223</v>
      </c>
      <c r="B16" s="663" t="s">
        <v>3767</v>
      </c>
      <c r="C16" s="938"/>
      <c r="D16" s="938"/>
      <c r="E16" s="938"/>
      <c r="F16" s="663" t="s">
        <v>3794</v>
      </c>
      <c r="G16" s="938"/>
      <c r="H16" s="220" t="s">
        <v>3800</v>
      </c>
      <c r="I16" s="220" t="s">
        <v>3801</v>
      </c>
      <c r="J16" s="754">
        <v>0</v>
      </c>
      <c r="K16" s="755"/>
      <c r="L16" s="755">
        <v>1</v>
      </c>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0"/>
      <c r="AY16" s="183" t="s">
        <v>3802</v>
      </c>
    </row>
    <row r="17" spans="1:51" ht="120" x14ac:dyDescent="0.25">
      <c r="A17" s="750" t="s">
        <v>223</v>
      </c>
      <c r="B17" s="663" t="s">
        <v>3767</v>
      </c>
      <c r="C17" s="938"/>
      <c r="D17" s="938"/>
      <c r="E17" s="938"/>
      <c r="F17" s="663" t="s">
        <v>3794</v>
      </c>
      <c r="G17" s="938"/>
      <c r="H17" s="220" t="s">
        <v>3803</v>
      </c>
      <c r="I17" s="220" t="s">
        <v>3804</v>
      </c>
      <c r="J17" s="754">
        <v>0</v>
      </c>
      <c r="K17" s="755" t="s">
        <v>323</v>
      </c>
      <c r="L17" s="755">
        <v>10</v>
      </c>
      <c r="M17" s="185">
        <v>0</v>
      </c>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3" t="s">
        <v>3798</v>
      </c>
      <c r="AY17" s="183" t="s">
        <v>3805</v>
      </c>
    </row>
    <row r="18" spans="1:51" ht="165" x14ac:dyDescent="0.25">
      <c r="A18" s="750" t="s">
        <v>223</v>
      </c>
      <c r="B18" s="663" t="s">
        <v>3767</v>
      </c>
      <c r="C18" s="938"/>
      <c r="D18" s="938"/>
      <c r="E18" s="938"/>
      <c r="F18" s="663" t="s">
        <v>3794</v>
      </c>
      <c r="G18" s="938"/>
      <c r="H18" s="220" t="s">
        <v>3806</v>
      </c>
      <c r="I18" s="220" t="s">
        <v>3807</v>
      </c>
      <c r="J18" s="754">
        <v>67</v>
      </c>
      <c r="K18" s="755" t="s">
        <v>323</v>
      </c>
      <c r="L18" s="755">
        <v>132</v>
      </c>
      <c r="M18" s="185">
        <v>32</v>
      </c>
      <c r="N18" s="184"/>
      <c r="O18" s="184"/>
      <c r="P18" s="185">
        <v>357000</v>
      </c>
      <c r="Q18" s="185">
        <v>357000</v>
      </c>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5" t="s">
        <v>395</v>
      </c>
      <c r="AO18" s="185" t="s">
        <v>395</v>
      </c>
      <c r="AP18" s="185" t="s">
        <v>395</v>
      </c>
      <c r="AQ18" s="185" t="s">
        <v>395</v>
      </c>
      <c r="AR18" s="185" t="s">
        <v>395</v>
      </c>
      <c r="AS18" s="185" t="s">
        <v>395</v>
      </c>
      <c r="AT18" s="185" t="s">
        <v>395</v>
      </c>
      <c r="AU18" s="185" t="s">
        <v>395</v>
      </c>
      <c r="AV18" s="185" t="s">
        <v>395</v>
      </c>
      <c r="AW18" s="185" t="s">
        <v>395</v>
      </c>
      <c r="AX18" s="183" t="s">
        <v>3798</v>
      </c>
      <c r="AY18" s="183" t="s">
        <v>3808</v>
      </c>
    </row>
    <row r="19" spans="1:51" ht="240" x14ac:dyDescent="0.25">
      <c r="A19" s="750" t="s">
        <v>223</v>
      </c>
      <c r="B19" s="663" t="s">
        <v>3767</v>
      </c>
      <c r="C19" s="938"/>
      <c r="D19" s="938"/>
      <c r="E19" s="938"/>
      <c r="F19" s="663" t="s">
        <v>3794</v>
      </c>
      <c r="G19" s="938"/>
      <c r="H19" s="220" t="s">
        <v>3809</v>
      </c>
      <c r="I19" s="220" t="s">
        <v>3810</v>
      </c>
      <c r="J19" s="754">
        <v>0</v>
      </c>
      <c r="K19" s="755"/>
      <c r="L19" s="755">
        <v>1</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0"/>
      <c r="AY19" s="180"/>
    </row>
    <row r="20" spans="1:51" ht="240" x14ac:dyDescent="0.25">
      <c r="A20" s="750" t="s">
        <v>223</v>
      </c>
      <c r="B20" s="663" t="s">
        <v>3767</v>
      </c>
      <c r="C20" s="938"/>
      <c r="D20" s="938"/>
      <c r="E20" s="938"/>
      <c r="F20" s="663" t="s">
        <v>3794</v>
      </c>
      <c r="G20" s="938"/>
      <c r="H20" s="220" t="s">
        <v>3811</v>
      </c>
      <c r="I20" s="220" t="s">
        <v>3812</v>
      </c>
      <c r="J20" s="754">
        <v>451</v>
      </c>
      <c r="K20" s="755" t="s">
        <v>323</v>
      </c>
      <c r="L20" s="263">
        <v>0.5</v>
      </c>
      <c r="M20" s="759">
        <v>0.2</v>
      </c>
      <c r="N20" s="184"/>
      <c r="O20" s="184"/>
      <c r="P20" s="185">
        <v>260</v>
      </c>
      <c r="Q20" s="185">
        <v>260</v>
      </c>
      <c r="R20" s="184"/>
      <c r="S20" s="184"/>
      <c r="T20" s="184"/>
      <c r="U20" s="184"/>
      <c r="V20" s="184"/>
      <c r="W20" s="184"/>
      <c r="X20" s="184"/>
      <c r="Y20" s="184"/>
      <c r="Z20" s="184"/>
      <c r="AA20" s="184"/>
      <c r="AB20" s="184" t="s">
        <v>3813</v>
      </c>
      <c r="AC20" s="184"/>
      <c r="AD20" s="184"/>
      <c r="AE20" s="184"/>
      <c r="AF20" s="184"/>
      <c r="AG20" s="184"/>
      <c r="AH20" s="184"/>
      <c r="AI20" s="185">
        <v>451</v>
      </c>
      <c r="AJ20" s="185">
        <v>260</v>
      </c>
      <c r="AK20" s="184"/>
      <c r="AL20" s="185" t="s">
        <v>395</v>
      </c>
      <c r="AM20" s="185" t="s">
        <v>395</v>
      </c>
      <c r="AN20" s="185" t="s">
        <v>395</v>
      </c>
      <c r="AO20" s="185" t="s">
        <v>395</v>
      </c>
      <c r="AP20" s="185" t="s">
        <v>395</v>
      </c>
      <c r="AQ20" s="185" t="s">
        <v>395</v>
      </c>
      <c r="AR20" s="185" t="s">
        <v>395</v>
      </c>
      <c r="AS20" s="185" t="s">
        <v>395</v>
      </c>
      <c r="AT20" s="185" t="s">
        <v>395</v>
      </c>
      <c r="AU20" s="185" t="s">
        <v>395</v>
      </c>
      <c r="AV20" s="185" t="s">
        <v>395</v>
      </c>
      <c r="AW20" s="185" t="s">
        <v>395</v>
      </c>
      <c r="AX20" s="666" t="s">
        <v>3814</v>
      </c>
      <c r="AY20" s="220" t="s">
        <v>3815</v>
      </c>
    </row>
    <row r="21" spans="1:51" ht="195" x14ac:dyDescent="0.25">
      <c r="A21" s="750" t="s">
        <v>223</v>
      </c>
      <c r="B21" s="663" t="s">
        <v>3767</v>
      </c>
      <c r="C21" s="938"/>
      <c r="D21" s="938"/>
      <c r="E21" s="938"/>
      <c r="F21" s="663" t="s">
        <v>3794</v>
      </c>
      <c r="G21" s="938"/>
      <c r="H21" s="220" t="s">
        <v>3816</v>
      </c>
      <c r="I21" s="220" t="s">
        <v>3817</v>
      </c>
      <c r="J21" s="754">
        <v>0</v>
      </c>
      <c r="K21" s="755"/>
      <c r="L21" s="755">
        <v>1</v>
      </c>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row>
    <row r="22" spans="1:51" ht="315" x14ac:dyDescent="0.25">
      <c r="A22" s="750" t="s">
        <v>223</v>
      </c>
      <c r="B22" s="663" t="s">
        <v>3767</v>
      </c>
      <c r="C22" s="938" t="s">
        <v>3818</v>
      </c>
      <c r="D22" s="938" t="s">
        <v>3819</v>
      </c>
      <c r="E22" s="938">
        <v>0</v>
      </c>
      <c r="F22" s="663" t="s">
        <v>3820</v>
      </c>
      <c r="G22" s="938" t="s">
        <v>3821</v>
      </c>
      <c r="H22" s="220" t="s">
        <v>3822</v>
      </c>
      <c r="I22" s="220" t="s">
        <v>3823</v>
      </c>
      <c r="J22" s="754">
        <v>13</v>
      </c>
      <c r="K22" s="755" t="s">
        <v>323</v>
      </c>
      <c r="L22" s="755">
        <v>150</v>
      </c>
      <c r="M22" s="185">
        <v>28</v>
      </c>
      <c r="N22" s="184"/>
      <c r="O22" s="184"/>
      <c r="P22" s="666" t="s">
        <v>3824</v>
      </c>
      <c r="Q22" s="245">
        <v>436219</v>
      </c>
      <c r="R22" s="184"/>
      <c r="S22" s="184"/>
      <c r="T22" s="184"/>
      <c r="U22" s="184"/>
      <c r="V22" s="184"/>
      <c r="W22" s="184"/>
      <c r="X22" s="184"/>
      <c r="Y22" s="184"/>
      <c r="Z22" s="184"/>
      <c r="AA22" s="184"/>
      <c r="AB22" s="184"/>
      <c r="AC22" s="184"/>
      <c r="AD22" s="184"/>
      <c r="AE22" s="545" t="s">
        <v>3825</v>
      </c>
      <c r="AF22" s="185" t="s">
        <v>3826</v>
      </c>
      <c r="AG22" s="184"/>
      <c r="AH22" s="184"/>
      <c r="AI22" s="184" t="s">
        <v>3827</v>
      </c>
      <c r="AJ22" s="184"/>
      <c r="AK22" s="545" t="s">
        <v>3828</v>
      </c>
      <c r="AL22" s="185" t="s">
        <v>395</v>
      </c>
      <c r="AM22" s="185" t="s">
        <v>395</v>
      </c>
      <c r="AN22" s="185" t="s">
        <v>395</v>
      </c>
      <c r="AO22" s="185" t="s">
        <v>395</v>
      </c>
      <c r="AP22" s="185" t="s">
        <v>395</v>
      </c>
      <c r="AQ22" s="185" t="s">
        <v>395</v>
      </c>
      <c r="AR22" s="185" t="s">
        <v>395</v>
      </c>
      <c r="AS22" s="185" t="s">
        <v>395</v>
      </c>
      <c r="AT22" s="185" t="s">
        <v>395</v>
      </c>
      <c r="AU22" s="185" t="s">
        <v>395</v>
      </c>
      <c r="AV22" s="185" t="s">
        <v>395</v>
      </c>
      <c r="AW22" s="185" t="s">
        <v>395</v>
      </c>
      <c r="AX22" s="220" t="s">
        <v>3829</v>
      </c>
      <c r="AY22" s="220"/>
    </row>
    <row r="23" spans="1:51" ht="150" x14ac:dyDescent="0.25">
      <c r="A23" s="750" t="s">
        <v>223</v>
      </c>
      <c r="B23" s="663" t="s">
        <v>3767</v>
      </c>
      <c r="C23" s="938"/>
      <c r="D23" s="938"/>
      <c r="E23" s="938"/>
      <c r="F23" s="663" t="s">
        <v>3820</v>
      </c>
      <c r="G23" s="938"/>
      <c r="H23" s="220" t="s">
        <v>3830</v>
      </c>
      <c r="I23" s="220" t="s">
        <v>3831</v>
      </c>
      <c r="J23" s="754">
        <v>13</v>
      </c>
      <c r="K23" s="755" t="s">
        <v>323</v>
      </c>
      <c r="L23" s="755">
        <v>150</v>
      </c>
      <c r="M23" s="185">
        <v>28</v>
      </c>
      <c r="N23" s="184"/>
      <c r="O23" s="184"/>
      <c r="P23" s="245">
        <v>436219</v>
      </c>
      <c r="Q23" s="245">
        <v>436219</v>
      </c>
      <c r="R23" s="184"/>
      <c r="S23" s="184"/>
      <c r="T23" s="184"/>
      <c r="U23" s="184"/>
      <c r="V23" s="184"/>
      <c r="W23" s="184"/>
      <c r="X23" s="184"/>
      <c r="Y23" s="184"/>
      <c r="Z23" s="184"/>
      <c r="AA23" s="184"/>
      <c r="AB23" s="184"/>
      <c r="AC23" s="184"/>
      <c r="AD23" s="184"/>
      <c r="AE23" s="545" t="s">
        <v>3825</v>
      </c>
      <c r="AF23" s="185" t="s">
        <v>3832</v>
      </c>
      <c r="AG23" s="184"/>
      <c r="AH23" s="184"/>
      <c r="AI23" s="184" t="s">
        <v>3827</v>
      </c>
      <c r="AJ23" s="184"/>
      <c r="AK23" s="184"/>
      <c r="AL23" s="184"/>
      <c r="AM23" s="184"/>
      <c r="AN23" s="184"/>
      <c r="AO23" s="185" t="s">
        <v>395</v>
      </c>
      <c r="AP23" s="185" t="s">
        <v>395</v>
      </c>
      <c r="AQ23" s="185" t="s">
        <v>395</v>
      </c>
      <c r="AR23" s="185" t="s">
        <v>395</v>
      </c>
      <c r="AS23" s="185" t="s">
        <v>395</v>
      </c>
      <c r="AT23" s="185" t="s">
        <v>395</v>
      </c>
      <c r="AU23" s="185" t="s">
        <v>395</v>
      </c>
      <c r="AV23" s="185" t="s">
        <v>395</v>
      </c>
      <c r="AW23" s="185" t="s">
        <v>395</v>
      </c>
      <c r="AX23" s="220" t="s">
        <v>3798</v>
      </c>
      <c r="AY23" s="220"/>
    </row>
    <row r="24" spans="1:51" ht="135" x14ac:dyDescent="0.25">
      <c r="A24" s="750" t="s">
        <v>223</v>
      </c>
      <c r="B24" s="663" t="s">
        <v>3767</v>
      </c>
      <c r="C24" s="945" t="s">
        <v>3833</v>
      </c>
      <c r="D24" s="938" t="s">
        <v>3834</v>
      </c>
      <c r="E24" s="938">
        <v>0.06</v>
      </c>
      <c r="F24" s="663" t="s">
        <v>3835</v>
      </c>
      <c r="G24" s="945" t="s">
        <v>3836</v>
      </c>
      <c r="H24" s="220" t="s">
        <v>3837</v>
      </c>
      <c r="I24" s="220" t="s">
        <v>3838</v>
      </c>
      <c r="J24" s="754">
        <v>0</v>
      </c>
      <c r="K24" s="755"/>
      <c r="L24" s="263">
        <v>0.33</v>
      </c>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220"/>
      <c r="AY24" s="220" t="s">
        <v>3839</v>
      </c>
    </row>
    <row r="25" spans="1:51" ht="330" x14ac:dyDescent="0.25">
      <c r="A25" s="750" t="s">
        <v>223</v>
      </c>
      <c r="B25" s="663" t="s">
        <v>3767</v>
      </c>
      <c r="C25" s="947"/>
      <c r="D25" s="938"/>
      <c r="E25" s="938"/>
      <c r="F25" s="663" t="s">
        <v>3835</v>
      </c>
      <c r="G25" s="947"/>
      <c r="H25" s="220" t="s">
        <v>3840</v>
      </c>
      <c r="I25" s="220" t="s">
        <v>3841</v>
      </c>
      <c r="J25" s="754">
        <v>0</v>
      </c>
      <c r="K25" s="755" t="s">
        <v>323</v>
      </c>
      <c r="L25" s="263">
        <v>0.33</v>
      </c>
      <c r="M25" s="759">
        <v>0.33</v>
      </c>
      <c r="N25" s="184"/>
      <c r="O25" s="185">
        <v>789.50800000000004</v>
      </c>
      <c r="P25" s="185">
        <v>566.24300000000005</v>
      </c>
      <c r="Q25" s="185">
        <v>566.24300000000005</v>
      </c>
      <c r="R25" s="184"/>
      <c r="S25" s="184"/>
      <c r="T25" s="184"/>
      <c r="U25" s="184"/>
      <c r="V25" s="184"/>
      <c r="W25" s="184"/>
      <c r="X25" s="184"/>
      <c r="Y25" s="184"/>
      <c r="Z25" s="184"/>
      <c r="AA25" s="184"/>
      <c r="AB25" s="184"/>
      <c r="AC25" s="184"/>
      <c r="AD25" s="184"/>
      <c r="AE25" s="545" t="s">
        <v>3842</v>
      </c>
      <c r="AF25" s="666" t="s">
        <v>3843</v>
      </c>
      <c r="AG25" s="185">
        <v>42</v>
      </c>
      <c r="AH25" s="185"/>
      <c r="AI25" s="185">
        <v>1342.65</v>
      </c>
      <c r="AJ25" s="185">
        <v>566.24300000000005</v>
      </c>
      <c r="AK25" s="666" t="s">
        <v>3844</v>
      </c>
      <c r="AL25" s="184" t="s">
        <v>395</v>
      </c>
      <c r="AM25" s="184" t="s">
        <v>395</v>
      </c>
      <c r="AN25" s="184" t="s">
        <v>395</v>
      </c>
      <c r="AO25" s="185" t="s">
        <v>395</v>
      </c>
      <c r="AP25" s="185" t="s">
        <v>395</v>
      </c>
      <c r="AQ25" s="185" t="s">
        <v>395</v>
      </c>
      <c r="AR25" s="185" t="s">
        <v>395</v>
      </c>
      <c r="AS25" s="185" t="s">
        <v>395</v>
      </c>
      <c r="AT25" s="185" t="s">
        <v>395</v>
      </c>
      <c r="AU25" s="185" t="s">
        <v>395</v>
      </c>
      <c r="AV25" s="185" t="s">
        <v>395</v>
      </c>
      <c r="AW25" s="185" t="s">
        <v>395</v>
      </c>
      <c r="AX25" s="220" t="s">
        <v>3845</v>
      </c>
      <c r="AY25" s="220"/>
    </row>
    <row r="26" spans="1:51" ht="375" x14ac:dyDescent="0.25">
      <c r="A26" s="750" t="s">
        <v>223</v>
      </c>
      <c r="B26" s="663" t="s">
        <v>3767</v>
      </c>
      <c r="C26" s="757" t="s">
        <v>3846</v>
      </c>
      <c r="D26" s="252" t="s">
        <v>3847</v>
      </c>
      <c r="E26" s="252">
        <v>0</v>
      </c>
      <c r="F26" s="757" t="s">
        <v>3848</v>
      </c>
      <c r="G26" s="252" t="s">
        <v>3849</v>
      </c>
      <c r="H26" s="220" t="s">
        <v>3850</v>
      </c>
      <c r="I26" s="220" t="s">
        <v>3851</v>
      </c>
      <c r="J26" s="754">
        <v>0</v>
      </c>
      <c r="K26" s="755" t="s">
        <v>323</v>
      </c>
      <c r="L26" s="754">
        <v>1</v>
      </c>
      <c r="M26" s="759">
        <v>0.25</v>
      </c>
      <c r="N26" s="699" t="s">
        <v>3852</v>
      </c>
      <c r="O26" s="702"/>
      <c r="P26" s="185">
        <v>84000</v>
      </c>
      <c r="Q26" s="185">
        <v>84000</v>
      </c>
      <c r="R26" s="184"/>
      <c r="S26" s="184"/>
      <c r="T26" s="184"/>
      <c r="U26" s="184"/>
      <c r="V26" s="184"/>
      <c r="W26" s="184"/>
      <c r="X26" s="184"/>
      <c r="Y26" s="184"/>
      <c r="Z26" s="184"/>
      <c r="AA26" s="184"/>
      <c r="AB26" s="184"/>
      <c r="AC26" s="184"/>
      <c r="AD26" s="184"/>
      <c r="AE26" s="699" t="s">
        <v>3853</v>
      </c>
      <c r="AF26" s="699" t="s">
        <v>3854</v>
      </c>
      <c r="AG26" s="705"/>
      <c r="AH26" s="705"/>
      <c r="AI26" s="705">
        <v>2067</v>
      </c>
      <c r="AJ26" s="705"/>
      <c r="AK26" s="699" t="s">
        <v>3852</v>
      </c>
      <c r="AL26" s="185" t="s">
        <v>395</v>
      </c>
      <c r="AM26" s="185" t="s">
        <v>395</v>
      </c>
      <c r="AN26" s="185" t="s">
        <v>395</v>
      </c>
      <c r="AO26" s="185" t="s">
        <v>395</v>
      </c>
      <c r="AP26" s="185" t="s">
        <v>395</v>
      </c>
      <c r="AQ26" s="185" t="s">
        <v>395</v>
      </c>
      <c r="AR26" s="185" t="s">
        <v>395</v>
      </c>
      <c r="AS26" s="185" t="s">
        <v>395</v>
      </c>
      <c r="AT26" s="185" t="s">
        <v>395</v>
      </c>
      <c r="AU26" s="185" t="s">
        <v>395</v>
      </c>
      <c r="AV26" s="185" t="s">
        <v>395</v>
      </c>
      <c r="AW26" s="185" t="s">
        <v>395</v>
      </c>
      <c r="AX26" s="220" t="s">
        <v>3855</v>
      </c>
      <c r="AY26" s="220" t="s">
        <v>3856</v>
      </c>
    </row>
    <row r="27" spans="1:51" ht="409.5" x14ac:dyDescent="0.25">
      <c r="A27" s="750" t="s">
        <v>223</v>
      </c>
      <c r="B27" s="252" t="s">
        <v>3767</v>
      </c>
      <c r="C27" s="938" t="s">
        <v>3857</v>
      </c>
      <c r="D27" s="938" t="s">
        <v>3858</v>
      </c>
      <c r="E27" s="938">
        <v>0</v>
      </c>
      <c r="F27" s="252" t="s">
        <v>3859</v>
      </c>
      <c r="G27" s="938" t="s">
        <v>3860</v>
      </c>
      <c r="H27" s="220" t="s">
        <v>3861</v>
      </c>
      <c r="I27" s="756" t="s">
        <v>3862</v>
      </c>
      <c r="J27" s="762" t="s">
        <v>3863</v>
      </c>
      <c r="K27" s="762" t="s">
        <v>323</v>
      </c>
      <c r="L27" s="762">
        <v>77.599999999999994</v>
      </c>
      <c r="M27" s="185">
        <v>4</v>
      </c>
      <c r="N27" s="184"/>
      <c r="O27" s="184"/>
      <c r="P27" s="185">
        <v>164.4</v>
      </c>
      <c r="Q27" s="185">
        <v>164.4</v>
      </c>
      <c r="R27" s="184"/>
      <c r="S27" s="184"/>
      <c r="T27" s="184"/>
      <c r="U27" s="184"/>
      <c r="V27" s="184"/>
      <c r="W27" s="184"/>
      <c r="X27" s="184"/>
      <c r="Y27" s="184"/>
      <c r="Z27" s="184"/>
      <c r="AA27" s="184"/>
      <c r="AB27" s="184"/>
      <c r="AC27" s="184"/>
      <c r="AD27" s="184"/>
      <c r="AE27" s="666" t="s">
        <v>3864</v>
      </c>
      <c r="AF27" s="666" t="s">
        <v>3865</v>
      </c>
      <c r="AG27" s="184"/>
      <c r="AH27" s="184"/>
      <c r="AI27" s="184" t="s">
        <v>3866</v>
      </c>
      <c r="AJ27" s="185">
        <v>164.4</v>
      </c>
      <c r="AK27" s="666" t="s">
        <v>3867</v>
      </c>
      <c r="AL27" s="185" t="s">
        <v>395</v>
      </c>
      <c r="AM27" s="185" t="s">
        <v>395</v>
      </c>
      <c r="AN27" s="185" t="s">
        <v>395</v>
      </c>
      <c r="AO27" s="185" t="s">
        <v>395</v>
      </c>
      <c r="AP27" s="185" t="s">
        <v>395</v>
      </c>
      <c r="AQ27" s="185" t="s">
        <v>395</v>
      </c>
      <c r="AR27" s="185" t="s">
        <v>395</v>
      </c>
      <c r="AS27" s="185" t="s">
        <v>395</v>
      </c>
      <c r="AT27" s="185" t="s">
        <v>395</v>
      </c>
      <c r="AU27" s="185" t="s">
        <v>395</v>
      </c>
      <c r="AV27" s="185" t="s">
        <v>395</v>
      </c>
      <c r="AW27" s="185" t="s">
        <v>395</v>
      </c>
      <c r="AX27" s="220" t="s">
        <v>3868</v>
      </c>
      <c r="AY27" s="220" t="s">
        <v>3869</v>
      </c>
    </row>
    <row r="28" spans="1:51" ht="409.5" x14ac:dyDescent="0.25">
      <c r="A28" s="750" t="s">
        <v>223</v>
      </c>
      <c r="B28" s="252" t="s">
        <v>3767</v>
      </c>
      <c r="C28" s="938"/>
      <c r="D28" s="938"/>
      <c r="E28" s="938"/>
      <c r="F28" s="252" t="s">
        <v>3859</v>
      </c>
      <c r="G28" s="938"/>
      <c r="H28" s="220" t="s">
        <v>3870</v>
      </c>
      <c r="I28" s="220" t="s">
        <v>3871</v>
      </c>
      <c r="J28" s="762" t="s">
        <v>3872</v>
      </c>
      <c r="K28" s="762" t="s">
        <v>323</v>
      </c>
      <c r="L28" s="762">
        <v>77</v>
      </c>
      <c r="M28" s="185">
        <v>4</v>
      </c>
      <c r="N28" s="184"/>
      <c r="O28" s="184"/>
      <c r="P28" s="185">
        <v>164.4</v>
      </c>
      <c r="Q28" s="185">
        <v>164.4</v>
      </c>
      <c r="R28" s="184"/>
      <c r="S28" s="184"/>
      <c r="T28" s="184"/>
      <c r="U28" s="184"/>
      <c r="V28" s="184"/>
      <c r="W28" s="184"/>
      <c r="X28" s="184"/>
      <c r="Y28" s="184"/>
      <c r="Z28" s="184"/>
      <c r="AA28" s="184"/>
      <c r="AB28" s="184"/>
      <c r="AC28" s="184"/>
      <c r="AD28" s="184"/>
      <c r="AE28" s="666" t="s">
        <v>3864</v>
      </c>
      <c r="AF28" s="666" t="s">
        <v>3865</v>
      </c>
      <c r="AG28" s="184"/>
      <c r="AH28" s="184"/>
      <c r="AI28" s="184" t="s">
        <v>3866</v>
      </c>
      <c r="AJ28" s="185">
        <v>164.4</v>
      </c>
      <c r="AK28" s="666" t="s">
        <v>3867</v>
      </c>
      <c r="AL28" s="185" t="s">
        <v>395</v>
      </c>
      <c r="AM28" s="185" t="s">
        <v>395</v>
      </c>
      <c r="AN28" s="185" t="s">
        <v>395</v>
      </c>
      <c r="AO28" s="185" t="s">
        <v>395</v>
      </c>
      <c r="AP28" s="185" t="s">
        <v>395</v>
      </c>
      <c r="AQ28" s="185" t="s">
        <v>395</v>
      </c>
      <c r="AR28" s="185" t="s">
        <v>395</v>
      </c>
      <c r="AS28" s="185" t="s">
        <v>395</v>
      </c>
      <c r="AT28" s="185" t="s">
        <v>395</v>
      </c>
      <c r="AU28" s="185" t="s">
        <v>395</v>
      </c>
      <c r="AV28" s="185" t="s">
        <v>395</v>
      </c>
      <c r="AW28" s="185" t="s">
        <v>395</v>
      </c>
      <c r="AX28" s="220" t="s">
        <v>3868</v>
      </c>
      <c r="AY28" s="220" t="s">
        <v>3869</v>
      </c>
    </row>
    <row r="29" spans="1:51" ht="409.5" x14ac:dyDescent="0.25">
      <c r="A29" s="750" t="s">
        <v>223</v>
      </c>
      <c r="B29" s="252" t="s">
        <v>3767</v>
      </c>
      <c r="C29" s="938"/>
      <c r="D29" s="938"/>
      <c r="E29" s="938"/>
      <c r="F29" s="252" t="s">
        <v>3859</v>
      </c>
      <c r="G29" s="938"/>
      <c r="H29" s="220" t="s">
        <v>3873</v>
      </c>
      <c r="I29" s="220" t="s">
        <v>3874</v>
      </c>
      <c r="J29" s="762" t="s">
        <v>3875</v>
      </c>
      <c r="K29" s="762" t="s">
        <v>323</v>
      </c>
      <c r="L29" s="762">
        <v>90</v>
      </c>
      <c r="M29" s="185">
        <v>2</v>
      </c>
      <c r="N29" s="184"/>
      <c r="O29" s="184"/>
      <c r="P29" s="185">
        <v>164.4</v>
      </c>
      <c r="Q29" s="185">
        <v>164.4</v>
      </c>
      <c r="R29" s="184"/>
      <c r="S29" s="184"/>
      <c r="T29" s="184"/>
      <c r="U29" s="184"/>
      <c r="V29" s="184"/>
      <c r="W29" s="184"/>
      <c r="X29" s="184"/>
      <c r="Y29" s="184"/>
      <c r="Z29" s="184"/>
      <c r="AA29" s="184"/>
      <c r="AB29" s="184"/>
      <c r="AC29" s="184"/>
      <c r="AD29" s="184"/>
      <c r="AE29" s="666" t="s">
        <v>3864</v>
      </c>
      <c r="AF29" s="666" t="s">
        <v>3865</v>
      </c>
      <c r="AG29" s="184"/>
      <c r="AH29" s="184"/>
      <c r="AI29" s="184" t="s">
        <v>3866</v>
      </c>
      <c r="AJ29" s="185">
        <v>164.4</v>
      </c>
      <c r="AK29" s="666" t="s">
        <v>3867</v>
      </c>
      <c r="AL29" s="185" t="s">
        <v>395</v>
      </c>
      <c r="AM29" s="185" t="s">
        <v>395</v>
      </c>
      <c r="AN29" s="185" t="s">
        <v>395</v>
      </c>
      <c r="AO29" s="185" t="s">
        <v>395</v>
      </c>
      <c r="AP29" s="185" t="s">
        <v>395</v>
      </c>
      <c r="AQ29" s="185" t="s">
        <v>395</v>
      </c>
      <c r="AR29" s="185" t="s">
        <v>395</v>
      </c>
      <c r="AS29" s="185" t="s">
        <v>395</v>
      </c>
      <c r="AT29" s="185" t="s">
        <v>395</v>
      </c>
      <c r="AU29" s="185" t="s">
        <v>395</v>
      </c>
      <c r="AV29" s="185" t="s">
        <v>395</v>
      </c>
      <c r="AW29" s="185" t="s">
        <v>395</v>
      </c>
      <c r="AX29" s="220" t="s">
        <v>3868</v>
      </c>
      <c r="AY29" s="220" t="s">
        <v>3869</v>
      </c>
    </row>
    <row r="30" spans="1:51" ht="409.5" x14ac:dyDescent="0.25">
      <c r="A30" s="750" t="s">
        <v>223</v>
      </c>
      <c r="B30" s="252" t="s">
        <v>3767</v>
      </c>
      <c r="C30" s="938"/>
      <c r="D30" s="938"/>
      <c r="E30" s="938"/>
      <c r="F30" s="252" t="s">
        <v>3859</v>
      </c>
      <c r="G30" s="938"/>
      <c r="H30" s="220" t="s">
        <v>3876</v>
      </c>
      <c r="I30" s="220" t="s">
        <v>3877</v>
      </c>
      <c r="J30" s="762" t="s">
        <v>3878</v>
      </c>
      <c r="K30" s="762" t="s">
        <v>323</v>
      </c>
      <c r="L30" s="762">
        <v>66</v>
      </c>
      <c r="M30" s="185">
        <v>2</v>
      </c>
      <c r="N30" s="184"/>
      <c r="O30" s="184"/>
      <c r="P30" s="185">
        <v>164.4</v>
      </c>
      <c r="Q30" s="185">
        <v>164.4</v>
      </c>
      <c r="R30" s="184"/>
      <c r="S30" s="184"/>
      <c r="T30" s="184"/>
      <c r="U30" s="184"/>
      <c r="V30" s="184"/>
      <c r="W30" s="184"/>
      <c r="X30" s="184"/>
      <c r="Y30" s="184"/>
      <c r="Z30" s="184"/>
      <c r="AA30" s="184"/>
      <c r="AB30" s="184"/>
      <c r="AC30" s="184"/>
      <c r="AD30" s="184"/>
      <c r="AE30" s="666" t="s">
        <v>3864</v>
      </c>
      <c r="AF30" s="666" t="s">
        <v>3865</v>
      </c>
      <c r="AG30" s="184"/>
      <c r="AH30" s="184"/>
      <c r="AI30" s="184" t="s">
        <v>3866</v>
      </c>
      <c r="AJ30" s="185">
        <v>164.4</v>
      </c>
      <c r="AK30" s="666" t="s">
        <v>3867</v>
      </c>
      <c r="AL30" s="185" t="s">
        <v>395</v>
      </c>
      <c r="AM30" s="185" t="s">
        <v>395</v>
      </c>
      <c r="AN30" s="185" t="s">
        <v>395</v>
      </c>
      <c r="AO30" s="185" t="s">
        <v>395</v>
      </c>
      <c r="AP30" s="185" t="s">
        <v>395</v>
      </c>
      <c r="AQ30" s="185" t="s">
        <v>395</v>
      </c>
      <c r="AR30" s="185" t="s">
        <v>395</v>
      </c>
      <c r="AS30" s="185" t="s">
        <v>395</v>
      </c>
      <c r="AT30" s="185" t="s">
        <v>395</v>
      </c>
      <c r="AU30" s="185" t="s">
        <v>395</v>
      </c>
      <c r="AV30" s="185" t="s">
        <v>395</v>
      </c>
      <c r="AW30" s="185" t="s">
        <v>395</v>
      </c>
      <c r="AX30" s="220" t="s">
        <v>3868</v>
      </c>
      <c r="AY30" s="220" t="s">
        <v>3869</v>
      </c>
    </row>
  </sheetData>
  <sheetProtection password="C71C" sheet="1" objects="1" scenarios="1"/>
  <mergeCells count="50">
    <mergeCell ref="C24:C25"/>
    <mergeCell ref="D24:D25"/>
    <mergeCell ref="E24:E25"/>
    <mergeCell ref="G24:G25"/>
    <mergeCell ref="C27:C30"/>
    <mergeCell ref="D27:D30"/>
    <mergeCell ref="E27:E30"/>
    <mergeCell ref="G27:G30"/>
    <mergeCell ref="C15:C21"/>
    <mergeCell ref="D15:D21"/>
    <mergeCell ref="E15:E21"/>
    <mergeCell ref="G15:G21"/>
    <mergeCell ref="C22:C23"/>
    <mergeCell ref="D22:D23"/>
    <mergeCell ref="E22:E23"/>
    <mergeCell ref="G22:G23"/>
    <mergeCell ref="AX8:AX9"/>
    <mergeCell ref="AY8:AY9"/>
    <mergeCell ref="C10:C14"/>
    <mergeCell ref="D10:D14"/>
    <mergeCell ref="E10:E14"/>
    <mergeCell ref="G10:G14"/>
    <mergeCell ref="AG8:AG9"/>
    <mergeCell ref="AH8:AH9"/>
    <mergeCell ref="AI8:AI9"/>
    <mergeCell ref="AJ8:AJ9"/>
    <mergeCell ref="AK8:AK9"/>
    <mergeCell ref="AL8:AW8"/>
    <mergeCell ref="M8:M9"/>
    <mergeCell ref="N8:O8"/>
    <mergeCell ref="P8:P9"/>
    <mergeCell ref="Q8:AD8"/>
    <mergeCell ref="AE8:AE9"/>
    <mergeCell ref="AF8:AF9"/>
    <mergeCell ref="G8:G9"/>
    <mergeCell ref="H8:H9"/>
    <mergeCell ref="I8:I9"/>
    <mergeCell ref="J8:J9"/>
    <mergeCell ref="K8:K9"/>
    <mergeCell ref="L8:L9"/>
    <mergeCell ref="A2:L2"/>
    <mergeCell ref="A3:L3"/>
    <mergeCell ref="A5:L5"/>
    <mergeCell ref="A6:L6"/>
    <mergeCell ref="A8:A9"/>
    <mergeCell ref="B8:B9"/>
    <mergeCell ref="C8:C9"/>
    <mergeCell ref="D8:D9"/>
    <mergeCell ref="E8:E9"/>
    <mergeCell ref="F8:F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4"/>
  <sheetViews>
    <sheetView topLeftCell="A2" workbookViewId="0">
      <selection activeCell="H13" sqref="H13"/>
    </sheetView>
  </sheetViews>
  <sheetFormatPr baseColWidth="10" defaultRowHeight="15" x14ac:dyDescent="0.25"/>
  <cols>
    <col min="2" max="2" width="13" customWidth="1"/>
    <col min="40" max="51" width="4.7109375" customWidth="1"/>
  </cols>
  <sheetData>
    <row r="1" spans="1:54"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row>
    <row r="2" spans="1:54" x14ac:dyDescent="0.25">
      <c r="A2" s="827" t="s">
        <v>0</v>
      </c>
      <c r="B2" s="827"/>
      <c r="C2" s="827"/>
      <c r="D2" s="827"/>
      <c r="E2" s="827"/>
      <c r="F2" s="827"/>
      <c r="G2" s="827"/>
      <c r="H2" s="827"/>
      <c r="I2" s="827"/>
      <c r="J2" s="827"/>
      <c r="K2" s="827"/>
      <c r="L2" s="827"/>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row>
    <row r="3" spans="1:54" x14ac:dyDescent="0.25">
      <c r="A3" s="827" t="s">
        <v>1</v>
      </c>
      <c r="B3" s="827"/>
      <c r="C3" s="827"/>
      <c r="D3" s="827"/>
      <c r="E3" s="827"/>
      <c r="F3" s="827"/>
      <c r="G3" s="827"/>
      <c r="H3" s="827"/>
      <c r="I3" s="827"/>
      <c r="J3" s="827"/>
      <c r="K3" s="827"/>
      <c r="L3" s="827"/>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row>
    <row r="4" spans="1:54" x14ac:dyDescent="0.25">
      <c r="A4" s="828" t="s">
        <v>2</v>
      </c>
      <c r="B4" s="828"/>
      <c r="C4" s="828"/>
      <c r="D4" s="828"/>
      <c r="E4" s="828"/>
      <c r="F4" s="828"/>
      <c r="G4" s="828"/>
      <c r="H4" s="828"/>
      <c r="I4" s="828"/>
      <c r="J4" s="828"/>
      <c r="K4" s="828"/>
      <c r="L4" s="828"/>
      <c r="M4" s="80"/>
      <c r="N4" s="80"/>
      <c r="O4" s="80"/>
      <c r="P4" s="80"/>
      <c r="Q4" s="80"/>
      <c r="R4" s="80"/>
      <c r="S4" s="80"/>
      <c r="T4" s="80"/>
      <c r="U4" s="81"/>
      <c r="V4" s="80"/>
      <c r="W4" s="80"/>
      <c r="X4" s="80"/>
      <c r="Y4" s="80"/>
      <c r="Z4" s="80"/>
      <c r="AA4" s="80"/>
      <c r="AB4" s="80"/>
      <c r="AC4" s="80"/>
      <c r="AD4" s="80"/>
      <c r="AE4" s="81"/>
      <c r="AF4" s="80"/>
      <c r="AG4" s="80"/>
      <c r="AH4" s="80"/>
      <c r="AI4" s="80"/>
      <c r="AJ4" s="80"/>
      <c r="AK4" s="80"/>
      <c r="AL4" s="80"/>
      <c r="AM4" s="80"/>
      <c r="AN4" s="80"/>
      <c r="AO4" s="80"/>
      <c r="AP4" s="80"/>
      <c r="AQ4" s="80"/>
      <c r="AR4" s="80"/>
      <c r="AS4" s="80"/>
      <c r="AT4" s="80"/>
      <c r="AU4" s="80"/>
      <c r="AV4" s="80"/>
      <c r="AW4" s="80"/>
      <c r="AX4" s="80"/>
      <c r="AY4" s="80"/>
      <c r="AZ4" s="80"/>
      <c r="BA4" s="80"/>
      <c r="BB4" s="80"/>
    </row>
    <row r="5" spans="1:54" x14ac:dyDescent="0.25">
      <c r="A5" s="827" t="s">
        <v>321</v>
      </c>
      <c r="B5" s="827"/>
      <c r="C5" s="827"/>
      <c r="D5" s="827"/>
      <c r="E5" s="827"/>
      <c r="F5" s="827"/>
      <c r="G5" s="827"/>
      <c r="H5" s="827"/>
      <c r="I5" s="827"/>
      <c r="J5" s="827"/>
      <c r="K5" s="827"/>
      <c r="L5" s="827"/>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row>
    <row r="6" spans="1:54" x14ac:dyDescent="0.25">
      <c r="A6" s="82"/>
      <c r="B6" s="82"/>
      <c r="C6" s="82"/>
      <c r="D6" s="82"/>
      <c r="E6" s="82"/>
      <c r="F6" s="82"/>
      <c r="G6" s="82"/>
      <c r="H6" s="82"/>
      <c r="I6" s="82"/>
      <c r="J6" s="82"/>
      <c r="K6" s="82"/>
      <c r="L6" s="82"/>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row>
    <row r="7" spans="1:54" x14ac:dyDescent="0.25">
      <c r="A7" s="82"/>
      <c r="B7" s="82"/>
      <c r="C7" s="82"/>
      <c r="D7" s="82"/>
      <c r="E7" s="82"/>
      <c r="F7" s="82"/>
      <c r="G7" s="82"/>
      <c r="H7" s="82"/>
      <c r="I7" s="82"/>
      <c r="J7" s="82"/>
      <c r="K7" s="82"/>
      <c r="L7" s="82"/>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row>
    <row r="8" spans="1:54" x14ac:dyDescent="0.25">
      <c r="A8" s="827" t="s">
        <v>616</v>
      </c>
      <c r="B8" s="827"/>
      <c r="C8" s="827"/>
      <c r="D8" s="827"/>
      <c r="E8" s="827"/>
      <c r="F8" s="827"/>
      <c r="G8" s="827"/>
      <c r="H8" s="827"/>
      <c r="I8" s="827"/>
      <c r="J8" s="827"/>
      <c r="K8" s="827"/>
      <c r="L8" s="827"/>
      <c r="M8" s="827"/>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x14ac:dyDescent="0.25">
      <c r="A9" s="82"/>
      <c r="B9" s="82"/>
      <c r="C9" s="82"/>
      <c r="D9" s="82"/>
      <c r="E9" s="82"/>
      <c r="F9" s="82"/>
      <c r="G9" s="82"/>
      <c r="H9" s="82"/>
      <c r="I9" s="82"/>
      <c r="J9" s="82"/>
      <c r="K9" s="82"/>
      <c r="L9" s="82"/>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row>
    <row r="10" spans="1:54" x14ac:dyDescent="0.2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row>
    <row r="11" spans="1:54" ht="40.5" customHeight="1" x14ac:dyDescent="0.25">
      <c r="A11" s="824" t="s">
        <v>3</v>
      </c>
      <c r="B11" s="824" t="s">
        <v>4</v>
      </c>
      <c r="C11" s="824" t="s">
        <v>5</v>
      </c>
      <c r="D11" s="824" t="s">
        <v>6</v>
      </c>
      <c r="E11" s="824" t="s">
        <v>7</v>
      </c>
      <c r="F11" s="824" t="s">
        <v>8</v>
      </c>
      <c r="G11" s="824" t="s">
        <v>9</v>
      </c>
      <c r="H11" s="824" t="s">
        <v>10</v>
      </c>
      <c r="I11" s="824" t="s">
        <v>11</v>
      </c>
      <c r="J11" s="824" t="s">
        <v>12</v>
      </c>
      <c r="K11" s="824" t="s">
        <v>13</v>
      </c>
      <c r="L11" s="824" t="s">
        <v>617</v>
      </c>
      <c r="M11" s="822" t="s">
        <v>325</v>
      </c>
      <c r="N11" s="821" t="s">
        <v>11</v>
      </c>
      <c r="O11" s="821"/>
      <c r="P11" s="821" t="s">
        <v>326</v>
      </c>
      <c r="Q11" s="826" t="s">
        <v>15</v>
      </c>
      <c r="R11" s="826"/>
      <c r="S11" s="826"/>
      <c r="T11" s="826"/>
      <c r="U11" s="826"/>
      <c r="V11" s="826"/>
      <c r="W11" s="826"/>
      <c r="X11" s="826"/>
      <c r="Y11" s="826"/>
      <c r="Z11" s="826"/>
      <c r="AA11" s="826"/>
      <c r="AB11" s="826"/>
      <c r="AC11" s="826"/>
      <c r="AD11" s="826"/>
      <c r="AE11" s="826"/>
      <c r="AF11" s="826"/>
      <c r="AG11" s="826"/>
      <c r="AH11" s="821" t="s">
        <v>16</v>
      </c>
      <c r="AI11" s="821" t="s">
        <v>17</v>
      </c>
      <c r="AJ11" s="821" t="s">
        <v>618</v>
      </c>
      <c r="AK11" s="822" t="s">
        <v>19</v>
      </c>
      <c r="AL11" s="821" t="s">
        <v>619</v>
      </c>
      <c r="AM11" s="821" t="s">
        <v>21</v>
      </c>
      <c r="AN11" s="821" t="s">
        <v>620</v>
      </c>
      <c r="AO11" s="821"/>
      <c r="AP11" s="821"/>
      <c r="AQ11" s="821"/>
      <c r="AR11" s="821"/>
      <c r="AS11" s="821"/>
      <c r="AT11" s="821"/>
      <c r="AU11" s="821"/>
      <c r="AV11" s="821"/>
      <c r="AW11" s="821"/>
      <c r="AX11" s="821"/>
      <c r="AY11" s="821"/>
      <c r="AZ11" s="821" t="s">
        <v>23</v>
      </c>
      <c r="BA11" s="821" t="s">
        <v>24</v>
      </c>
      <c r="BB11" s="83"/>
    </row>
    <row r="12" spans="1:54" ht="57.75" customHeight="1" x14ac:dyDescent="0.25">
      <c r="A12" s="825"/>
      <c r="B12" s="825"/>
      <c r="C12" s="825"/>
      <c r="D12" s="825"/>
      <c r="E12" s="825"/>
      <c r="F12" s="825"/>
      <c r="G12" s="825"/>
      <c r="H12" s="825"/>
      <c r="I12" s="825"/>
      <c r="J12" s="825"/>
      <c r="K12" s="825"/>
      <c r="L12" s="825"/>
      <c r="M12" s="823"/>
      <c r="N12" s="124" t="s">
        <v>25</v>
      </c>
      <c r="O12" s="124" t="s">
        <v>621</v>
      </c>
      <c r="P12" s="821"/>
      <c r="Q12" s="125" t="s">
        <v>27</v>
      </c>
      <c r="R12" s="125" t="s">
        <v>622</v>
      </c>
      <c r="S12" s="125" t="s">
        <v>28</v>
      </c>
      <c r="T12" s="125" t="s">
        <v>29</v>
      </c>
      <c r="U12" s="125" t="s">
        <v>623</v>
      </c>
      <c r="V12" s="125" t="s">
        <v>30</v>
      </c>
      <c r="W12" s="125" t="s">
        <v>1444</v>
      </c>
      <c r="X12" s="125" t="s">
        <v>1445</v>
      </c>
      <c r="Y12" s="125" t="s">
        <v>33</v>
      </c>
      <c r="Z12" s="125" t="s">
        <v>34</v>
      </c>
      <c r="AA12" s="125" t="s">
        <v>624</v>
      </c>
      <c r="AB12" s="125" t="s">
        <v>625</v>
      </c>
      <c r="AC12" s="125" t="s">
        <v>36</v>
      </c>
      <c r="AD12" s="125" t="s">
        <v>37</v>
      </c>
      <c r="AE12" s="125" t="s">
        <v>38</v>
      </c>
      <c r="AF12" s="125" t="s">
        <v>39</v>
      </c>
      <c r="AG12" s="125">
        <v>2017</v>
      </c>
      <c r="AH12" s="821"/>
      <c r="AI12" s="821"/>
      <c r="AJ12" s="821"/>
      <c r="AK12" s="823"/>
      <c r="AL12" s="821"/>
      <c r="AM12" s="821"/>
      <c r="AN12" s="124" t="s">
        <v>40</v>
      </c>
      <c r="AO12" s="124" t="s">
        <v>41</v>
      </c>
      <c r="AP12" s="124" t="s">
        <v>42</v>
      </c>
      <c r="AQ12" s="124" t="s">
        <v>43</v>
      </c>
      <c r="AR12" s="124" t="s">
        <v>42</v>
      </c>
      <c r="AS12" s="124" t="s">
        <v>44</v>
      </c>
      <c r="AT12" s="124" t="s">
        <v>44</v>
      </c>
      <c r="AU12" s="124" t="s">
        <v>43</v>
      </c>
      <c r="AV12" s="124" t="s">
        <v>45</v>
      </c>
      <c r="AW12" s="124" t="s">
        <v>46</v>
      </c>
      <c r="AX12" s="124" t="s">
        <v>47</v>
      </c>
      <c r="AY12" s="124" t="s">
        <v>48</v>
      </c>
      <c r="AZ12" s="821"/>
      <c r="BA12" s="821"/>
      <c r="BB12" s="83"/>
    </row>
    <row r="13" spans="1:54" ht="409.5" x14ac:dyDescent="0.25">
      <c r="A13" s="84" t="s">
        <v>49</v>
      </c>
      <c r="B13" s="84" t="s">
        <v>626</v>
      </c>
      <c r="C13" s="84" t="s">
        <v>627</v>
      </c>
      <c r="D13" s="84" t="s">
        <v>628</v>
      </c>
      <c r="E13" s="84">
        <v>0</v>
      </c>
      <c r="F13" s="84" t="s">
        <v>629</v>
      </c>
      <c r="G13" s="816" t="s">
        <v>630</v>
      </c>
      <c r="H13" s="84" t="s">
        <v>631</v>
      </c>
      <c r="I13" s="84" t="s">
        <v>632</v>
      </c>
      <c r="J13" s="84">
        <v>0</v>
      </c>
      <c r="K13" s="84" t="s">
        <v>323</v>
      </c>
      <c r="L13" s="84">
        <v>42</v>
      </c>
      <c r="M13" s="84">
        <v>12</v>
      </c>
      <c r="N13" s="84" t="s">
        <v>632</v>
      </c>
      <c r="O13" s="84">
        <v>0</v>
      </c>
      <c r="P13" s="85">
        <v>126000</v>
      </c>
      <c r="Q13" s="85"/>
      <c r="R13" s="85"/>
      <c r="S13" s="85"/>
      <c r="T13" s="85"/>
      <c r="U13" s="85">
        <v>126000</v>
      </c>
      <c r="V13" s="85"/>
      <c r="W13" s="85"/>
      <c r="X13" s="85"/>
      <c r="Y13" s="85"/>
      <c r="Z13" s="85"/>
      <c r="AA13" s="85"/>
      <c r="AB13" s="85"/>
      <c r="AC13" s="85"/>
      <c r="AD13" s="85"/>
      <c r="AE13" s="85"/>
      <c r="AF13" s="85"/>
      <c r="AG13" s="85">
        <f t="shared" ref="AG13:AG76" si="0">SUM(Q13:AF13)</f>
        <v>126000</v>
      </c>
      <c r="AH13" s="86" t="s">
        <v>633</v>
      </c>
      <c r="AI13" s="86" t="s">
        <v>634</v>
      </c>
      <c r="AJ13" s="86" t="s">
        <v>635</v>
      </c>
      <c r="AK13" s="86" t="s">
        <v>636</v>
      </c>
      <c r="AL13" s="86">
        <v>369.61799999999999</v>
      </c>
      <c r="AM13" s="87" t="s">
        <v>637</v>
      </c>
      <c r="AN13" s="88"/>
      <c r="AO13" s="88"/>
      <c r="AP13" s="88" t="s">
        <v>395</v>
      </c>
      <c r="AQ13" s="88" t="s">
        <v>395</v>
      </c>
      <c r="AR13" s="88" t="s">
        <v>395</v>
      </c>
      <c r="AS13" s="88" t="s">
        <v>395</v>
      </c>
      <c r="AT13" s="88" t="s">
        <v>395</v>
      </c>
      <c r="AU13" s="88" t="s">
        <v>395</v>
      </c>
      <c r="AV13" s="88" t="s">
        <v>395</v>
      </c>
      <c r="AW13" s="88" t="s">
        <v>395</v>
      </c>
      <c r="AX13" s="88" t="s">
        <v>395</v>
      </c>
      <c r="AY13" s="88" t="s">
        <v>395</v>
      </c>
      <c r="AZ13" s="86" t="s">
        <v>638</v>
      </c>
      <c r="BA13" s="86" t="s">
        <v>639</v>
      </c>
      <c r="BB13" s="80"/>
    </row>
    <row r="14" spans="1:54" ht="409.5" x14ac:dyDescent="0.25">
      <c r="A14" s="84" t="s">
        <v>49</v>
      </c>
      <c r="B14" s="84" t="s">
        <v>626</v>
      </c>
      <c r="C14" s="816" t="s">
        <v>640</v>
      </c>
      <c r="D14" s="816" t="s">
        <v>641</v>
      </c>
      <c r="E14" s="816">
        <v>0</v>
      </c>
      <c r="F14" s="84" t="s">
        <v>629</v>
      </c>
      <c r="G14" s="816"/>
      <c r="H14" s="84" t="s">
        <v>642</v>
      </c>
      <c r="I14" s="84" t="s">
        <v>643</v>
      </c>
      <c r="J14" s="84">
        <v>0</v>
      </c>
      <c r="K14" s="84" t="s">
        <v>323</v>
      </c>
      <c r="L14" s="89">
        <v>1</v>
      </c>
      <c r="M14" s="89">
        <v>0.25</v>
      </c>
      <c r="N14" s="84" t="s">
        <v>643</v>
      </c>
      <c r="O14" s="90">
        <v>0</v>
      </c>
      <c r="P14" s="85">
        <v>110250</v>
      </c>
      <c r="Q14" s="85"/>
      <c r="R14" s="85"/>
      <c r="S14" s="85"/>
      <c r="T14" s="85"/>
      <c r="U14" s="85">
        <v>110250</v>
      </c>
      <c r="V14" s="85"/>
      <c r="W14" s="85"/>
      <c r="X14" s="85"/>
      <c r="Y14" s="85"/>
      <c r="Z14" s="85"/>
      <c r="AA14" s="85"/>
      <c r="AB14" s="85"/>
      <c r="AC14" s="85"/>
      <c r="AD14" s="85"/>
      <c r="AE14" s="85"/>
      <c r="AF14" s="85"/>
      <c r="AG14" s="85">
        <f t="shared" si="0"/>
        <v>110250</v>
      </c>
      <c r="AH14" s="86" t="s">
        <v>633</v>
      </c>
      <c r="AI14" s="86" t="s">
        <v>634</v>
      </c>
      <c r="AJ14" s="84">
        <v>42</v>
      </c>
      <c r="AK14" s="84" t="s">
        <v>644</v>
      </c>
      <c r="AL14" s="91">
        <v>1404205</v>
      </c>
      <c r="AM14" s="87" t="s">
        <v>645</v>
      </c>
      <c r="AN14" s="88"/>
      <c r="AO14" s="88"/>
      <c r="AP14" s="88" t="s">
        <v>395</v>
      </c>
      <c r="AQ14" s="88" t="s">
        <v>395</v>
      </c>
      <c r="AR14" s="88" t="s">
        <v>395</v>
      </c>
      <c r="AS14" s="88" t="s">
        <v>395</v>
      </c>
      <c r="AT14" s="88" t="s">
        <v>395</v>
      </c>
      <c r="AU14" s="88" t="s">
        <v>395</v>
      </c>
      <c r="AV14" s="88" t="s">
        <v>395</v>
      </c>
      <c r="AW14" s="88" t="s">
        <v>395</v>
      </c>
      <c r="AX14" s="88" t="s">
        <v>395</v>
      </c>
      <c r="AY14" s="88" t="s">
        <v>395</v>
      </c>
      <c r="AZ14" s="86" t="s">
        <v>638</v>
      </c>
      <c r="BA14" s="91" t="s">
        <v>646</v>
      </c>
      <c r="BB14" s="80"/>
    </row>
    <row r="15" spans="1:54" ht="409.5" x14ac:dyDescent="0.25">
      <c r="A15" s="84" t="s">
        <v>49</v>
      </c>
      <c r="B15" s="84" t="s">
        <v>626</v>
      </c>
      <c r="C15" s="816"/>
      <c r="D15" s="816"/>
      <c r="E15" s="816"/>
      <c r="F15" s="84" t="s">
        <v>629</v>
      </c>
      <c r="G15" s="816"/>
      <c r="H15" s="84" t="s">
        <v>647</v>
      </c>
      <c r="I15" s="84" t="s">
        <v>648</v>
      </c>
      <c r="J15" s="84">
        <v>0</v>
      </c>
      <c r="K15" s="84" t="s">
        <v>323</v>
      </c>
      <c r="L15" s="89">
        <v>1</v>
      </c>
      <c r="M15" s="89">
        <v>0.25</v>
      </c>
      <c r="N15" s="84" t="s">
        <v>648</v>
      </c>
      <c r="O15" s="90">
        <v>0</v>
      </c>
      <c r="P15" s="85">
        <v>32235</v>
      </c>
      <c r="Q15" s="85"/>
      <c r="R15" s="85"/>
      <c r="S15" s="85"/>
      <c r="T15" s="85"/>
      <c r="U15" s="85">
        <v>32235</v>
      </c>
      <c r="V15" s="85"/>
      <c r="W15" s="85"/>
      <c r="X15" s="85"/>
      <c r="Y15" s="85"/>
      <c r="Z15" s="85"/>
      <c r="AA15" s="85"/>
      <c r="AB15" s="85"/>
      <c r="AC15" s="85"/>
      <c r="AD15" s="85"/>
      <c r="AE15" s="85"/>
      <c r="AF15" s="85"/>
      <c r="AG15" s="85">
        <f t="shared" si="0"/>
        <v>32235</v>
      </c>
      <c r="AH15" s="86" t="s">
        <v>633</v>
      </c>
      <c r="AI15" s="86" t="s">
        <v>634</v>
      </c>
      <c r="AJ15" s="84">
        <v>42</v>
      </c>
      <c r="AK15" s="84" t="s">
        <v>644</v>
      </c>
      <c r="AL15" s="91">
        <v>1404205</v>
      </c>
      <c r="AM15" s="91" t="s">
        <v>649</v>
      </c>
      <c r="AN15" s="88"/>
      <c r="AO15" s="88"/>
      <c r="AP15" s="88" t="s">
        <v>395</v>
      </c>
      <c r="AQ15" s="88" t="s">
        <v>395</v>
      </c>
      <c r="AR15" s="88" t="s">
        <v>395</v>
      </c>
      <c r="AS15" s="88" t="s">
        <v>395</v>
      </c>
      <c r="AT15" s="88" t="s">
        <v>395</v>
      </c>
      <c r="AU15" s="88" t="s">
        <v>395</v>
      </c>
      <c r="AV15" s="88" t="s">
        <v>395</v>
      </c>
      <c r="AW15" s="88" t="s">
        <v>395</v>
      </c>
      <c r="AX15" s="88" t="s">
        <v>395</v>
      </c>
      <c r="AY15" s="88" t="s">
        <v>395</v>
      </c>
      <c r="AZ15" s="86" t="s">
        <v>638</v>
      </c>
      <c r="BA15" s="91" t="s">
        <v>646</v>
      </c>
      <c r="BB15" s="80"/>
    </row>
    <row r="16" spans="1:54" ht="409.5" x14ac:dyDescent="0.25">
      <c r="A16" s="84" t="s">
        <v>49</v>
      </c>
      <c r="B16" s="84" t="s">
        <v>626</v>
      </c>
      <c r="C16" s="816"/>
      <c r="D16" s="816"/>
      <c r="E16" s="816"/>
      <c r="F16" s="84" t="s">
        <v>629</v>
      </c>
      <c r="G16" s="816"/>
      <c r="H16" s="84" t="s">
        <v>650</v>
      </c>
      <c r="I16" s="84" t="s">
        <v>651</v>
      </c>
      <c r="J16" s="84">
        <v>0</v>
      </c>
      <c r="K16" s="84" t="s">
        <v>323</v>
      </c>
      <c r="L16" s="84">
        <v>8</v>
      </c>
      <c r="M16" s="84">
        <v>2</v>
      </c>
      <c r="N16" s="84" t="s">
        <v>651</v>
      </c>
      <c r="O16" s="84">
        <v>0</v>
      </c>
      <c r="P16" s="85">
        <v>31500</v>
      </c>
      <c r="Q16" s="85"/>
      <c r="R16" s="85"/>
      <c r="S16" s="85"/>
      <c r="T16" s="85"/>
      <c r="U16" s="85">
        <v>31500</v>
      </c>
      <c r="V16" s="85"/>
      <c r="W16" s="85"/>
      <c r="X16" s="85"/>
      <c r="Y16" s="85"/>
      <c r="Z16" s="85"/>
      <c r="AA16" s="85"/>
      <c r="AB16" s="85"/>
      <c r="AC16" s="85"/>
      <c r="AD16" s="85"/>
      <c r="AE16" s="85"/>
      <c r="AF16" s="85"/>
      <c r="AG16" s="85">
        <f t="shared" si="0"/>
        <v>31500</v>
      </c>
      <c r="AH16" s="86" t="s">
        <v>633</v>
      </c>
      <c r="AI16" s="86" t="s">
        <v>634</v>
      </c>
      <c r="AJ16" s="84">
        <v>42</v>
      </c>
      <c r="AK16" s="84" t="s">
        <v>644</v>
      </c>
      <c r="AL16" s="91">
        <v>1404205</v>
      </c>
      <c r="AM16" s="91" t="s">
        <v>652</v>
      </c>
      <c r="AN16" s="88">
        <v>0</v>
      </c>
      <c r="AO16" s="88">
        <v>0</v>
      </c>
      <c r="AP16" s="88" t="s">
        <v>395</v>
      </c>
      <c r="AQ16" s="88" t="s">
        <v>395</v>
      </c>
      <c r="AR16" s="88" t="s">
        <v>395</v>
      </c>
      <c r="AS16" s="88" t="s">
        <v>395</v>
      </c>
      <c r="AT16" s="88" t="s">
        <v>395</v>
      </c>
      <c r="AU16" s="88" t="s">
        <v>395</v>
      </c>
      <c r="AV16" s="88" t="s">
        <v>395</v>
      </c>
      <c r="AW16" s="88" t="s">
        <v>395</v>
      </c>
      <c r="AX16" s="88" t="s">
        <v>395</v>
      </c>
      <c r="AY16" s="88" t="s">
        <v>395</v>
      </c>
      <c r="AZ16" s="86" t="s">
        <v>638</v>
      </c>
      <c r="BA16" s="91" t="s">
        <v>646</v>
      </c>
      <c r="BB16" s="80"/>
    </row>
    <row r="17" spans="1:54" ht="409.5" x14ac:dyDescent="0.25">
      <c r="A17" s="84" t="s">
        <v>49</v>
      </c>
      <c r="B17" s="84" t="s">
        <v>626</v>
      </c>
      <c r="C17" s="84" t="s">
        <v>653</v>
      </c>
      <c r="D17" s="84" t="s">
        <v>654</v>
      </c>
      <c r="E17" s="84">
        <v>0</v>
      </c>
      <c r="F17" s="84" t="s">
        <v>629</v>
      </c>
      <c r="G17" s="816"/>
      <c r="H17" s="84" t="s">
        <v>655</v>
      </c>
      <c r="I17" s="84" t="s">
        <v>656</v>
      </c>
      <c r="J17" s="84">
        <v>0</v>
      </c>
      <c r="K17" s="84" t="s">
        <v>323</v>
      </c>
      <c r="L17" s="89">
        <v>1</v>
      </c>
      <c r="M17" s="89">
        <v>0.28000000000000003</v>
      </c>
      <c r="N17" s="84" t="s">
        <v>656</v>
      </c>
      <c r="O17" s="90">
        <v>0</v>
      </c>
      <c r="P17" s="85">
        <v>40110</v>
      </c>
      <c r="Q17" s="85"/>
      <c r="R17" s="85"/>
      <c r="S17" s="85"/>
      <c r="T17" s="85"/>
      <c r="U17" s="85">
        <v>40110</v>
      </c>
      <c r="V17" s="85"/>
      <c r="W17" s="85"/>
      <c r="X17" s="85"/>
      <c r="Y17" s="85"/>
      <c r="Z17" s="85"/>
      <c r="AA17" s="85"/>
      <c r="AB17" s="85"/>
      <c r="AC17" s="85"/>
      <c r="AD17" s="85"/>
      <c r="AE17" s="85"/>
      <c r="AF17" s="85"/>
      <c r="AG17" s="85">
        <f t="shared" si="0"/>
        <v>40110</v>
      </c>
      <c r="AH17" s="86" t="s">
        <v>633</v>
      </c>
      <c r="AI17" s="86" t="s">
        <v>634</v>
      </c>
      <c r="AJ17" s="86" t="s">
        <v>635</v>
      </c>
      <c r="AK17" s="86" t="s">
        <v>636</v>
      </c>
      <c r="AL17" s="86">
        <v>369.61799999999999</v>
      </c>
      <c r="AM17" s="91" t="s">
        <v>657</v>
      </c>
      <c r="AN17" s="88"/>
      <c r="AO17" s="88"/>
      <c r="AP17" s="88" t="s">
        <v>395</v>
      </c>
      <c r="AQ17" s="88" t="s">
        <v>395</v>
      </c>
      <c r="AR17" s="88" t="s">
        <v>395</v>
      </c>
      <c r="AS17" s="88" t="s">
        <v>395</v>
      </c>
      <c r="AT17" s="88" t="s">
        <v>395</v>
      </c>
      <c r="AU17" s="88" t="s">
        <v>395</v>
      </c>
      <c r="AV17" s="88" t="s">
        <v>395</v>
      </c>
      <c r="AW17" s="88" t="s">
        <v>395</v>
      </c>
      <c r="AX17" s="88" t="s">
        <v>395</v>
      </c>
      <c r="AY17" s="88" t="s">
        <v>395</v>
      </c>
      <c r="AZ17" s="86" t="s">
        <v>638</v>
      </c>
      <c r="BA17" s="86" t="s">
        <v>639</v>
      </c>
      <c r="BB17" s="80"/>
    </row>
    <row r="18" spans="1:54" ht="409.5" x14ac:dyDescent="0.25">
      <c r="A18" s="84" t="s">
        <v>49</v>
      </c>
      <c r="B18" s="84" t="s">
        <v>626</v>
      </c>
      <c r="C18" s="84" t="s">
        <v>658</v>
      </c>
      <c r="D18" s="84" t="s">
        <v>659</v>
      </c>
      <c r="E18" s="84">
        <v>0</v>
      </c>
      <c r="F18" s="84" t="s">
        <v>629</v>
      </c>
      <c r="G18" s="816"/>
      <c r="H18" s="84" t="s">
        <v>660</v>
      </c>
      <c r="I18" s="84" t="s">
        <v>661</v>
      </c>
      <c r="J18" s="84">
        <v>0</v>
      </c>
      <c r="K18" s="84" t="s">
        <v>322</v>
      </c>
      <c r="L18" s="89">
        <v>0.8</v>
      </c>
      <c r="M18" s="89">
        <v>0.8</v>
      </c>
      <c r="N18" s="84" t="s">
        <v>661</v>
      </c>
      <c r="O18" s="90">
        <v>0</v>
      </c>
      <c r="P18" s="85">
        <v>315105</v>
      </c>
      <c r="Q18" s="85"/>
      <c r="R18" s="85"/>
      <c r="S18" s="85"/>
      <c r="T18" s="85"/>
      <c r="U18" s="85">
        <v>315105</v>
      </c>
      <c r="V18" s="85"/>
      <c r="W18" s="85"/>
      <c r="X18" s="85"/>
      <c r="Y18" s="85"/>
      <c r="Z18" s="85"/>
      <c r="AA18" s="85"/>
      <c r="AB18" s="85"/>
      <c r="AC18" s="85"/>
      <c r="AD18" s="85"/>
      <c r="AE18" s="85"/>
      <c r="AF18" s="85"/>
      <c r="AG18" s="85">
        <f t="shared" si="0"/>
        <v>315105</v>
      </c>
      <c r="AH18" s="86" t="s">
        <v>633</v>
      </c>
      <c r="AI18" s="86" t="s">
        <v>634</v>
      </c>
      <c r="AJ18" s="84">
        <v>42</v>
      </c>
      <c r="AK18" s="84" t="s">
        <v>644</v>
      </c>
      <c r="AL18" s="91" t="s">
        <v>662</v>
      </c>
      <c r="AM18" s="91" t="s">
        <v>663</v>
      </c>
      <c r="AN18" s="88"/>
      <c r="AO18" s="88"/>
      <c r="AP18" s="88" t="s">
        <v>395</v>
      </c>
      <c r="AQ18" s="88" t="s">
        <v>395</v>
      </c>
      <c r="AR18" s="88" t="s">
        <v>395</v>
      </c>
      <c r="AS18" s="88" t="s">
        <v>395</v>
      </c>
      <c r="AT18" s="88" t="s">
        <v>395</v>
      </c>
      <c r="AU18" s="88" t="s">
        <v>395</v>
      </c>
      <c r="AV18" s="88" t="s">
        <v>395</v>
      </c>
      <c r="AW18" s="88" t="s">
        <v>395</v>
      </c>
      <c r="AX18" s="88" t="s">
        <v>395</v>
      </c>
      <c r="AY18" s="88" t="s">
        <v>395</v>
      </c>
      <c r="AZ18" s="86" t="s">
        <v>638</v>
      </c>
      <c r="BA18" s="91" t="s">
        <v>646</v>
      </c>
      <c r="BB18" s="80"/>
    </row>
    <row r="19" spans="1:54" ht="409.5" x14ac:dyDescent="0.25">
      <c r="A19" s="84" t="s">
        <v>49</v>
      </c>
      <c r="B19" s="84" t="s">
        <v>626</v>
      </c>
      <c r="C19" s="84" t="s">
        <v>664</v>
      </c>
      <c r="D19" s="84" t="s">
        <v>665</v>
      </c>
      <c r="E19" s="84">
        <v>1</v>
      </c>
      <c r="F19" s="84" t="s">
        <v>629</v>
      </c>
      <c r="G19" s="816"/>
      <c r="H19" s="84" t="s">
        <v>666</v>
      </c>
      <c r="I19" s="84" t="s">
        <v>667</v>
      </c>
      <c r="J19" s="84">
        <v>1</v>
      </c>
      <c r="K19" s="84" t="s">
        <v>322</v>
      </c>
      <c r="L19" s="89">
        <v>1</v>
      </c>
      <c r="M19" s="89">
        <v>1</v>
      </c>
      <c r="N19" s="84" t="s">
        <v>667</v>
      </c>
      <c r="O19" s="90">
        <v>1</v>
      </c>
      <c r="P19" s="85">
        <v>77175</v>
      </c>
      <c r="Q19" s="85"/>
      <c r="R19" s="85"/>
      <c r="S19" s="85"/>
      <c r="T19" s="85"/>
      <c r="U19" s="85">
        <v>77175</v>
      </c>
      <c r="V19" s="85"/>
      <c r="W19" s="85"/>
      <c r="X19" s="85"/>
      <c r="Y19" s="85"/>
      <c r="Z19" s="85"/>
      <c r="AA19" s="85"/>
      <c r="AB19" s="85"/>
      <c r="AC19" s="85"/>
      <c r="AD19" s="85"/>
      <c r="AE19" s="85"/>
      <c r="AF19" s="85"/>
      <c r="AG19" s="85">
        <f t="shared" si="0"/>
        <v>77175</v>
      </c>
      <c r="AH19" s="86" t="s">
        <v>633</v>
      </c>
      <c r="AI19" s="86" t="s">
        <v>634</v>
      </c>
      <c r="AJ19" s="84">
        <v>42</v>
      </c>
      <c r="AK19" s="84" t="s">
        <v>644</v>
      </c>
      <c r="AL19" s="91">
        <v>1404205</v>
      </c>
      <c r="AM19" s="91" t="s">
        <v>668</v>
      </c>
      <c r="AN19" s="88"/>
      <c r="AO19" s="88"/>
      <c r="AP19" s="88" t="s">
        <v>395</v>
      </c>
      <c r="AQ19" s="88" t="s">
        <v>395</v>
      </c>
      <c r="AR19" s="88" t="s">
        <v>395</v>
      </c>
      <c r="AS19" s="88" t="s">
        <v>395</v>
      </c>
      <c r="AT19" s="88" t="s">
        <v>395</v>
      </c>
      <c r="AU19" s="88" t="s">
        <v>395</v>
      </c>
      <c r="AV19" s="88" t="s">
        <v>395</v>
      </c>
      <c r="AW19" s="88" t="s">
        <v>395</v>
      </c>
      <c r="AX19" s="88" t="s">
        <v>395</v>
      </c>
      <c r="AY19" s="88" t="s">
        <v>395</v>
      </c>
      <c r="AZ19" s="86" t="s">
        <v>638</v>
      </c>
      <c r="BA19" s="91" t="s">
        <v>646</v>
      </c>
      <c r="BB19" s="80"/>
    </row>
    <row r="20" spans="1:54" ht="409.5" x14ac:dyDescent="0.25">
      <c r="A20" s="84" t="s">
        <v>49</v>
      </c>
      <c r="B20" s="84" t="s">
        <v>626</v>
      </c>
      <c r="C20" s="84" t="s">
        <v>669</v>
      </c>
      <c r="D20" s="84" t="s">
        <v>670</v>
      </c>
      <c r="E20" s="84">
        <v>0</v>
      </c>
      <c r="F20" s="84" t="s">
        <v>629</v>
      </c>
      <c r="G20" s="816"/>
      <c r="H20" s="84" t="s">
        <v>671</v>
      </c>
      <c r="I20" s="84" t="s">
        <v>672</v>
      </c>
      <c r="J20" s="84">
        <v>0</v>
      </c>
      <c r="K20" s="84" t="s">
        <v>323</v>
      </c>
      <c r="L20" s="84">
        <v>42</v>
      </c>
      <c r="M20" s="84">
        <v>12</v>
      </c>
      <c r="N20" s="84" t="s">
        <v>672</v>
      </c>
      <c r="O20" s="84">
        <v>0</v>
      </c>
      <c r="P20" s="85">
        <v>40110</v>
      </c>
      <c r="Q20" s="85"/>
      <c r="R20" s="85"/>
      <c r="S20" s="85"/>
      <c r="T20" s="85"/>
      <c r="U20" s="85">
        <v>40110</v>
      </c>
      <c r="V20" s="85"/>
      <c r="W20" s="85"/>
      <c r="X20" s="85"/>
      <c r="Y20" s="85"/>
      <c r="Z20" s="85"/>
      <c r="AA20" s="85"/>
      <c r="AB20" s="85"/>
      <c r="AC20" s="85"/>
      <c r="AD20" s="85"/>
      <c r="AE20" s="85"/>
      <c r="AF20" s="85"/>
      <c r="AG20" s="85">
        <f t="shared" si="0"/>
        <v>40110</v>
      </c>
      <c r="AH20" s="86" t="s">
        <v>633</v>
      </c>
      <c r="AI20" s="86" t="s">
        <v>634</v>
      </c>
      <c r="AJ20" s="86" t="s">
        <v>635</v>
      </c>
      <c r="AK20" s="86" t="s">
        <v>636</v>
      </c>
      <c r="AL20" s="86">
        <v>369.61799999999999</v>
      </c>
      <c r="AM20" s="91" t="s">
        <v>673</v>
      </c>
      <c r="AN20" s="88"/>
      <c r="AO20" s="88"/>
      <c r="AP20" s="88" t="s">
        <v>395</v>
      </c>
      <c r="AQ20" s="88" t="s">
        <v>395</v>
      </c>
      <c r="AR20" s="88" t="s">
        <v>395</v>
      </c>
      <c r="AS20" s="88" t="s">
        <v>395</v>
      </c>
      <c r="AT20" s="88" t="s">
        <v>395</v>
      </c>
      <c r="AU20" s="88" t="s">
        <v>395</v>
      </c>
      <c r="AV20" s="88" t="s">
        <v>395</v>
      </c>
      <c r="AW20" s="88" t="s">
        <v>395</v>
      </c>
      <c r="AX20" s="88" t="s">
        <v>395</v>
      </c>
      <c r="AY20" s="88" t="s">
        <v>395</v>
      </c>
      <c r="AZ20" s="86" t="s">
        <v>638</v>
      </c>
      <c r="BA20" s="86" t="s">
        <v>639</v>
      </c>
      <c r="BB20" s="80"/>
    </row>
    <row r="21" spans="1:54" ht="409.5" x14ac:dyDescent="0.25">
      <c r="A21" s="92" t="s">
        <v>49</v>
      </c>
      <c r="B21" s="92" t="s">
        <v>626</v>
      </c>
      <c r="C21" s="92" t="s">
        <v>674</v>
      </c>
      <c r="D21" s="92" t="s">
        <v>675</v>
      </c>
      <c r="E21" s="92">
        <v>0</v>
      </c>
      <c r="F21" s="92" t="s">
        <v>629</v>
      </c>
      <c r="G21" s="816"/>
      <c r="H21" s="92" t="s">
        <v>676</v>
      </c>
      <c r="I21" s="92" t="s">
        <v>677</v>
      </c>
      <c r="J21" s="92">
        <v>0</v>
      </c>
      <c r="K21" s="92" t="s">
        <v>323</v>
      </c>
      <c r="L21" s="93">
        <v>13000</v>
      </c>
      <c r="M21" s="92">
        <v>12950</v>
      </c>
      <c r="N21" s="92" t="s">
        <v>677</v>
      </c>
      <c r="O21" s="92">
        <v>0</v>
      </c>
      <c r="P21" s="94">
        <v>2428849</v>
      </c>
      <c r="Q21" s="93"/>
      <c r="R21" s="93"/>
      <c r="S21" s="93"/>
      <c r="T21" s="93"/>
      <c r="U21" s="95"/>
      <c r="V21" s="93"/>
      <c r="W21" s="93"/>
      <c r="X21" s="93"/>
      <c r="Y21" s="93"/>
      <c r="Z21" s="93"/>
      <c r="AA21" s="93"/>
      <c r="AB21" s="93"/>
      <c r="AC21" s="93">
        <v>249810</v>
      </c>
      <c r="AD21" s="93"/>
      <c r="AE21" s="93"/>
      <c r="AF21" s="93">
        <v>2179039</v>
      </c>
      <c r="AG21" s="93">
        <f>AC21+AF21</f>
        <v>2428849</v>
      </c>
      <c r="AH21" s="96" t="s">
        <v>633</v>
      </c>
      <c r="AI21" s="97">
        <v>2012000030054</v>
      </c>
      <c r="AJ21" s="92" t="s">
        <v>678</v>
      </c>
      <c r="AK21" s="92" t="s">
        <v>679</v>
      </c>
      <c r="AL21" s="92">
        <v>549267</v>
      </c>
      <c r="AM21" s="92" t="s">
        <v>680</v>
      </c>
      <c r="AN21" s="92" t="s">
        <v>395</v>
      </c>
      <c r="AO21" s="92" t="s">
        <v>395</v>
      </c>
      <c r="AP21" s="92" t="s">
        <v>395</v>
      </c>
      <c r="AQ21" s="92" t="s">
        <v>395</v>
      </c>
      <c r="AR21" s="92" t="s">
        <v>395</v>
      </c>
      <c r="AS21" s="92" t="s">
        <v>395</v>
      </c>
      <c r="AT21" s="92" t="s">
        <v>395</v>
      </c>
      <c r="AU21" s="92" t="s">
        <v>395</v>
      </c>
      <c r="AV21" s="92" t="s">
        <v>395</v>
      </c>
      <c r="AW21" s="92" t="s">
        <v>395</v>
      </c>
      <c r="AX21" s="92" t="s">
        <v>395</v>
      </c>
      <c r="AY21" s="92" t="s">
        <v>395</v>
      </c>
      <c r="AZ21" s="92" t="s">
        <v>681</v>
      </c>
      <c r="BA21" s="92" t="s">
        <v>682</v>
      </c>
      <c r="BB21" s="95"/>
    </row>
    <row r="22" spans="1:54" ht="285" x14ac:dyDescent="0.25">
      <c r="A22" s="84" t="s">
        <v>49</v>
      </c>
      <c r="B22" s="84" t="s">
        <v>626</v>
      </c>
      <c r="C22" s="816" t="s">
        <v>683</v>
      </c>
      <c r="D22" s="816" t="s">
        <v>684</v>
      </c>
      <c r="E22" s="816" t="s">
        <v>685</v>
      </c>
      <c r="F22" s="84" t="s">
        <v>686</v>
      </c>
      <c r="G22" s="816" t="s">
        <v>687</v>
      </c>
      <c r="H22" s="84" t="s">
        <v>688</v>
      </c>
      <c r="I22" s="84" t="s">
        <v>689</v>
      </c>
      <c r="J22" s="84" t="s">
        <v>690</v>
      </c>
      <c r="K22" s="84" t="s">
        <v>323</v>
      </c>
      <c r="L22" s="98">
        <v>5.0000000000000001E-3</v>
      </c>
      <c r="M22" s="99">
        <v>1.25E-3</v>
      </c>
      <c r="N22" s="84" t="s">
        <v>689</v>
      </c>
      <c r="O22" s="84" t="s">
        <v>690</v>
      </c>
      <c r="P22" s="85">
        <v>212751</v>
      </c>
      <c r="Q22" s="85"/>
      <c r="R22" s="85"/>
      <c r="S22" s="85"/>
      <c r="T22" s="85"/>
      <c r="U22" s="85">
        <v>212751</v>
      </c>
      <c r="V22" s="85"/>
      <c r="W22" s="85"/>
      <c r="X22" s="85"/>
      <c r="Y22" s="85"/>
      <c r="Z22" s="85"/>
      <c r="AA22" s="85"/>
      <c r="AB22" s="85"/>
      <c r="AC22" s="85"/>
      <c r="AD22" s="85"/>
      <c r="AE22" s="85"/>
      <c r="AF22" s="85"/>
      <c r="AG22" s="85">
        <f t="shared" si="0"/>
        <v>212751</v>
      </c>
      <c r="AH22" s="86" t="s">
        <v>691</v>
      </c>
      <c r="AI22" s="84" t="s">
        <v>634</v>
      </c>
      <c r="AJ22" s="84" t="s">
        <v>692</v>
      </c>
      <c r="AK22" s="84" t="s">
        <v>693</v>
      </c>
      <c r="AL22" s="85">
        <v>552590</v>
      </c>
      <c r="AM22" s="84" t="s">
        <v>694</v>
      </c>
      <c r="AN22" s="84"/>
      <c r="AO22" s="84"/>
      <c r="AP22" s="84" t="s">
        <v>395</v>
      </c>
      <c r="AQ22" s="84" t="s">
        <v>395</v>
      </c>
      <c r="AR22" s="84" t="s">
        <v>395</v>
      </c>
      <c r="AS22" s="84" t="s">
        <v>395</v>
      </c>
      <c r="AT22" s="84" t="s">
        <v>395</v>
      </c>
      <c r="AU22" s="84" t="s">
        <v>395</v>
      </c>
      <c r="AV22" s="84" t="s">
        <v>395</v>
      </c>
      <c r="AW22" s="84" t="s">
        <v>395</v>
      </c>
      <c r="AX22" s="84" t="s">
        <v>395</v>
      </c>
      <c r="AY22" s="84" t="s">
        <v>395</v>
      </c>
      <c r="AZ22" s="84" t="s">
        <v>695</v>
      </c>
      <c r="BA22" s="84" t="s">
        <v>696</v>
      </c>
      <c r="BB22" s="80"/>
    </row>
    <row r="23" spans="1:54" ht="285" x14ac:dyDescent="0.25">
      <c r="A23" s="84" t="s">
        <v>49</v>
      </c>
      <c r="B23" s="84" t="s">
        <v>626</v>
      </c>
      <c r="C23" s="816"/>
      <c r="D23" s="816"/>
      <c r="E23" s="816"/>
      <c r="F23" s="84" t="s">
        <v>686</v>
      </c>
      <c r="G23" s="816"/>
      <c r="H23" s="100" t="s">
        <v>697</v>
      </c>
      <c r="I23" s="84" t="s">
        <v>698</v>
      </c>
      <c r="J23" s="84" t="s">
        <v>699</v>
      </c>
      <c r="K23" s="84" t="s">
        <v>323</v>
      </c>
      <c r="L23" s="98">
        <v>5.0000000000000001E-3</v>
      </c>
      <c r="M23" s="99">
        <v>1.25E-3</v>
      </c>
      <c r="N23" s="84" t="s">
        <v>698</v>
      </c>
      <c r="O23" s="84" t="s">
        <v>699</v>
      </c>
      <c r="P23" s="85">
        <v>52500</v>
      </c>
      <c r="Q23" s="85"/>
      <c r="R23" s="85"/>
      <c r="S23" s="85"/>
      <c r="T23" s="85"/>
      <c r="U23" s="85">
        <v>52500</v>
      </c>
      <c r="V23" s="85"/>
      <c r="W23" s="85"/>
      <c r="X23" s="85"/>
      <c r="Y23" s="85"/>
      <c r="Z23" s="85"/>
      <c r="AA23" s="85"/>
      <c r="AB23" s="85"/>
      <c r="AC23" s="85"/>
      <c r="AD23" s="85"/>
      <c r="AE23" s="85"/>
      <c r="AF23" s="85"/>
      <c r="AG23" s="85">
        <f t="shared" si="0"/>
        <v>52500</v>
      </c>
      <c r="AH23" s="86" t="s">
        <v>691</v>
      </c>
      <c r="AI23" s="84" t="s">
        <v>634</v>
      </c>
      <c r="AJ23" s="84" t="s">
        <v>692</v>
      </c>
      <c r="AK23" s="84" t="s">
        <v>693</v>
      </c>
      <c r="AL23" s="85">
        <v>656716</v>
      </c>
      <c r="AM23" s="84" t="s">
        <v>700</v>
      </c>
      <c r="AN23" s="84"/>
      <c r="AO23" s="84"/>
      <c r="AP23" s="84" t="s">
        <v>395</v>
      </c>
      <c r="AQ23" s="84" t="s">
        <v>395</v>
      </c>
      <c r="AR23" s="84" t="s">
        <v>395</v>
      </c>
      <c r="AS23" s="84" t="s">
        <v>395</v>
      </c>
      <c r="AT23" s="84" t="s">
        <v>395</v>
      </c>
      <c r="AU23" s="84" t="s">
        <v>395</v>
      </c>
      <c r="AV23" s="84" t="s">
        <v>395</v>
      </c>
      <c r="AW23" s="84" t="s">
        <v>395</v>
      </c>
      <c r="AX23" s="84" t="s">
        <v>395</v>
      </c>
      <c r="AY23" s="84" t="s">
        <v>395</v>
      </c>
      <c r="AZ23" s="84" t="s">
        <v>695</v>
      </c>
      <c r="BA23" s="84" t="s">
        <v>701</v>
      </c>
      <c r="BB23" s="80"/>
    </row>
    <row r="24" spans="1:54" ht="285" x14ac:dyDescent="0.25">
      <c r="A24" s="84" t="s">
        <v>49</v>
      </c>
      <c r="B24" s="84" t="s">
        <v>626</v>
      </c>
      <c r="C24" s="816"/>
      <c r="D24" s="816"/>
      <c r="E24" s="816"/>
      <c r="F24" s="84" t="s">
        <v>686</v>
      </c>
      <c r="G24" s="816"/>
      <c r="H24" s="100" t="s">
        <v>702</v>
      </c>
      <c r="I24" s="84" t="s">
        <v>703</v>
      </c>
      <c r="J24" s="84" t="s">
        <v>704</v>
      </c>
      <c r="K24" s="84" t="s">
        <v>705</v>
      </c>
      <c r="L24" s="98">
        <v>3.0000000000000001E-3</v>
      </c>
      <c r="M24" s="99">
        <v>7.5000000000000002E-4</v>
      </c>
      <c r="N24" s="84" t="s">
        <v>703</v>
      </c>
      <c r="O24" s="84" t="s">
        <v>704</v>
      </c>
      <c r="P24" s="85">
        <v>73500</v>
      </c>
      <c r="Q24" s="85"/>
      <c r="R24" s="85"/>
      <c r="S24" s="85"/>
      <c r="T24" s="85"/>
      <c r="U24" s="85">
        <v>73500</v>
      </c>
      <c r="V24" s="85"/>
      <c r="W24" s="85"/>
      <c r="X24" s="85"/>
      <c r="Y24" s="85"/>
      <c r="Z24" s="85"/>
      <c r="AA24" s="85"/>
      <c r="AB24" s="85"/>
      <c r="AC24" s="85"/>
      <c r="AD24" s="85"/>
      <c r="AE24" s="85"/>
      <c r="AF24" s="85"/>
      <c r="AG24" s="85">
        <f t="shared" si="0"/>
        <v>73500</v>
      </c>
      <c r="AH24" s="86" t="s">
        <v>691</v>
      </c>
      <c r="AI24" s="84" t="s">
        <v>634</v>
      </c>
      <c r="AJ24" s="84" t="s">
        <v>692</v>
      </c>
      <c r="AK24" s="84" t="s">
        <v>693</v>
      </c>
      <c r="AL24" s="85">
        <v>109694</v>
      </c>
      <c r="AM24" s="84" t="s">
        <v>706</v>
      </c>
      <c r="AN24" s="84"/>
      <c r="AO24" s="84"/>
      <c r="AP24" s="84" t="s">
        <v>395</v>
      </c>
      <c r="AQ24" s="84" t="s">
        <v>395</v>
      </c>
      <c r="AR24" s="84" t="s">
        <v>395</v>
      </c>
      <c r="AS24" s="84" t="s">
        <v>395</v>
      </c>
      <c r="AT24" s="84" t="s">
        <v>395</v>
      </c>
      <c r="AU24" s="84" t="s">
        <v>395</v>
      </c>
      <c r="AV24" s="84" t="s">
        <v>395</v>
      </c>
      <c r="AW24" s="84" t="s">
        <v>395</v>
      </c>
      <c r="AX24" s="84" t="s">
        <v>395</v>
      </c>
      <c r="AY24" s="84" t="s">
        <v>395</v>
      </c>
      <c r="AZ24" s="84" t="s">
        <v>695</v>
      </c>
      <c r="BA24" s="84" t="s">
        <v>696</v>
      </c>
      <c r="BB24" s="80"/>
    </row>
    <row r="25" spans="1:54" ht="285" x14ac:dyDescent="0.25">
      <c r="A25" s="84" t="s">
        <v>49</v>
      </c>
      <c r="B25" s="84" t="s">
        <v>626</v>
      </c>
      <c r="C25" s="816"/>
      <c r="D25" s="816"/>
      <c r="E25" s="816"/>
      <c r="F25" s="84" t="s">
        <v>686</v>
      </c>
      <c r="G25" s="816"/>
      <c r="H25" s="100" t="s">
        <v>707</v>
      </c>
      <c r="I25" s="84" t="s">
        <v>708</v>
      </c>
      <c r="J25" s="84" t="s">
        <v>709</v>
      </c>
      <c r="K25" s="84" t="s">
        <v>705</v>
      </c>
      <c r="L25" s="98">
        <v>3.0000000000000001E-3</v>
      </c>
      <c r="M25" s="99">
        <v>7.5000000000000002E-4</v>
      </c>
      <c r="N25" s="84" t="s">
        <v>708</v>
      </c>
      <c r="O25" s="84" t="s">
        <v>709</v>
      </c>
      <c r="P25" s="85">
        <v>94500</v>
      </c>
      <c r="Q25" s="85"/>
      <c r="R25" s="85"/>
      <c r="S25" s="85"/>
      <c r="T25" s="85"/>
      <c r="U25" s="85">
        <v>94500</v>
      </c>
      <c r="V25" s="85"/>
      <c r="W25" s="85"/>
      <c r="X25" s="85"/>
      <c r="Y25" s="85"/>
      <c r="Z25" s="85"/>
      <c r="AA25" s="85"/>
      <c r="AB25" s="85"/>
      <c r="AC25" s="85"/>
      <c r="AD25" s="85"/>
      <c r="AE25" s="85"/>
      <c r="AF25" s="85"/>
      <c r="AG25" s="85">
        <f t="shared" si="0"/>
        <v>94500</v>
      </c>
      <c r="AH25" s="86" t="s">
        <v>691</v>
      </c>
      <c r="AI25" s="84" t="s">
        <v>634</v>
      </c>
      <c r="AJ25" s="84" t="s">
        <v>692</v>
      </c>
      <c r="AK25" s="84" t="s">
        <v>693</v>
      </c>
      <c r="AL25" s="85">
        <v>109694</v>
      </c>
      <c r="AM25" s="84" t="s">
        <v>710</v>
      </c>
      <c r="AN25" s="84"/>
      <c r="AO25" s="84"/>
      <c r="AP25" s="84" t="s">
        <v>395</v>
      </c>
      <c r="AQ25" s="84" t="s">
        <v>395</v>
      </c>
      <c r="AR25" s="84" t="s">
        <v>395</v>
      </c>
      <c r="AS25" s="84" t="s">
        <v>395</v>
      </c>
      <c r="AT25" s="84" t="s">
        <v>395</v>
      </c>
      <c r="AU25" s="84" t="s">
        <v>395</v>
      </c>
      <c r="AV25" s="84" t="s">
        <v>395</v>
      </c>
      <c r="AW25" s="84" t="s">
        <v>395</v>
      </c>
      <c r="AX25" s="84" t="s">
        <v>395</v>
      </c>
      <c r="AY25" s="84" t="s">
        <v>395</v>
      </c>
      <c r="AZ25" s="84" t="s">
        <v>695</v>
      </c>
      <c r="BA25" s="84" t="s">
        <v>701</v>
      </c>
      <c r="BB25" s="80"/>
    </row>
    <row r="26" spans="1:54" ht="285" x14ac:dyDescent="0.25">
      <c r="A26" s="84" t="s">
        <v>49</v>
      </c>
      <c r="B26" s="84" t="s">
        <v>626</v>
      </c>
      <c r="C26" s="816"/>
      <c r="D26" s="816"/>
      <c r="E26" s="816"/>
      <c r="F26" s="84" t="s">
        <v>686</v>
      </c>
      <c r="G26" s="816"/>
      <c r="H26" s="84" t="s">
        <v>711</v>
      </c>
      <c r="I26" s="84" t="s">
        <v>712</v>
      </c>
      <c r="J26" s="84">
        <v>0.2</v>
      </c>
      <c r="K26" s="84" t="s">
        <v>323</v>
      </c>
      <c r="L26" s="89">
        <v>0.2</v>
      </c>
      <c r="M26" s="89">
        <v>0.05</v>
      </c>
      <c r="N26" s="84" t="s">
        <v>712</v>
      </c>
      <c r="O26" s="90">
        <v>0.2</v>
      </c>
      <c r="P26" s="85">
        <v>31500</v>
      </c>
      <c r="Q26" s="85"/>
      <c r="R26" s="85"/>
      <c r="S26" s="85"/>
      <c r="T26" s="85"/>
      <c r="U26" s="85">
        <v>31500</v>
      </c>
      <c r="V26" s="85"/>
      <c r="W26" s="85"/>
      <c r="X26" s="85"/>
      <c r="Y26" s="85"/>
      <c r="Z26" s="85"/>
      <c r="AA26" s="85"/>
      <c r="AB26" s="85"/>
      <c r="AC26" s="85"/>
      <c r="AD26" s="85"/>
      <c r="AE26" s="85"/>
      <c r="AF26" s="85"/>
      <c r="AG26" s="85">
        <f t="shared" si="0"/>
        <v>31500</v>
      </c>
      <c r="AH26" s="86" t="s">
        <v>691</v>
      </c>
      <c r="AI26" s="84" t="s">
        <v>634</v>
      </c>
      <c r="AJ26" s="84" t="s">
        <v>692</v>
      </c>
      <c r="AK26" s="84" t="s">
        <v>693</v>
      </c>
      <c r="AL26" s="85">
        <v>656716</v>
      </c>
      <c r="AM26" s="84" t="s">
        <v>713</v>
      </c>
      <c r="AN26" s="84"/>
      <c r="AO26" s="84"/>
      <c r="AP26" s="84" t="s">
        <v>395</v>
      </c>
      <c r="AQ26" s="84" t="s">
        <v>395</v>
      </c>
      <c r="AR26" s="84" t="s">
        <v>395</v>
      </c>
      <c r="AS26" s="84" t="s">
        <v>395</v>
      </c>
      <c r="AT26" s="84" t="s">
        <v>395</v>
      </c>
      <c r="AU26" s="84" t="s">
        <v>395</v>
      </c>
      <c r="AV26" s="84" t="s">
        <v>395</v>
      </c>
      <c r="AW26" s="84" t="s">
        <v>395</v>
      </c>
      <c r="AX26" s="84" t="s">
        <v>395</v>
      </c>
      <c r="AY26" s="84" t="s">
        <v>395</v>
      </c>
      <c r="AZ26" s="84" t="s">
        <v>695</v>
      </c>
      <c r="BA26" s="84" t="s">
        <v>701</v>
      </c>
      <c r="BB26" s="80"/>
    </row>
    <row r="27" spans="1:54" ht="285" x14ac:dyDescent="0.25">
      <c r="A27" s="84" t="s">
        <v>49</v>
      </c>
      <c r="B27" s="84" t="s">
        <v>626</v>
      </c>
      <c r="C27" s="816"/>
      <c r="D27" s="816"/>
      <c r="E27" s="816"/>
      <c r="F27" s="84" t="s">
        <v>686</v>
      </c>
      <c r="G27" s="816"/>
      <c r="H27" s="84" t="s">
        <v>714</v>
      </c>
      <c r="I27" s="84" t="s">
        <v>715</v>
      </c>
      <c r="J27" s="84" t="s">
        <v>685</v>
      </c>
      <c r="K27" s="84" t="s">
        <v>323</v>
      </c>
      <c r="L27" s="89">
        <v>0.2</v>
      </c>
      <c r="M27" s="89">
        <v>0.05</v>
      </c>
      <c r="N27" s="84" t="s">
        <v>715</v>
      </c>
      <c r="O27" s="84" t="s">
        <v>685</v>
      </c>
      <c r="P27" s="85">
        <v>43050</v>
      </c>
      <c r="Q27" s="85"/>
      <c r="R27" s="85"/>
      <c r="S27" s="85"/>
      <c r="T27" s="85"/>
      <c r="U27" s="85">
        <v>43050</v>
      </c>
      <c r="V27" s="85"/>
      <c r="W27" s="85"/>
      <c r="X27" s="85"/>
      <c r="Y27" s="85"/>
      <c r="Z27" s="85"/>
      <c r="AA27" s="85"/>
      <c r="AB27" s="85"/>
      <c r="AC27" s="85"/>
      <c r="AD27" s="85"/>
      <c r="AE27" s="85"/>
      <c r="AF27" s="85"/>
      <c r="AG27" s="85">
        <f t="shared" si="0"/>
        <v>43050</v>
      </c>
      <c r="AH27" s="86" t="s">
        <v>691</v>
      </c>
      <c r="AI27" s="84" t="s">
        <v>634</v>
      </c>
      <c r="AJ27" s="84" t="s">
        <v>692</v>
      </c>
      <c r="AK27" s="84" t="s">
        <v>693</v>
      </c>
      <c r="AL27" s="85">
        <v>656716</v>
      </c>
      <c r="AM27" s="84" t="s">
        <v>716</v>
      </c>
      <c r="AN27" s="84"/>
      <c r="AO27" s="84"/>
      <c r="AP27" s="84" t="s">
        <v>395</v>
      </c>
      <c r="AQ27" s="84" t="s">
        <v>395</v>
      </c>
      <c r="AR27" s="84" t="s">
        <v>395</v>
      </c>
      <c r="AS27" s="84" t="s">
        <v>395</v>
      </c>
      <c r="AT27" s="84" t="s">
        <v>395</v>
      </c>
      <c r="AU27" s="84" t="s">
        <v>395</v>
      </c>
      <c r="AV27" s="84" t="s">
        <v>395</v>
      </c>
      <c r="AW27" s="84" t="s">
        <v>395</v>
      </c>
      <c r="AX27" s="84" t="s">
        <v>395</v>
      </c>
      <c r="AY27" s="84" t="s">
        <v>395</v>
      </c>
      <c r="AZ27" s="84" t="s">
        <v>695</v>
      </c>
      <c r="BA27" s="84" t="s">
        <v>696</v>
      </c>
      <c r="BB27" s="80"/>
    </row>
    <row r="28" spans="1:54" ht="375" x14ac:dyDescent="0.25">
      <c r="A28" s="84" t="s">
        <v>49</v>
      </c>
      <c r="B28" s="84" t="s">
        <v>626</v>
      </c>
      <c r="C28" s="816"/>
      <c r="D28" s="816"/>
      <c r="E28" s="816"/>
      <c r="F28" s="84" t="s">
        <v>686</v>
      </c>
      <c r="G28" s="816"/>
      <c r="H28" s="84" t="s">
        <v>717</v>
      </c>
      <c r="I28" s="84" t="s">
        <v>718</v>
      </c>
      <c r="J28" s="84" t="s">
        <v>719</v>
      </c>
      <c r="K28" s="84" t="s">
        <v>323</v>
      </c>
      <c r="L28" s="89">
        <v>0.3</v>
      </c>
      <c r="M28" s="89">
        <v>7.0000000000000007E-2</v>
      </c>
      <c r="N28" s="84" t="s">
        <v>718</v>
      </c>
      <c r="O28" s="84" t="s">
        <v>719</v>
      </c>
      <c r="P28" s="85">
        <v>73500</v>
      </c>
      <c r="Q28" s="85"/>
      <c r="R28" s="85"/>
      <c r="S28" s="85"/>
      <c r="T28" s="85"/>
      <c r="U28" s="85">
        <v>73500</v>
      </c>
      <c r="V28" s="85"/>
      <c r="W28" s="85"/>
      <c r="X28" s="85"/>
      <c r="Y28" s="85"/>
      <c r="Z28" s="85"/>
      <c r="AA28" s="85"/>
      <c r="AB28" s="85"/>
      <c r="AC28" s="85"/>
      <c r="AD28" s="85"/>
      <c r="AE28" s="85"/>
      <c r="AF28" s="85"/>
      <c r="AG28" s="85">
        <f t="shared" si="0"/>
        <v>73500</v>
      </c>
      <c r="AH28" s="86" t="s">
        <v>691</v>
      </c>
      <c r="AI28" s="84" t="s">
        <v>634</v>
      </c>
      <c r="AJ28" s="84" t="s">
        <v>692</v>
      </c>
      <c r="AK28" s="84" t="s">
        <v>693</v>
      </c>
      <c r="AL28" s="85">
        <v>656716</v>
      </c>
      <c r="AM28" s="84" t="s">
        <v>720</v>
      </c>
      <c r="AN28" s="84"/>
      <c r="AO28" s="84"/>
      <c r="AP28" s="84" t="s">
        <v>395</v>
      </c>
      <c r="AQ28" s="84" t="s">
        <v>395</v>
      </c>
      <c r="AR28" s="84" t="s">
        <v>395</v>
      </c>
      <c r="AS28" s="84" t="s">
        <v>395</v>
      </c>
      <c r="AT28" s="84" t="s">
        <v>395</v>
      </c>
      <c r="AU28" s="84" t="s">
        <v>395</v>
      </c>
      <c r="AV28" s="84" t="s">
        <v>395</v>
      </c>
      <c r="AW28" s="84" t="s">
        <v>395</v>
      </c>
      <c r="AX28" s="84" t="s">
        <v>395</v>
      </c>
      <c r="AY28" s="84" t="s">
        <v>395</v>
      </c>
      <c r="AZ28" s="84" t="s">
        <v>695</v>
      </c>
      <c r="BA28" s="84" t="s">
        <v>701</v>
      </c>
      <c r="BB28" s="80"/>
    </row>
    <row r="29" spans="1:54" ht="150" x14ac:dyDescent="0.25">
      <c r="A29" s="84" t="s">
        <v>49</v>
      </c>
      <c r="B29" s="84" t="s">
        <v>626</v>
      </c>
      <c r="C29" s="816"/>
      <c r="D29" s="816"/>
      <c r="E29" s="816"/>
      <c r="F29" s="84" t="s">
        <v>686</v>
      </c>
      <c r="G29" s="816"/>
      <c r="H29" s="84" t="s">
        <v>721</v>
      </c>
      <c r="I29" s="84" t="s">
        <v>722</v>
      </c>
      <c r="J29" s="84" t="s">
        <v>685</v>
      </c>
      <c r="K29" s="84" t="s">
        <v>323</v>
      </c>
      <c r="L29" s="84">
        <v>1</v>
      </c>
      <c r="M29" s="84">
        <v>0.26</v>
      </c>
      <c r="N29" s="84" t="s">
        <v>722</v>
      </c>
      <c r="O29" s="84" t="s">
        <v>685</v>
      </c>
      <c r="P29" s="85">
        <v>73500</v>
      </c>
      <c r="Q29" s="85"/>
      <c r="R29" s="85"/>
      <c r="S29" s="85"/>
      <c r="T29" s="85"/>
      <c r="U29" s="85">
        <v>73500</v>
      </c>
      <c r="V29" s="85"/>
      <c r="W29" s="85"/>
      <c r="X29" s="85"/>
      <c r="Y29" s="85"/>
      <c r="Z29" s="85"/>
      <c r="AA29" s="85"/>
      <c r="AB29" s="85"/>
      <c r="AC29" s="85"/>
      <c r="AD29" s="85"/>
      <c r="AE29" s="85"/>
      <c r="AF29" s="85"/>
      <c r="AG29" s="85">
        <f t="shared" si="0"/>
        <v>73500</v>
      </c>
      <c r="AH29" s="86" t="s">
        <v>691</v>
      </c>
      <c r="AI29" s="84" t="s">
        <v>634</v>
      </c>
      <c r="AJ29" s="84" t="s">
        <v>565</v>
      </c>
      <c r="AK29" s="84" t="s">
        <v>644</v>
      </c>
      <c r="AL29" s="85">
        <v>1404205</v>
      </c>
      <c r="AM29" s="84" t="s">
        <v>723</v>
      </c>
      <c r="AN29" s="84"/>
      <c r="AO29" s="84"/>
      <c r="AP29" s="84" t="s">
        <v>395</v>
      </c>
      <c r="AQ29" s="84" t="s">
        <v>395</v>
      </c>
      <c r="AR29" s="84" t="s">
        <v>395</v>
      </c>
      <c r="AS29" s="84" t="s">
        <v>395</v>
      </c>
      <c r="AT29" s="84" t="s">
        <v>395</v>
      </c>
      <c r="AU29" s="84" t="s">
        <v>395</v>
      </c>
      <c r="AV29" s="84" t="s">
        <v>395</v>
      </c>
      <c r="AW29" s="84" t="s">
        <v>395</v>
      </c>
      <c r="AX29" s="84" t="s">
        <v>395</v>
      </c>
      <c r="AY29" s="84" t="s">
        <v>395</v>
      </c>
      <c r="AZ29" s="84" t="s">
        <v>695</v>
      </c>
      <c r="BA29" s="84" t="s">
        <v>724</v>
      </c>
      <c r="BB29" s="80"/>
    </row>
    <row r="30" spans="1:54" ht="240" x14ac:dyDescent="0.25">
      <c r="A30" s="84" t="s">
        <v>49</v>
      </c>
      <c r="B30" s="84" t="s">
        <v>626</v>
      </c>
      <c r="C30" s="816"/>
      <c r="D30" s="816"/>
      <c r="E30" s="816"/>
      <c r="F30" s="84" t="s">
        <v>686</v>
      </c>
      <c r="G30" s="816"/>
      <c r="H30" s="84" t="s">
        <v>725</v>
      </c>
      <c r="I30" s="84" t="s">
        <v>726</v>
      </c>
      <c r="J30" s="84" t="s">
        <v>685</v>
      </c>
      <c r="K30" s="84" t="s">
        <v>323</v>
      </c>
      <c r="L30" s="84">
        <v>1</v>
      </c>
      <c r="M30" s="84">
        <v>0.26</v>
      </c>
      <c r="N30" s="84" t="s">
        <v>726</v>
      </c>
      <c r="O30" s="84" t="s">
        <v>685</v>
      </c>
      <c r="P30" s="85">
        <v>52500</v>
      </c>
      <c r="Q30" s="85"/>
      <c r="R30" s="85"/>
      <c r="S30" s="85"/>
      <c r="T30" s="85"/>
      <c r="U30" s="85">
        <v>52500</v>
      </c>
      <c r="V30" s="85"/>
      <c r="W30" s="85"/>
      <c r="X30" s="85"/>
      <c r="Y30" s="85"/>
      <c r="Z30" s="85"/>
      <c r="AA30" s="85"/>
      <c r="AB30" s="85"/>
      <c r="AC30" s="85"/>
      <c r="AD30" s="85"/>
      <c r="AE30" s="85"/>
      <c r="AF30" s="85"/>
      <c r="AG30" s="85">
        <f t="shared" si="0"/>
        <v>52500</v>
      </c>
      <c r="AH30" s="86" t="s">
        <v>691</v>
      </c>
      <c r="AI30" s="84" t="s">
        <v>634</v>
      </c>
      <c r="AJ30" s="84" t="s">
        <v>565</v>
      </c>
      <c r="AK30" s="84" t="s">
        <v>644</v>
      </c>
      <c r="AL30" s="85">
        <v>1404205</v>
      </c>
      <c r="AM30" s="84" t="s">
        <v>727</v>
      </c>
      <c r="AN30" s="84"/>
      <c r="AO30" s="84"/>
      <c r="AP30" s="84" t="s">
        <v>395</v>
      </c>
      <c r="AQ30" s="84" t="s">
        <v>395</v>
      </c>
      <c r="AR30" s="84" t="s">
        <v>395</v>
      </c>
      <c r="AS30" s="84" t="s">
        <v>395</v>
      </c>
      <c r="AT30" s="84" t="s">
        <v>395</v>
      </c>
      <c r="AU30" s="84" t="s">
        <v>395</v>
      </c>
      <c r="AV30" s="84" t="s">
        <v>395</v>
      </c>
      <c r="AW30" s="84" t="s">
        <v>395</v>
      </c>
      <c r="AX30" s="84" t="s">
        <v>395</v>
      </c>
      <c r="AY30" s="84" t="s">
        <v>395</v>
      </c>
      <c r="AZ30" s="84" t="s">
        <v>695</v>
      </c>
      <c r="BA30" s="84" t="s">
        <v>724</v>
      </c>
      <c r="BB30" s="80"/>
    </row>
    <row r="31" spans="1:54" ht="285" x14ac:dyDescent="0.25">
      <c r="A31" s="84" t="s">
        <v>49</v>
      </c>
      <c r="B31" s="84" t="s">
        <v>626</v>
      </c>
      <c r="C31" s="816"/>
      <c r="D31" s="816"/>
      <c r="E31" s="816"/>
      <c r="F31" s="84" t="s">
        <v>686</v>
      </c>
      <c r="G31" s="816"/>
      <c r="H31" s="84" t="s">
        <v>728</v>
      </c>
      <c r="I31" s="84" t="s">
        <v>729</v>
      </c>
      <c r="J31" s="84" t="s">
        <v>730</v>
      </c>
      <c r="K31" s="84" t="s">
        <v>705</v>
      </c>
      <c r="L31" s="89">
        <v>0.02</v>
      </c>
      <c r="M31" s="98">
        <v>5.0000000000000001E-3</v>
      </c>
      <c r="N31" s="84" t="s">
        <v>729</v>
      </c>
      <c r="O31" s="84" t="s">
        <v>730</v>
      </c>
      <c r="P31" s="85">
        <v>125954.85</v>
      </c>
      <c r="Q31" s="85"/>
      <c r="R31" s="85"/>
      <c r="S31" s="85"/>
      <c r="T31" s="85"/>
      <c r="U31" s="85">
        <v>125954.85</v>
      </c>
      <c r="V31" s="85"/>
      <c r="W31" s="85"/>
      <c r="X31" s="85"/>
      <c r="Y31" s="85"/>
      <c r="Z31" s="85"/>
      <c r="AA31" s="85"/>
      <c r="AB31" s="85"/>
      <c r="AC31" s="85"/>
      <c r="AD31" s="85"/>
      <c r="AE31" s="85"/>
      <c r="AF31" s="85"/>
      <c r="AG31" s="85">
        <f t="shared" si="0"/>
        <v>125954.85</v>
      </c>
      <c r="AH31" s="86" t="s">
        <v>691</v>
      </c>
      <c r="AI31" s="84" t="s">
        <v>634</v>
      </c>
      <c r="AJ31" s="84" t="s">
        <v>692</v>
      </c>
      <c r="AK31" s="84" t="s">
        <v>693</v>
      </c>
      <c r="AL31" s="85">
        <v>656716</v>
      </c>
      <c r="AM31" s="84" t="s">
        <v>731</v>
      </c>
      <c r="AN31" s="84"/>
      <c r="AO31" s="84"/>
      <c r="AP31" s="84" t="s">
        <v>395</v>
      </c>
      <c r="AQ31" s="84" t="s">
        <v>395</v>
      </c>
      <c r="AR31" s="84" t="s">
        <v>395</v>
      </c>
      <c r="AS31" s="84" t="s">
        <v>395</v>
      </c>
      <c r="AT31" s="84" t="s">
        <v>395</v>
      </c>
      <c r="AU31" s="84" t="s">
        <v>395</v>
      </c>
      <c r="AV31" s="84" t="s">
        <v>395</v>
      </c>
      <c r="AW31" s="84" t="s">
        <v>395</v>
      </c>
      <c r="AX31" s="84" t="s">
        <v>395</v>
      </c>
      <c r="AY31" s="84" t="s">
        <v>395</v>
      </c>
      <c r="AZ31" s="84" t="s">
        <v>695</v>
      </c>
      <c r="BA31" s="84" t="s">
        <v>696</v>
      </c>
      <c r="BB31" s="80"/>
    </row>
    <row r="32" spans="1:54" ht="409.5" x14ac:dyDescent="0.25">
      <c r="A32" s="84" t="s">
        <v>49</v>
      </c>
      <c r="B32" s="84" t="s">
        <v>626</v>
      </c>
      <c r="C32" s="84" t="s">
        <v>732</v>
      </c>
      <c r="D32" s="84" t="s">
        <v>733</v>
      </c>
      <c r="E32" s="84" t="s">
        <v>685</v>
      </c>
      <c r="F32" s="84" t="s">
        <v>734</v>
      </c>
      <c r="G32" s="816" t="s">
        <v>735</v>
      </c>
      <c r="H32" s="84" t="s">
        <v>736</v>
      </c>
      <c r="I32" s="84" t="s">
        <v>737</v>
      </c>
      <c r="J32" s="84">
        <v>0</v>
      </c>
      <c r="K32" s="84" t="s">
        <v>323</v>
      </c>
      <c r="L32" s="84">
        <v>42</v>
      </c>
      <c r="M32" s="84">
        <v>10</v>
      </c>
      <c r="N32" s="84" t="s">
        <v>737</v>
      </c>
      <c r="O32" s="84">
        <v>0</v>
      </c>
      <c r="P32" s="85">
        <v>178500</v>
      </c>
      <c r="Q32" s="85"/>
      <c r="R32" s="85"/>
      <c r="S32" s="85"/>
      <c r="T32" s="85"/>
      <c r="U32" s="85">
        <v>178500</v>
      </c>
      <c r="V32" s="85"/>
      <c r="W32" s="85"/>
      <c r="X32" s="85"/>
      <c r="Y32" s="85"/>
      <c r="Z32" s="85"/>
      <c r="AA32" s="85"/>
      <c r="AB32" s="85"/>
      <c r="AC32" s="85"/>
      <c r="AD32" s="85"/>
      <c r="AE32" s="85"/>
      <c r="AF32" s="85"/>
      <c r="AG32" s="85">
        <f t="shared" si="0"/>
        <v>178500</v>
      </c>
      <c r="AH32" s="86" t="s">
        <v>738</v>
      </c>
      <c r="AI32" s="84" t="s">
        <v>634</v>
      </c>
      <c r="AJ32" s="84" t="s">
        <v>739</v>
      </c>
      <c r="AK32" s="84" t="s">
        <v>740</v>
      </c>
      <c r="AL32" s="85">
        <v>470246</v>
      </c>
      <c r="AM32" s="84" t="s">
        <v>741</v>
      </c>
      <c r="AN32" s="84"/>
      <c r="AO32" s="84"/>
      <c r="AP32" s="84" t="s">
        <v>395</v>
      </c>
      <c r="AQ32" s="84" t="s">
        <v>395</v>
      </c>
      <c r="AR32" s="84" t="s">
        <v>395</v>
      </c>
      <c r="AS32" s="84" t="s">
        <v>395</v>
      </c>
      <c r="AT32" s="84" t="s">
        <v>395</v>
      </c>
      <c r="AU32" s="84" t="s">
        <v>395</v>
      </c>
      <c r="AV32" s="84" t="s">
        <v>395</v>
      </c>
      <c r="AW32" s="84" t="s">
        <v>395</v>
      </c>
      <c r="AX32" s="84" t="s">
        <v>395</v>
      </c>
      <c r="AY32" s="84" t="s">
        <v>395</v>
      </c>
      <c r="AZ32" s="84" t="s">
        <v>742</v>
      </c>
      <c r="BA32" s="84" t="s">
        <v>743</v>
      </c>
      <c r="BB32" s="80"/>
    </row>
    <row r="33" spans="1:54" ht="405" x14ac:dyDescent="0.25">
      <c r="A33" s="84" t="s">
        <v>49</v>
      </c>
      <c r="B33" s="84" t="s">
        <v>626</v>
      </c>
      <c r="C33" s="84" t="s">
        <v>744</v>
      </c>
      <c r="D33" s="84" t="s">
        <v>745</v>
      </c>
      <c r="E33" s="84" t="s">
        <v>685</v>
      </c>
      <c r="F33" s="84" t="s">
        <v>734</v>
      </c>
      <c r="G33" s="816"/>
      <c r="H33" s="84" t="s">
        <v>746</v>
      </c>
      <c r="I33" s="84" t="s">
        <v>747</v>
      </c>
      <c r="J33" s="84">
        <v>0</v>
      </c>
      <c r="K33" s="84" t="s">
        <v>323</v>
      </c>
      <c r="L33" s="84">
        <v>42</v>
      </c>
      <c r="M33" s="84">
        <v>10</v>
      </c>
      <c r="N33" s="84" t="s">
        <v>747</v>
      </c>
      <c r="O33" s="84">
        <v>0</v>
      </c>
      <c r="P33" s="85">
        <v>178500</v>
      </c>
      <c r="Q33" s="85"/>
      <c r="R33" s="85"/>
      <c r="S33" s="85"/>
      <c r="T33" s="85"/>
      <c r="U33" s="85">
        <v>178500</v>
      </c>
      <c r="V33" s="85"/>
      <c r="W33" s="85"/>
      <c r="X33" s="85"/>
      <c r="Y33" s="85"/>
      <c r="Z33" s="85"/>
      <c r="AA33" s="85"/>
      <c r="AB33" s="85"/>
      <c r="AC33" s="85"/>
      <c r="AD33" s="85"/>
      <c r="AE33" s="85"/>
      <c r="AF33" s="85"/>
      <c r="AG33" s="85">
        <f t="shared" si="0"/>
        <v>178500</v>
      </c>
      <c r="AH33" s="86" t="s">
        <v>738</v>
      </c>
      <c r="AI33" s="84" t="s">
        <v>634</v>
      </c>
      <c r="AJ33" s="84" t="s">
        <v>748</v>
      </c>
      <c r="AK33" s="84" t="s">
        <v>749</v>
      </c>
      <c r="AL33" s="85">
        <v>230906</v>
      </c>
      <c r="AM33" s="84" t="s">
        <v>750</v>
      </c>
      <c r="AN33" s="84"/>
      <c r="AO33" s="84"/>
      <c r="AP33" s="84" t="s">
        <v>751</v>
      </c>
      <c r="AQ33" s="84" t="s">
        <v>751</v>
      </c>
      <c r="AR33" s="84" t="s">
        <v>751</v>
      </c>
      <c r="AS33" s="84" t="s">
        <v>751</v>
      </c>
      <c r="AT33" s="84" t="s">
        <v>751</v>
      </c>
      <c r="AU33" s="84" t="s">
        <v>751</v>
      </c>
      <c r="AV33" s="84" t="s">
        <v>751</v>
      </c>
      <c r="AW33" s="84" t="s">
        <v>751</v>
      </c>
      <c r="AX33" s="84" t="s">
        <v>751</v>
      </c>
      <c r="AY33" s="84" t="s">
        <v>751</v>
      </c>
      <c r="AZ33" s="84" t="s">
        <v>742</v>
      </c>
      <c r="BA33" s="84" t="s">
        <v>752</v>
      </c>
      <c r="BB33" s="80"/>
    </row>
    <row r="34" spans="1:54" ht="409.5" x14ac:dyDescent="0.25">
      <c r="A34" s="84" t="s">
        <v>49</v>
      </c>
      <c r="B34" s="84" t="s">
        <v>626</v>
      </c>
      <c r="C34" s="84" t="s">
        <v>753</v>
      </c>
      <c r="D34" s="84" t="s">
        <v>754</v>
      </c>
      <c r="E34" s="84" t="s">
        <v>685</v>
      </c>
      <c r="F34" s="84" t="s">
        <v>734</v>
      </c>
      <c r="G34" s="816"/>
      <c r="H34" s="84" t="s">
        <v>755</v>
      </c>
      <c r="I34" s="84" t="s">
        <v>756</v>
      </c>
      <c r="J34" s="84">
        <v>0</v>
      </c>
      <c r="K34" s="84" t="s">
        <v>323</v>
      </c>
      <c r="L34" s="84">
        <v>42</v>
      </c>
      <c r="M34" s="84">
        <v>10</v>
      </c>
      <c r="N34" s="84" t="s">
        <v>756</v>
      </c>
      <c r="O34" s="84">
        <v>0</v>
      </c>
      <c r="P34" s="85">
        <v>309750</v>
      </c>
      <c r="Q34" s="85"/>
      <c r="R34" s="85"/>
      <c r="S34" s="85"/>
      <c r="T34" s="85"/>
      <c r="U34" s="85">
        <v>309750</v>
      </c>
      <c r="V34" s="85"/>
      <c r="W34" s="85"/>
      <c r="X34" s="85"/>
      <c r="Y34" s="85"/>
      <c r="Z34" s="85"/>
      <c r="AA34" s="85"/>
      <c r="AB34" s="85"/>
      <c r="AC34" s="85"/>
      <c r="AD34" s="85"/>
      <c r="AE34" s="85"/>
      <c r="AF34" s="85"/>
      <c r="AG34" s="85">
        <f t="shared" si="0"/>
        <v>309750</v>
      </c>
      <c r="AH34" s="86" t="s">
        <v>738</v>
      </c>
      <c r="AI34" s="84" t="s">
        <v>634</v>
      </c>
      <c r="AJ34" s="84" t="s">
        <v>757</v>
      </c>
      <c r="AK34" s="84" t="s">
        <v>758</v>
      </c>
      <c r="AL34" s="85">
        <v>216225</v>
      </c>
      <c r="AM34" s="84" t="s">
        <v>759</v>
      </c>
      <c r="AN34" s="84"/>
      <c r="AO34" s="84"/>
      <c r="AP34" s="84"/>
      <c r="AQ34" s="84"/>
      <c r="AR34" s="84"/>
      <c r="AS34" s="84"/>
      <c r="AT34" s="84"/>
      <c r="AU34" s="84"/>
      <c r="AV34" s="84"/>
      <c r="AW34" s="84"/>
      <c r="AX34" s="84"/>
      <c r="AY34" s="84"/>
      <c r="AZ34" s="84" t="s">
        <v>742</v>
      </c>
      <c r="BA34" s="84" t="s">
        <v>760</v>
      </c>
      <c r="BB34" s="80"/>
    </row>
    <row r="35" spans="1:54" ht="330" x14ac:dyDescent="0.25">
      <c r="A35" s="84" t="s">
        <v>49</v>
      </c>
      <c r="B35" s="84" t="s">
        <v>626</v>
      </c>
      <c r="C35" s="816" t="s">
        <v>761</v>
      </c>
      <c r="D35" s="816" t="s">
        <v>762</v>
      </c>
      <c r="E35" s="816">
        <v>4.5999999999999999E-2</v>
      </c>
      <c r="F35" s="84" t="s">
        <v>763</v>
      </c>
      <c r="G35" s="816" t="s">
        <v>764</v>
      </c>
      <c r="H35" s="84" t="s">
        <v>765</v>
      </c>
      <c r="I35" s="84" t="s">
        <v>766</v>
      </c>
      <c r="J35" s="84">
        <v>34</v>
      </c>
      <c r="K35" s="84" t="s">
        <v>323</v>
      </c>
      <c r="L35" s="84">
        <v>34</v>
      </c>
      <c r="M35" s="84">
        <v>7</v>
      </c>
      <c r="N35" s="84" t="s">
        <v>766</v>
      </c>
      <c r="O35" s="84">
        <v>34</v>
      </c>
      <c r="P35" s="85">
        <v>26250</v>
      </c>
      <c r="Q35" s="85"/>
      <c r="R35" s="85"/>
      <c r="S35" s="85"/>
      <c r="T35" s="85"/>
      <c r="U35" s="85">
        <v>26250</v>
      </c>
      <c r="V35" s="85"/>
      <c r="W35" s="85"/>
      <c r="X35" s="85"/>
      <c r="Y35" s="85"/>
      <c r="Z35" s="85"/>
      <c r="AA35" s="85"/>
      <c r="AB35" s="85"/>
      <c r="AC35" s="85"/>
      <c r="AD35" s="85"/>
      <c r="AE35" s="85"/>
      <c r="AF35" s="85"/>
      <c r="AG35" s="85">
        <f t="shared" si="0"/>
        <v>26250</v>
      </c>
      <c r="AH35" s="86" t="s">
        <v>767</v>
      </c>
      <c r="AI35" s="84" t="s">
        <v>768</v>
      </c>
      <c r="AJ35" s="84">
        <v>42</v>
      </c>
      <c r="AK35" s="84" t="s">
        <v>769</v>
      </c>
      <c r="AL35" s="84">
        <v>240058</v>
      </c>
      <c r="AM35" s="84" t="s">
        <v>770</v>
      </c>
      <c r="AN35" s="84" t="s">
        <v>751</v>
      </c>
      <c r="AO35" s="84" t="s">
        <v>751</v>
      </c>
      <c r="AP35" s="84" t="s">
        <v>751</v>
      </c>
      <c r="AQ35" s="84" t="s">
        <v>751</v>
      </c>
      <c r="AR35" s="84" t="s">
        <v>751</v>
      </c>
      <c r="AS35" s="84" t="s">
        <v>751</v>
      </c>
      <c r="AT35" s="84" t="s">
        <v>751</v>
      </c>
      <c r="AU35" s="84" t="s">
        <v>751</v>
      </c>
      <c r="AV35" s="84" t="s">
        <v>751</v>
      </c>
      <c r="AW35" s="84" t="s">
        <v>751</v>
      </c>
      <c r="AX35" s="84" t="s">
        <v>751</v>
      </c>
      <c r="AY35" s="84" t="s">
        <v>751</v>
      </c>
      <c r="AZ35" s="84" t="s">
        <v>695</v>
      </c>
      <c r="BA35" s="84" t="s">
        <v>771</v>
      </c>
      <c r="BB35" s="80"/>
    </row>
    <row r="36" spans="1:54" ht="150" x14ac:dyDescent="0.25">
      <c r="A36" s="84" t="s">
        <v>49</v>
      </c>
      <c r="B36" s="84" t="s">
        <v>626</v>
      </c>
      <c r="C36" s="816"/>
      <c r="D36" s="816"/>
      <c r="E36" s="816"/>
      <c r="F36" s="84" t="s">
        <v>763</v>
      </c>
      <c r="G36" s="816"/>
      <c r="H36" s="84" t="s">
        <v>772</v>
      </c>
      <c r="I36" s="84" t="s">
        <v>773</v>
      </c>
      <c r="J36" s="84">
        <v>0.03</v>
      </c>
      <c r="K36" s="84" t="s">
        <v>322</v>
      </c>
      <c r="L36" s="89">
        <v>0.1</v>
      </c>
      <c r="M36" s="89">
        <v>0.1</v>
      </c>
      <c r="N36" s="84" t="s">
        <v>773</v>
      </c>
      <c r="O36" s="90">
        <v>0.03</v>
      </c>
      <c r="P36" s="85">
        <v>26250</v>
      </c>
      <c r="Q36" s="85"/>
      <c r="R36" s="85"/>
      <c r="S36" s="85"/>
      <c r="T36" s="85"/>
      <c r="U36" s="85">
        <v>26250</v>
      </c>
      <c r="V36" s="85"/>
      <c r="W36" s="85"/>
      <c r="X36" s="85"/>
      <c r="Y36" s="85"/>
      <c r="Z36" s="85"/>
      <c r="AA36" s="85"/>
      <c r="AB36" s="85"/>
      <c r="AC36" s="85"/>
      <c r="AD36" s="85"/>
      <c r="AE36" s="85"/>
      <c r="AF36" s="85"/>
      <c r="AG36" s="85">
        <f t="shared" si="0"/>
        <v>26250</v>
      </c>
      <c r="AH36" s="86" t="s">
        <v>767</v>
      </c>
      <c r="AI36" s="101" t="s">
        <v>634</v>
      </c>
      <c r="AJ36" s="84">
        <v>42</v>
      </c>
      <c r="AK36" s="84" t="s">
        <v>769</v>
      </c>
      <c r="AL36" s="84">
        <v>7224</v>
      </c>
      <c r="AM36" s="84" t="s">
        <v>774</v>
      </c>
      <c r="AN36" s="84" t="s">
        <v>751</v>
      </c>
      <c r="AO36" s="84" t="s">
        <v>751</v>
      </c>
      <c r="AP36" s="84" t="s">
        <v>751</v>
      </c>
      <c r="AQ36" s="84" t="s">
        <v>751</v>
      </c>
      <c r="AR36" s="84" t="s">
        <v>751</v>
      </c>
      <c r="AS36" s="84" t="s">
        <v>751</v>
      </c>
      <c r="AT36" s="84" t="s">
        <v>751</v>
      </c>
      <c r="AU36" s="84" t="s">
        <v>751</v>
      </c>
      <c r="AV36" s="84" t="s">
        <v>751</v>
      </c>
      <c r="AW36" s="84" t="s">
        <v>751</v>
      </c>
      <c r="AX36" s="84" t="s">
        <v>751</v>
      </c>
      <c r="AY36" s="84" t="s">
        <v>751</v>
      </c>
      <c r="AZ36" s="84" t="s">
        <v>695</v>
      </c>
      <c r="BA36" s="84" t="s">
        <v>775</v>
      </c>
      <c r="BB36" s="80"/>
    </row>
    <row r="37" spans="1:54" ht="409.5" x14ac:dyDescent="0.25">
      <c r="A37" s="84" t="s">
        <v>49</v>
      </c>
      <c r="B37" s="84" t="s">
        <v>626</v>
      </c>
      <c r="C37" s="816" t="s">
        <v>776</v>
      </c>
      <c r="D37" s="816" t="s">
        <v>777</v>
      </c>
      <c r="E37" s="816" t="s">
        <v>778</v>
      </c>
      <c r="F37" s="84" t="s">
        <v>763</v>
      </c>
      <c r="G37" s="816"/>
      <c r="H37" s="84" t="s">
        <v>779</v>
      </c>
      <c r="I37" s="84" t="s">
        <v>780</v>
      </c>
      <c r="J37" s="84">
        <v>34</v>
      </c>
      <c r="K37" s="84" t="s">
        <v>322</v>
      </c>
      <c r="L37" s="84">
        <v>34</v>
      </c>
      <c r="M37" s="84">
        <v>34</v>
      </c>
      <c r="N37" s="84" t="s">
        <v>780</v>
      </c>
      <c r="O37" s="84">
        <v>34</v>
      </c>
      <c r="P37" s="85">
        <v>132300</v>
      </c>
      <c r="Q37" s="85"/>
      <c r="R37" s="85"/>
      <c r="S37" s="85"/>
      <c r="T37" s="85"/>
      <c r="U37" s="85">
        <v>132300</v>
      </c>
      <c r="V37" s="85"/>
      <c r="W37" s="85"/>
      <c r="X37" s="85"/>
      <c r="Y37" s="85"/>
      <c r="Z37" s="85"/>
      <c r="AA37" s="85"/>
      <c r="AB37" s="85"/>
      <c r="AC37" s="85"/>
      <c r="AD37" s="85"/>
      <c r="AE37" s="85"/>
      <c r="AF37" s="85"/>
      <c r="AG37" s="85">
        <f t="shared" si="0"/>
        <v>132300</v>
      </c>
      <c r="AH37" s="86" t="s">
        <v>767</v>
      </c>
      <c r="AI37" s="101" t="s">
        <v>634</v>
      </c>
      <c r="AJ37" s="84">
        <v>42</v>
      </c>
      <c r="AK37" s="84" t="s">
        <v>769</v>
      </c>
      <c r="AL37" s="84">
        <v>240058</v>
      </c>
      <c r="AM37" s="84" t="s">
        <v>781</v>
      </c>
      <c r="AN37" s="84" t="s">
        <v>751</v>
      </c>
      <c r="AO37" s="84" t="s">
        <v>751</v>
      </c>
      <c r="AP37" s="84" t="s">
        <v>751</v>
      </c>
      <c r="AQ37" s="84" t="s">
        <v>751</v>
      </c>
      <c r="AR37" s="84" t="s">
        <v>751</v>
      </c>
      <c r="AS37" s="84" t="s">
        <v>751</v>
      </c>
      <c r="AT37" s="84" t="s">
        <v>751</v>
      </c>
      <c r="AU37" s="84" t="s">
        <v>751</v>
      </c>
      <c r="AV37" s="84" t="s">
        <v>751</v>
      </c>
      <c r="AW37" s="84" t="s">
        <v>751</v>
      </c>
      <c r="AX37" s="84" t="s">
        <v>751</v>
      </c>
      <c r="AY37" s="84" t="s">
        <v>751</v>
      </c>
      <c r="AZ37" s="84" t="s">
        <v>695</v>
      </c>
      <c r="BA37" s="84" t="s">
        <v>782</v>
      </c>
      <c r="BB37" s="80"/>
    </row>
    <row r="38" spans="1:54" ht="330" x14ac:dyDescent="0.25">
      <c r="A38" s="84" t="s">
        <v>49</v>
      </c>
      <c r="B38" s="84" t="s">
        <v>626</v>
      </c>
      <c r="C38" s="816"/>
      <c r="D38" s="816"/>
      <c r="E38" s="816"/>
      <c r="F38" s="84" t="s">
        <v>763</v>
      </c>
      <c r="G38" s="816"/>
      <c r="H38" s="84" t="s">
        <v>783</v>
      </c>
      <c r="I38" s="84" t="s">
        <v>784</v>
      </c>
      <c r="J38" s="84">
        <v>4</v>
      </c>
      <c r="K38" s="84" t="s">
        <v>322</v>
      </c>
      <c r="L38" s="84">
        <v>4</v>
      </c>
      <c r="M38" s="84">
        <v>4</v>
      </c>
      <c r="N38" s="84" t="s">
        <v>784</v>
      </c>
      <c r="O38" s="84">
        <v>4</v>
      </c>
      <c r="P38" s="85">
        <v>252000</v>
      </c>
      <c r="Q38" s="85"/>
      <c r="R38" s="85"/>
      <c r="S38" s="85"/>
      <c r="T38" s="85"/>
      <c r="U38" s="85">
        <v>252000</v>
      </c>
      <c r="V38" s="85"/>
      <c r="W38" s="85"/>
      <c r="X38" s="85"/>
      <c r="Y38" s="85"/>
      <c r="Z38" s="85"/>
      <c r="AA38" s="85"/>
      <c r="AB38" s="85"/>
      <c r="AC38" s="85"/>
      <c r="AD38" s="85"/>
      <c r="AE38" s="85"/>
      <c r="AF38" s="85"/>
      <c r="AG38" s="85">
        <f t="shared" si="0"/>
        <v>252000</v>
      </c>
      <c r="AH38" s="86" t="s">
        <v>767</v>
      </c>
      <c r="AI38" s="101" t="s">
        <v>634</v>
      </c>
      <c r="AJ38" s="84" t="s">
        <v>785</v>
      </c>
      <c r="AK38" s="84" t="s">
        <v>786</v>
      </c>
      <c r="AL38" s="84">
        <v>3574</v>
      </c>
      <c r="AM38" s="84" t="s">
        <v>787</v>
      </c>
      <c r="AN38" s="84" t="s">
        <v>751</v>
      </c>
      <c r="AO38" s="84" t="s">
        <v>751</v>
      </c>
      <c r="AP38" s="84" t="s">
        <v>751</v>
      </c>
      <c r="AQ38" s="84" t="s">
        <v>751</v>
      </c>
      <c r="AR38" s="84" t="s">
        <v>751</v>
      </c>
      <c r="AS38" s="84" t="s">
        <v>751</v>
      </c>
      <c r="AT38" s="84" t="s">
        <v>751</v>
      </c>
      <c r="AU38" s="84" t="s">
        <v>751</v>
      </c>
      <c r="AV38" s="84" t="s">
        <v>751</v>
      </c>
      <c r="AW38" s="84" t="s">
        <v>751</v>
      </c>
      <c r="AX38" s="84" t="s">
        <v>751</v>
      </c>
      <c r="AY38" s="84" t="s">
        <v>751</v>
      </c>
      <c r="AZ38" s="84" t="s">
        <v>695</v>
      </c>
      <c r="BA38" s="84" t="s">
        <v>771</v>
      </c>
      <c r="BB38" s="80"/>
    </row>
    <row r="39" spans="1:54" ht="409.5" x14ac:dyDescent="0.25">
      <c r="A39" s="84" t="s">
        <v>49</v>
      </c>
      <c r="B39" s="84" t="s">
        <v>626</v>
      </c>
      <c r="C39" s="84" t="s">
        <v>788</v>
      </c>
      <c r="D39" s="84" t="s">
        <v>789</v>
      </c>
      <c r="E39" s="84">
        <v>6.9000000000000006E-2</v>
      </c>
      <c r="F39" s="84" t="s">
        <v>763</v>
      </c>
      <c r="G39" s="816"/>
      <c r="H39" s="84" t="s">
        <v>790</v>
      </c>
      <c r="I39" s="84" t="s">
        <v>791</v>
      </c>
      <c r="J39" s="84">
        <v>25</v>
      </c>
      <c r="K39" s="84" t="s">
        <v>323</v>
      </c>
      <c r="L39" s="84">
        <v>16</v>
      </c>
      <c r="M39" s="84">
        <v>4</v>
      </c>
      <c r="N39" s="84" t="s">
        <v>791</v>
      </c>
      <c r="O39" s="84">
        <v>25</v>
      </c>
      <c r="P39" s="85">
        <v>142800</v>
      </c>
      <c r="Q39" s="85"/>
      <c r="R39" s="85"/>
      <c r="S39" s="85"/>
      <c r="T39" s="85"/>
      <c r="U39" s="85">
        <v>142800</v>
      </c>
      <c r="V39" s="85"/>
      <c r="W39" s="85"/>
      <c r="X39" s="85"/>
      <c r="Y39" s="85"/>
      <c r="Z39" s="85"/>
      <c r="AA39" s="85"/>
      <c r="AB39" s="85"/>
      <c r="AC39" s="85"/>
      <c r="AD39" s="85"/>
      <c r="AE39" s="85"/>
      <c r="AF39" s="85"/>
      <c r="AG39" s="85">
        <f t="shared" si="0"/>
        <v>142800</v>
      </c>
      <c r="AH39" s="86" t="s">
        <v>767</v>
      </c>
      <c r="AI39" s="101" t="s">
        <v>634</v>
      </c>
      <c r="AJ39" s="84" t="s">
        <v>792</v>
      </c>
      <c r="AK39" s="84" t="s">
        <v>793</v>
      </c>
      <c r="AL39" s="84">
        <v>28426</v>
      </c>
      <c r="AM39" s="84" t="s">
        <v>794</v>
      </c>
      <c r="AN39" s="84" t="s">
        <v>751</v>
      </c>
      <c r="AO39" s="84" t="s">
        <v>751</v>
      </c>
      <c r="AP39" s="84" t="s">
        <v>751</v>
      </c>
      <c r="AQ39" s="84" t="s">
        <v>751</v>
      </c>
      <c r="AR39" s="84" t="s">
        <v>751</v>
      </c>
      <c r="AS39" s="84" t="s">
        <v>751</v>
      </c>
      <c r="AT39" s="84" t="s">
        <v>751</v>
      </c>
      <c r="AU39" s="84" t="s">
        <v>751</v>
      </c>
      <c r="AV39" s="84" t="s">
        <v>751</v>
      </c>
      <c r="AW39" s="84" t="s">
        <v>751</v>
      </c>
      <c r="AX39" s="84" t="s">
        <v>751</v>
      </c>
      <c r="AY39" s="84" t="s">
        <v>751</v>
      </c>
      <c r="AZ39" s="84" t="s">
        <v>695</v>
      </c>
      <c r="BA39" s="84" t="s">
        <v>795</v>
      </c>
      <c r="BB39" s="80"/>
    </row>
    <row r="40" spans="1:54" ht="255" x14ac:dyDescent="0.25">
      <c r="A40" s="84" t="s">
        <v>49</v>
      </c>
      <c r="B40" s="84" t="s">
        <v>626</v>
      </c>
      <c r="C40" s="84" t="s">
        <v>796</v>
      </c>
      <c r="D40" s="84" t="s">
        <v>797</v>
      </c>
      <c r="E40" s="84">
        <v>0</v>
      </c>
      <c r="F40" s="84" t="s">
        <v>763</v>
      </c>
      <c r="G40" s="816"/>
      <c r="H40" s="84" t="s">
        <v>798</v>
      </c>
      <c r="I40" s="84" t="s">
        <v>799</v>
      </c>
      <c r="J40" s="84">
        <v>0</v>
      </c>
      <c r="K40" s="84" t="s">
        <v>323</v>
      </c>
      <c r="L40" s="89">
        <v>0.5</v>
      </c>
      <c r="M40" s="89">
        <v>0.1</v>
      </c>
      <c r="N40" s="84" t="s">
        <v>799</v>
      </c>
      <c r="O40" s="84">
        <v>0</v>
      </c>
      <c r="P40" s="85">
        <v>119700</v>
      </c>
      <c r="Q40" s="85"/>
      <c r="R40" s="85"/>
      <c r="S40" s="85"/>
      <c r="T40" s="85"/>
      <c r="U40" s="85">
        <v>119700</v>
      </c>
      <c r="V40" s="85"/>
      <c r="W40" s="85"/>
      <c r="X40" s="85"/>
      <c r="Y40" s="85"/>
      <c r="Z40" s="85"/>
      <c r="AA40" s="85"/>
      <c r="AB40" s="85"/>
      <c r="AC40" s="85"/>
      <c r="AD40" s="85"/>
      <c r="AE40" s="85"/>
      <c r="AF40" s="85"/>
      <c r="AG40" s="85">
        <f t="shared" si="0"/>
        <v>119700</v>
      </c>
      <c r="AH40" s="86" t="s">
        <v>767</v>
      </c>
      <c r="AI40" s="101" t="s">
        <v>634</v>
      </c>
      <c r="AJ40" s="84" t="s">
        <v>800</v>
      </c>
      <c r="AK40" s="84" t="s">
        <v>801</v>
      </c>
      <c r="AL40" s="84">
        <v>51535</v>
      </c>
      <c r="AM40" s="84" t="s">
        <v>802</v>
      </c>
      <c r="AN40" s="84" t="s">
        <v>751</v>
      </c>
      <c r="AO40" s="84" t="s">
        <v>751</v>
      </c>
      <c r="AP40" s="84" t="s">
        <v>751</v>
      </c>
      <c r="AQ40" s="84" t="s">
        <v>751</v>
      </c>
      <c r="AR40" s="84" t="s">
        <v>751</v>
      </c>
      <c r="AS40" s="84" t="s">
        <v>751</v>
      </c>
      <c r="AT40" s="84" t="s">
        <v>751</v>
      </c>
      <c r="AU40" s="84" t="s">
        <v>751</v>
      </c>
      <c r="AV40" s="84" t="s">
        <v>751</v>
      </c>
      <c r="AW40" s="84" t="s">
        <v>751</v>
      </c>
      <c r="AX40" s="84" t="s">
        <v>751</v>
      </c>
      <c r="AY40" s="84" t="s">
        <v>751</v>
      </c>
      <c r="AZ40" s="84" t="s">
        <v>695</v>
      </c>
      <c r="BA40" s="84" t="s">
        <v>803</v>
      </c>
      <c r="BB40" s="80"/>
    </row>
    <row r="41" spans="1:54" ht="150" x14ac:dyDescent="0.25">
      <c r="A41" s="84" t="s">
        <v>49</v>
      </c>
      <c r="B41" s="84" t="s">
        <v>626</v>
      </c>
      <c r="C41" s="84" t="s">
        <v>804</v>
      </c>
      <c r="D41" s="84" t="s">
        <v>805</v>
      </c>
      <c r="E41" s="84">
        <v>0.16800000000000001</v>
      </c>
      <c r="F41" s="84" t="s">
        <v>763</v>
      </c>
      <c r="G41" s="816"/>
      <c r="H41" s="84" t="s">
        <v>806</v>
      </c>
      <c r="I41" s="84" t="s">
        <v>807</v>
      </c>
      <c r="J41" s="84">
        <v>0.2</v>
      </c>
      <c r="K41" s="84" t="s">
        <v>323</v>
      </c>
      <c r="L41" s="89">
        <v>0.4</v>
      </c>
      <c r="M41" s="89">
        <v>0.1</v>
      </c>
      <c r="N41" s="84" t="s">
        <v>807</v>
      </c>
      <c r="O41" s="90">
        <v>0.2</v>
      </c>
      <c r="P41" s="85">
        <v>18900</v>
      </c>
      <c r="Q41" s="85"/>
      <c r="R41" s="85"/>
      <c r="S41" s="85"/>
      <c r="T41" s="85"/>
      <c r="U41" s="85">
        <v>18900</v>
      </c>
      <c r="V41" s="85"/>
      <c r="W41" s="85"/>
      <c r="X41" s="85"/>
      <c r="Y41" s="85"/>
      <c r="Z41" s="85"/>
      <c r="AA41" s="85"/>
      <c r="AB41" s="85"/>
      <c r="AC41" s="85"/>
      <c r="AD41" s="85"/>
      <c r="AE41" s="85"/>
      <c r="AF41" s="85"/>
      <c r="AG41" s="85">
        <f t="shared" si="0"/>
        <v>18900</v>
      </c>
      <c r="AH41" s="86" t="s">
        <v>767</v>
      </c>
      <c r="AI41" s="101" t="s">
        <v>634</v>
      </c>
      <c r="AJ41" s="84" t="s">
        <v>808</v>
      </c>
      <c r="AK41" s="84" t="s">
        <v>769</v>
      </c>
      <c r="AL41" s="84">
        <v>168312</v>
      </c>
      <c r="AM41" s="84" t="s">
        <v>809</v>
      </c>
      <c r="AN41" s="84" t="s">
        <v>751</v>
      </c>
      <c r="AO41" s="84" t="s">
        <v>751</v>
      </c>
      <c r="AP41" s="84" t="s">
        <v>751</v>
      </c>
      <c r="AQ41" s="84" t="s">
        <v>751</v>
      </c>
      <c r="AR41" s="84" t="s">
        <v>751</v>
      </c>
      <c r="AS41" s="84" t="s">
        <v>751</v>
      </c>
      <c r="AT41" s="84" t="s">
        <v>751</v>
      </c>
      <c r="AU41" s="84" t="s">
        <v>751</v>
      </c>
      <c r="AV41" s="84" t="s">
        <v>751</v>
      </c>
      <c r="AW41" s="84" t="s">
        <v>751</v>
      </c>
      <c r="AX41" s="84" t="s">
        <v>751</v>
      </c>
      <c r="AY41" s="84" t="s">
        <v>751</v>
      </c>
      <c r="AZ41" s="84" t="s">
        <v>695</v>
      </c>
      <c r="BA41" s="84" t="s">
        <v>810</v>
      </c>
      <c r="BB41" s="80"/>
    </row>
    <row r="42" spans="1:54" ht="409.5" x14ac:dyDescent="0.25">
      <c r="A42" s="84" t="s">
        <v>49</v>
      </c>
      <c r="B42" s="84" t="s">
        <v>626</v>
      </c>
      <c r="C42" s="816" t="s">
        <v>811</v>
      </c>
      <c r="D42" s="816" t="s">
        <v>812</v>
      </c>
      <c r="E42" s="816" t="s">
        <v>813</v>
      </c>
      <c r="F42" s="84" t="s">
        <v>814</v>
      </c>
      <c r="G42" s="816" t="s">
        <v>815</v>
      </c>
      <c r="H42" s="84" t="s">
        <v>816</v>
      </c>
      <c r="I42" s="84" t="s">
        <v>817</v>
      </c>
      <c r="J42" s="84">
        <v>0</v>
      </c>
      <c r="K42" s="84" t="s">
        <v>323</v>
      </c>
      <c r="L42" s="84">
        <v>42</v>
      </c>
      <c r="M42" s="84">
        <v>10</v>
      </c>
      <c r="N42" s="84" t="s">
        <v>817</v>
      </c>
      <c r="O42" s="84">
        <v>0</v>
      </c>
      <c r="P42" s="85">
        <v>42000</v>
      </c>
      <c r="Q42" s="85"/>
      <c r="R42" s="85"/>
      <c r="S42" s="85"/>
      <c r="T42" s="85"/>
      <c r="U42" s="85">
        <v>42000</v>
      </c>
      <c r="V42" s="85"/>
      <c r="W42" s="85"/>
      <c r="X42" s="85"/>
      <c r="Y42" s="85"/>
      <c r="Z42" s="85"/>
      <c r="AA42" s="85"/>
      <c r="AB42" s="85"/>
      <c r="AC42" s="85"/>
      <c r="AD42" s="85"/>
      <c r="AE42" s="85"/>
      <c r="AF42" s="85"/>
      <c r="AG42" s="85">
        <f t="shared" si="0"/>
        <v>42000</v>
      </c>
      <c r="AH42" s="86" t="s">
        <v>818</v>
      </c>
      <c r="AI42" s="101" t="s">
        <v>634</v>
      </c>
      <c r="AJ42" s="84" t="s">
        <v>819</v>
      </c>
      <c r="AK42" s="84" t="s">
        <v>820</v>
      </c>
      <c r="AL42" s="84" t="s">
        <v>821</v>
      </c>
      <c r="AM42" s="84" t="s">
        <v>822</v>
      </c>
      <c r="AN42" s="84"/>
      <c r="AO42" s="84" t="s">
        <v>395</v>
      </c>
      <c r="AP42" s="84" t="s">
        <v>395</v>
      </c>
      <c r="AQ42" s="84" t="s">
        <v>395</v>
      </c>
      <c r="AR42" s="84" t="s">
        <v>395</v>
      </c>
      <c r="AS42" s="84" t="s">
        <v>395</v>
      </c>
      <c r="AT42" s="84" t="s">
        <v>395</v>
      </c>
      <c r="AU42" s="84" t="s">
        <v>395</v>
      </c>
      <c r="AV42" s="84" t="s">
        <v>395</v>
      </c>
      <c r="AW42" s="84" t="s">
        <v>395</v>
      </c>
      <c r="AX42" s="84" t="s">
        <v>395</v>
      </c>
      <c r="AY42" s="84" t="s">
        <v>395</v>
      </c>
      <c r="AZ42" s="84" t="s">
        <v>742</v>
      </c>
      <c r="BA42" s="84" t="s">
        <v>821</v>
      </c>
      <c r="BB42" s="80"/>
    </row>
    <row r="43" spans="1:54" ht="409.5" x14ac:dyDescent="0.25">
      <c r="A43" s="84" t="s">
        <v>49</v>
      </c>
      <c r="B43" s="84" t="s">
        <v>626</v>
      </c>
      <c r="C43" s="816"/>
      <c r="D43" s="816"/>
      <c r="E43" s="816"/>
      <c r="F43" s="84" t="s">
        <v>814</v>
      </c>
      <c r="G43" s="816"/>
      <c r="H43" s="84" t="s">
        <v>823</v>
      </c>
      <c r="I43" s="84" t="s">
        <v>824</v>
      </c>
      <c r="J43" s="84">
        <v>0.84099999999999997</v>
      </c>
      <c r="K43" s="84" t="s">
        <v>323</v>
      </c>
      <c r="L43" s="89">
        <v>0.88</v>
      </c>
      <c r="M43" s="89">
        <v>0.01</v>
      </c>
      <c r="N43" s="84" t="s">
        <v>824</v>
      </c>
      <c r="O43" s="102">
        <v>0.84099999999999997</v>
      </c>
      <c r="P43" s="85">
        <v>42000</v>
      </c>
      <c r="Q43" s="85"/>
      <c r="R43" s="85"/>
      <c r="S43" s="85"/>
      <c r="T43" s="85"/>
      <c r="U43" s="85">
        <v>42000</v>
      </c>
      <c r="V43" s="85"/>
      <c r="W43" s="85"/>
      <c r="X43" s="85"/>
      <c r="Y43" s="85"/>
      <c r="Z43" s="85"/>
      <c r="AA43" s="85"/>
      <c r="AB43" s="85"/>
      <c r="AC43" s="85"/>
      <c r="AD43" s="85"/>
      <c r="AE43" s="85"/>
      <c r="AF43" s="85"/>
      <c r="AG43" s="85">
        <f t="shared" si="0"/>
        <v>42000</v>
      </c>
      <c r="AH43" s="86" t="s">
        <v>818</v>
      </c>
      <c r="AI43" s="101" t="s">
        <v>634</v>
      </c>
      <c r="AJ43" s="84" t="s">
        <v>825</v>
      </c>
      <c r="AK43" s="84" t="s">
        <v>826</v>
      </c>
      <c r="AL43" s="84" t="s">
        <v>827</v>
      </c>
      <c r="AM43" s="84" t="s">
        <v>828</v>
      </c>
      <c r="AN43" s="84"/>
      <c r="AO43" s="84" t="s">
        <v>395</v>
      </c>
      <c r="AP43" s="84" t="s">
        <v>395</v>
      </c>
      <c r="AQ43" s="84" t="s">
        <v>395</v>
      </c>
      <c r="AR43" s="84" t="s">
        <v>395</v>
      </c>
      <c r="AS43" s="84" t="s">
        <v>395</v>
      </c>
      <c r="AT43" s="84" t="s">
        <v>395</v>
      </c>
      <c r="AU43" s="84" t="s">
        <v>395</v>
      </c>
      <c r="AV43" s="84" t="s">
        <v>395</v>
      </c>
      <c r="AW43" s="84" t="s">
        <v>395</v>
      </c>
      <c r="AX43" s="84" t="s">
        <v>395</v>
      </c>
      <c r="AY43" s="84" t="s">
        <v>395</v>
      </c>
      <c r="AZ43" s="84" t="s">
        <v>742</v>
      </c>
      <c r="BA43" s="84" t="s">
        <v>829</v>
      </c>
      <c r="BB43" s="80"/>
    </row>
    <row r="44" spans="1:54" ht="409.5" x14ac:dyDescent="0.25">
      <c r="A44" s="84" t="s">
        <v>49</v>
      </c>
      <c r="B44" s="84" t="s">
        <v>626</v>
      </c>
      <c r="C44" s="816"/>
      <c r="D44" s="816"/>
      <c r="E44" s="816"/>
      <c r="F44" s="84" t="s">
        <v>814</v>
      </c>
      <c r="G44" s="816"/>
      <c r="H44" s="84" t="s">
        <v>830</v>
      </c>
      <c r="I44" s="84" t="s">
        <v>831</v>
      </c>
      <c r="J44" s="84">
        <v>0.65</v>
      </c>
      <c r="K44" s="84" t="s">
        <v>323</v>
      </c>
      <c r="L44" s="89">
        <v>0.05</v>
      </c>
      <c r="M44" s="89">
        <v>0.01</v>
      </c>
      <c r="N44" s="84" t="s">
        <v>831</v>
      </c>
      <c r="O44" s="90">
        <v>0.65</v>
      </c>
      <c r="P44" s="85">
        <v>42000</v>
      </c>
      <c r="Q44" s="85"/>
      <c r="R44" s="85"/>
      <c r="S44" s="85"/>
      <c r="T44" s="85"/>
      <c r="U44" s="85">
        <v>42000</v>
      </c>
      <c r="V44" s="85"/>
      <c r="W44" s="85"/>
      <c r="X44" s="85"/>
      <c r="Y44" s="85"/>
      <c r="Z44" s="85"/>
      <c r="AA44" s="85"/>
      <c r="AB44" s="85"/>
      <c r="AC44" s="85"/>
      <c r="AD44" s="85"/>
      <c r="AE44" s="85"/>
      <c r="AF44" s="85"/>
      <c r="AG44" s="85">
        <f t="shared" si="0"/>
        <v>42000</v>
      </c>
      <c r="AH44" s="86" t="s">
        <v>818</v>
      </c>
      <c r="AI44" s="101" t="s">
        <v>634</v>
      </c>
      <c r="AJ44" s="84" t="s">
        <v>832</v>
      </c>
      <c r="AK44" s="84" t="s">
        <v>833</v>
      </c>
      <c r="AL44" s="84" t="s">
        <v>834</v>
      </c>
      <c r="AM44" s="84" t="s">
        <v>835</v>
      </c>
      <c r="AN44" s="84"/>
      <c r="AO44" s="84" t="s">
        <v>395</v>
      </c>
      <c r="AP44" s="84" t="s">
        <v>395</v>
      </c>
      <c r="AQ44" s="84" t="s">
        <v>395</v>
      </c>
      <c r="AR44" s="84" t="s">
        <v>395</v>
      </c>
      <c r="AS44" s="84" t="s">
        <v>395</v>
      </c>
      <c r="AT44" s="84" t="s">
        <v>395</v>
      </c>
      <c r="AU44" s="84" t="s">
        <v>395</v>
      </c>
      <c r="AV44" s="84" t="s">
        <v>395</v>
      </c>
      <c r="AW44" s="84" t="s">
        <v>395</v>
      </c>
      <c r="AX44" s="84" t="s">
        <v>395</v>
      </c>
      <c r="AY44" s="84" t="s">
        <v>395</v>
      </c>
      <c r="AZ44" s="84" t="s">
        <v>742</v>
      </c>
      <c r="BA44" s="84" t="s">
        <v>836</v>
      </c>
      <c r="BB44" s="80"/>
    </row>
    <row r="45" spans="1:54" ht="375" x14ac:dyDescent="0.25">
      <c r="A45" s="84" t="s">
        <v>49</v>
      </c>
      <c r="B45" s="84" t="s">
        <v>626</v>
      </c>
      <c r="C45" s="816" t="s">
        <v>837</v>
      </c>
      <c r="D45" s="816" t="s">
        <v>838</v>
      </c>
      <c r="E45" s="816" t="s">
        <v>839</v>
      </c>
      <c r="F45" s="84" t="s">
        <v>814</v>
      </c>
      <c r="G45" s="816"/>
      <c r="H45" s="84" t="s">
        <v>840</v>
      </c>
      <c r="I45" s="84" t="s">
        <v>841</v>
      </c>
      <c r="J45" s="84">
        <v>15</v>
      </c>
      <c r="K45" s="84" t="s">
        <v>323</v>
      </c>
      <c r="L45" s="84">
        <v>27</v>
      </c>
      <c r="M45" s="84">
        <v>8</v>
      </c>
      <c r="N45" s="84" t="s">
        <v>841</v>
      </c>
      <c r="O45" s="84">
        <v>15</v>
      </c>
      <c r="P45" s="85">
        <v>26250</v>
      </c>
      <c r="Q45" s="85"/>
      <c r="R45" s="85"/>
      <c r="S45" s="85"/>
      <c r="T45" s="85"/>
      <c r="U45" s="85">
        <v>26250</v>
      </c>
      <c r="V45" s="85"/>
      <c r="W45" s="85"/>
      <c r="X45" s="85"/>
      <c r="Y45" s="85"/>
      <c r="Z45" s="85"/>
      <c r="AA45" s="85"/>
      <c r="AB45" s="85"/>
      <c r="AC45" s="85"/>
      <c r="AD45" s="85"/>
      <c r="AE45" s="85"/>
      <c r="AF45" s="85"/>
      <c r="AG45" s="85">
        <f t="shared" si="0"/>
        <v>26250</v>
      </c>
      <c r="AH45" s="86" t="s">
        <v>818</v>
      </c>
      <c r="AI45" s="101" t="s">
        <v>634</v>
      </c>
      <c r="AJ45" s="84" t="s">
        <v>842</v>
      </c>
      <c r="AK45" s="84" t="s">
        <v>843</v>
      </c>
      <c r="AL45" s="84" t="s">
        <v>844</v>
      </c>
      <c r="AM45" s="84" t="s">
        <v>845</v>
      </c>
      <c r="AN45" s="84"/>
      <c r="AO45" s="84" t="s">
        <v>395</v>
      </c>
      <c r="AP45" s="84" t="s">
        <v>395</v>
      </c>
      <c r="AQ45" s="84" t="s">
        <v>395</v>
      </c>
      <c r="AR45" s="84" t="s">
        <v>395</v>
      </c>
      <c r="AS45" s="84" t="s">
        <v>395</v>
      </c>
      <c r="AT45" s="84" t="s">
        <v>395</v>
      </c>
      <c r="AU45" s="84" t="s">
        <v>395</v>
      </c>
      <c r="AV45" s="84" t="s">
        <v>395</v>
      </c>
      <c r="AW45" s="84" t="s">
        <v>395</v>
      </c>
      <c r="AX45" s="84" t="s">
        <v>395</v>
      </c>
      <c r="AY45" s="84" t="s">
        <v>395</v>
      </c>
      <c r="AZ45" s="84" t="s">
        <v>742</v>
      </c>
      <c r="BA45" s="84" t="s">
        <v>846</v>
      </c>
      <c r="BB45" s="80"/>
    </row>
    <row r="46" spans="1:54" ht="300" x14ac:dyDescent="0.25">
      <c r="A46" s="84" t="s">
        <v>49</v>
      </c>
      <c r="B46" s="84" t="s">
        <v>626</v>
      </c>
      <c r="C46" s="816"/>
      <c r="D46" s="816"/>
      <c r="E46" s="816"/>
      <c r="F46" s="84" t="s">
        <v>814</v>
      </c>
      <c r="G46" s="816"/>
      <c r="H46" s="84" t="s">
        <v>847</v>
      </c>
      <c r="I46" s="84" t="s">
        <v>848</v>
      </c>
      <c r="J46" s="84">
        <v>5</v>
      </c>
      <c r="K46" s="84" t="s">
        <v>323</v>
      </c>
      <c r="L46" s="84">
        <v>37</v>
      </c>
      <c r="M46" s="84">
        <v>10</v>
      </c>
      <c r="N46" s="84" t="s">
        <v>848</v>
      </c>
      <c r="O46" s="84">
        <v>5</v>
      </c>
      <c r="P46" s="85">
        <v>26250</v>
      </c>
      <c r="Q46" s="85"/>
      <c r="R46" s="85"/>
      <c r="S46" s="85"/>
      <c r="T46" s="85"/>
      <c r="U46" s="85">
        <v>26250</v>
      </c>
      <c r="V46" s="85"/>
      <c r="W46" s="85"/>
      <c r="X46" s="85"/>
      <c r="Y46" s="85"/>
      <c r="Z46" s="85"/>
      <c r="AA46" s="85"/>
      <c r="AB46" s="85"/>
      <c r="AC46" s="85"/>
      <c r="AD46" s="85"/>
      <c r="AE46" s="85"/>
      <c r="AF46" s="85"/>
      <c r="AG46" s="85">
        <f t="shared" si="0"/>
        <v>26250</v>
      </c>
      <c r="AH46" s="86" t="s">
        <v>818</v>
      </c>
      <c r="AI46" s="101" t="s">
        <v>634</v>
      </c>
      <c r="AJ46" s="84" t="s">
        <v>849</v>
      </c>
      <c r="AK46" s="84" t="s">
        <v>843</v>
      </c>
      <c r="AL46" s="84" t="s">
        <v>844</v>
      </c>
      <c r="AM46" s="84" t="s">
        <v>850</v>
      </c>
      <c r="AN46" s="84"/>
      <c r="AO46" s="84" t="s">
        <v>395</v>
      </c>
      <c r="AP46" s="84" t="s">
        <v>395</v>
      </c>
      <c r="AQ46" s="84" t="s">
        <v>395</v>
      </c>
      <c r="AR46" s="84" t="s">
        <v>395</v>
      </c>
      <c r="AS46" s="84" t="s">
        <v>395</v>
      </c>
      <c r="AT46" s="84" t="s">
        <v>395</v>
      </c>
      <c r="AU46" s="84" t="s">
        <v>395</v>
      </c>
      <c r="AV46" s="84" t="s">
        <v>395</v>
      </c>
      <c r="AW46" s="84" t="s">
        <v>395</v>
      </c>
      <c r="AX46" s="84" t="s">
        <v>395</v>
      </c>
      <c r="AY46" s="84" t="s">
        <v>395</v>
      </c>
      <c r="AZ46" s="84" t="s">
        <v>742</v>
      </c>
      <c r="BA46" s="84" t="s">
        <v>846</v>
      </c>
      <c r="BB46" s="80"/>
    </row>
    <row r="47" spans="1:54" ht="255" x14ac:dyDescent="0.25">
      <c r="A47" s="84" t="s">
        <v>49</v>
      </c>
      <c r="B47" s="84" t="s">
        <v>626</v>
      </c>
      <c r="C47" s="816"/>
      <c r="D47" s="816"/>
      <c r="E47" s="816"/>
      <c r="F47" s="84" t="s">
        <v>814</v>
      </c>
      <c r="G47" s="816"/>
      <c r="H47" s="84" t="s">
        <v>851</v>
      </c>
      <c r="I47" s="84" t="s">
        <v>852</v>
      </c>
      <c r="J47" s="84">
        <v>0.1</v>
      </c>
      <c r="K47" s="84" t="s">
        <v>323</v>
      </c>
      <c r="L47" s="89">
        <v>0.15</v>
      </c>
      <c r="M47" s="89">
        <v>0.04</v>
      </c>
      <c r="N47" s="84" t="s">
        <v>852</v>
      </c>
      <c r="O47" s="90">
        <v>0.1</v>
      </c>
      <c r="P47" s="85">
        <v>26250</v>
      </c>
      <c r="Q47" s="85"/>
      <c r="R47" s="85"/>
      <c r="S47" s="85"/>
      <c r="T47" s="85"/>
      <c r="U47" s="85">
        <v>26250</v>
      </c>
      <c r="V47" s="85"/>
      <c r="W47" s="85"/>
      <c r="X47" s="85"/>
      <c r="Y47" s="85"/>
      <c r="Z47" s="85"/>
      <c r="AA47" s="85"/>
      <c r="AB47" s="85"/>
      <c r="AC47" s="85"/>
      <c r="AD47" s="85"/>
      <c r="AE47" s="85"/>
      <c r="AF47" s="85"/>
      <c r="AG47" s="85">
        <f t="shared" si="0"/>
        <v>26250</v>
      </c>
      <c r="AH47" s="86" t="s">
        <v>818</v>
      </c>
      <c r="AI47" s="101" t="s">
        <v>634</v>
      </c>
      <c r="AJ47" s="84" t="s">
        <v>849</v>
      </c>
      <c r="AK47" s="84" t="s">
        <v>843</v>
      </c>
      <c r="AL47" s="84" t="s">
        <v>844</v>
      </c>
      <c r="AM47" s="84" t="s">
        <v>853</v>
      </c>
      <c r="AN47" s="84"/>
      <c r="AO47" s="84" t="s">
        <v>395</v>
      </c>
      <c r="AP47" s="84" t="s">
        <v>395</v>
      </c>
      <c r="AQ47" s="84" t="s">
        <v>395</v>
      </c>
      <c r="AR47" s="84" t="s">
        <v>395</v>
      </c>
      <c r="AS47" s="84" t="s">
        <v>395</v>
      </c>
      <c r="AT47" s="84" t="s">
        <v>395</v>
      </c>
      <c r="AU47" s="84" t="s">
        <v>395</v>
      </c>
      <c r="AV47" s="84" t="s">
        <v>395</v>
      </c>
      <c r="AW47" s="84" t="s">
        <v>395</v>
      </c>
      <c r="AX47" s="84" t="s">
        <v>395</v>
      </c>
      <c r="AY47" s="84" t="s">
        <v>395</v>
      </c>
      <c r="AZ47" s="84" t="s">
        <v>742</v>
      </c>
      <c r="BA47" s="84" t="s">
        <v>846</v>
      </c>
      <c r="BB47" s="80"/>
    </row>
    <row r="48" spans="1:54" ht="255" x14ac:dyDescent="0.25">
      <c r="A48" s="84" t="s">
        <v>49</v>
      </c>
      <c r="B48" s="84" t="s">
        <v>626</v>
      </c>
      <c r="C48" s="84" t="s">
        <v>854</v>
      </c>
      <c r="D48" s="84" t="s">
        <v>855</v>
      </c>
      <c r="E48" s="84">
        <v>0</v>
      </c>
      <c r="F48" s="84" t="s">
        <v>814</v>
      </c>
      <c r="G48" s="816"/>
      <c r="H48" s="84" t="s">
        <v>856</v>
      </c>
      <c r="I48" s="84" t="s">
        <v>857</v>
      </c>
      <c r="J48" s="84">
        <v>0</v>
      </c>
      <c r="K48" s="84" t="s">
        <v>323</v>
      </c>
      <c r="L48" s="84">
        <v>42</v>
      </c>
      <c r="M48" s="84">
        <v>10</v>
      </c>
      <c r="N48" s="84" t="s">
        <v>857</v>
      </c>
      <c r="O48" s="84">
        <v>0</v>
      </c>
      <c r="P48" s="85">
        <v>26250</v>
      </c>
      <c r="Q48" s="85"/>
      <c r="R48" s="85"/>
      <c r="S48" s="85"/>
      <c r="T48" s="85"/>
      <c r="U48" s="85">
        <v>26250</v>
      </c>
      <c r="V48" s="85"/>
      <c r="W48" s="85"/>
      <c r="X48" s="85"/>
      <c r="Y48" s="85"/>
      <c r="Z48" s="85"/>
      <c r="AA48" s="85"/>
      <c r="AB48" s="85"/>
      <c r="AC48" s="85"/>
      <c r="AD48" s="85"/>
      <c r="AE48" s="85"/>
      <c r="AF48" s="85"/>
      <c r="AG48" s="85">
        <f t="shared" si="0"/>
        <v>26250</v>
      </c>
      <c r="AH48" s="86" t="s">
        <v>818</v>
      </c>
      <c r="AI48" s="101" t="s">
        <v>634</v>
      </c>
      <c r="AJ48" s="84" t="s">
        <v>849</v>
      </c>
      <c r="AK48" s="84" t="s">
        <v>843</v>
      </c>
      <c r="AL48" s="84" t="s">
        <v>858</v>
      </c>
      <c r="AM48" s="84" t="s">
        <v>859</v>
      </c>
      <c r="AN48" s="84"/>
      <c r="AO48" s="84" t="s">
        <v>395</v>
      </c>
      <c r="AP48" s="84" t="s">
        <v>395</v>
      </c>
      <c r="AQ48" s="84" t="s">
        <v>395</v>
      </c>
      <c r="AR48" s="84" t="s">
        <v>395</v>
      </c>
      <c r="AS48" s="84" t="s">
        <v>395</v>
      </c>
      <c r="AT48" s="84" t="s">
        <v>395</v>
      </c>
      <c r="AU48" s="84" t="s">
        <v>395</v>
      </c>
      <c r="AV48" s="84" t="s">
        <v>395</v>
      </c>
      <c r="AW48" s="84" t="s">
        <v>395</v>
      </c>
      <c r="AX48" s="84" t="s">
        <v>395</v>
      </c>
      <c r="AY48" s="84" t="s">
        <v>395</v>
      </c>
      <c r="AZ48" s="84" t="s">
        <v>742</v>
      </c>
      <c r="BA48" s="84" t="s">
        <v>846</v>
      </c>
      <c r="BB48" s="80"/>
    </row>
    <row r="49" spans="1:54" ht="409.5" x14ac:dyDescent="0.25">
      <c r="A49" s="84" t="s">
        <v>49</v>
      </c>
      <c r="B49" s="84" t="s">
        <v>626</v>
      </c>
      <c r="C49" s="84" t="s">
        <v>860</v>
      </c>
      <c r="D49" s="84" t="s">
        <v>861</v>
      </c>
      <c r="E49" s="84" t="s">
        <v>862</v>
      </c>
      <c r="F49" s="84" t="s">
        <v>814</v>
      </c>
      <c r="G49" s="816"/>
      <c r="H49" s="84" t="s">
        <v>863</v>
      </c>
      <c r="I49" s="84" t="s">
        <v>864</v>
      </c>
      <c r="J49" s="84">
        <v>21</v>
      </c>
      <c r="K49" s="84" t="s">
        <v>323</v>
      </c>
      <c r="L49" s="84">
        <v>21</v>
      </c>
      <c r="M49" s="84">
        <v>5</v>
      </c>
      <c r="N49" s="84" t="s">
        <v>864</v>
      </c>
      <c r="O49" s="84">
        <v>21</v>
      </c>
      <c r="P49" s="85">
        <v>26250</v>
      </c>
      <c r="Q49" s="85"/>
      <c r="R49" s="85"/>
      <c r="S49" s="85"/>
      <c r="T49" s="85"/>
      <c r="U49" s="85">
        <v>26250</v>
      </c>
      <c r="V49" s="85"/>
      <c r="W49" s="85"/>
      <c r="X49" s="85"/>
      <c r="Y49" s="85"/>
      <c r="Z49" s="85"/>
      <c r="AA49" s="85"/>
      <c r="AB49" s="85"/>
      <c r="AC49" s="85"/>
      <c r="AD49" s="85"/>
      <c r="AE49" s="85"/>
      <c r="AF49" s="85"/>
      <c r="AG49" s="85">
        <f t="shared" si="0"/>
        <v>26250</v>
      </c>
      <c r="AH49" s="86" t="s">
        <v>818</v>
      </c>
      <c r="AI49" s="101" t="s">
        <v>634</v>
      </c>
      <c r="AJ49" s="84" t="s">
        <v>865</v>
      </c>
      <c r="AK49" s="84" t="s">
        <v>866</v>
      </c>
      <c r="AL49" s="84" t="s">
        <v>867</v>
      </c>
      <c r="AM49" s="84" t="s">
        <v>868</v>
      </c>
      <c r="AN49" s="84"/>
      <c r="AO49" s="84" t="s">
        <v>395</v>
      </c>
      <c r="AP49" s="84" t="s">
        <v>395</v>
      </c>
      <c r="AQ49" s="84" t="s">
        <v>395</v>
      </c>
      <c r="AR49" s="84" t="s">
        <v>395</v>
      </c>
      <c r="AS49" s="84" t="s">
        <v>395</v>
      </c>
      <c r="AT49" s="84" t="s">
        <v>395</v>
      </c>
      <c r="AU49" s="84" t="s">
        <v>395</v>
      </c>
      <c r="AV49" s="84" t="s">
        <v>395</v>
      </c>
      <c r="AW49" s="84" t="s">
        <v>395</v>
      </c>
      <c r="AX49" s="84" t="s">
        <v>395</v>
      </c>
      <c r="AY49" s="84" t="s">
        <v>395</v>
      </c>
      <c r="AZ49" s="84" t="s">
        <v>742</v>
      </c>
      <c r="BA49" s="84" t="s">
        <v>869</v>
      </c>
      <c r="BB49" s="80"/>
    </row>
    <row r="50" spans="1:54" ht="409.5" x14ac:dyDescent="0.25">
      <c r="A50" s="84" t="s">
        <v>49</v>
      </c>
      <c r="B50" s="84" t="s">
        <v>626</v>
      </c>
      <c r="C50" s="84" t="s">
        <v>870</v>
      </c>
      <c r="D50" s="84" t="s">
        <v>871</v>
      </c>
      <c r="E50" s="84">
        <v>7.0000000000000007E-2</v>
      </c>
      <c r="F50" s="84" t="s">
        <v>814</v>
      </c>
      <c r="G50" s="816"/>
      <c r="H50" s="84" t="s">
        <v>872</v>
      </c>
      <c r="I50" s="84" t="s">
        <v>873</v>
      </c>
      <c r="J50" s="84">
        <v>21</v>
      </c>
      <c r="K50" s="84" t="s">
        <v>323</v>
      </c>
      <c r="L50" s="84">
        <v>21</v>
      </c>
      <c r="M50" s="84">
        <v>5</v>
      </c>
      <c r="N50" s="84" t="s">
        <v>873</v>
      </c>
      <c r="O50" s="84">
        <v>21</v>
      </c>
      <c r="P50" s="85">
        <v>26250</v>
      </c>
      <c r="Q50" s="85"/>
      <c r="R50" s="85"/>
      <c r="S50" s="85"/>
      <c r="T50" s="85"/>
      <c r="U50" s="85">
        <v>26250</v>
      </c>
      <c r="V50" s="85"/>
      <c r="W50" s="85"/>
      <c r="X50" s="85"/>
      <c r="Y50" s="85"/>
      <c r="Z50" s="85"/>
      <c r="AA50" s="85"/>
      <c r="AB50" s="85"/>
      <c r="AC50" s="85"/>
      <c r="AD50" s="85"/>
      <c r="AE50" s="85"/>
      <c r="AF50" s="85"/>
      <c r="AG50" s="85">
        <f t="shared" si="0"/>
        <v>26250</v>
      </c>
      <c r="AH50" s="86" t="s">
        <v>818</v>
      </c>
      <c r="AI50" s="101" t="s">
        <v>634</v>
      </c>
      <c r="AJ50" s="84" t="s">
        <v>874</v>
      </c>
      <c r="AK50" s="84" t="s">
        <v>875</v>
      </c>
      <c r="AL50" s="84" t="s">
        <v>876</v>
      </c>
      <c r="AM50" s="84" t="s">
        <v>877</v>
      </c>
      <c r="AN50" s="84"/>
      <c r="AO50" s="84" t="s">
        <v>395</v>
      </c>
      <c r="AP50" s="84" t="s">
        <v>395</v>
      </c>
      <c r="AQ50" s="84" t="s">
        <v>395</v>
      </c>
      <c r="AR50" s="84" t="s">
        <v>395</v>
      </c>
      <c r="AS50" s="84" t="s">
        <v>395</v>
      </c>
      <c r="AT50" s="84" t="s">
        <v>395</v>
      </c>
      <c r="AU50" s="84" t="s">
        <v>395</v>
      </c>
      <c r="AV50" s="84" t="s">
        <v>395</v>
      </c>
      <c r="AW50" s="84" t="s">
        <v>395</v>
      </c>
      <c r="AX50" s="84" t="s">
        <v>395</v>
      </c>
      <c r="AY50" s="84" t="s">
        <v>395</v>
      </c>
      <c r="AZ50" s="84" t="s">
        <v>742</v>
      </c>
      <c r="BA50" s="84" t="s">
        <v>878</v>
      </c>
      <c r="BB50" s="80"/>
    </row>
    <row r="51" spans="1:54" ht="409.5" x14ac:dyDescent="0.25">
      <c r="A51" s="84" t="s">
        <v>49</v>
      </c>
      <c r="B51" s="84" t="s">
        <v>626</v>
      </c>
      <c r="C51" s="84" t="s">
        <v>879</v>
      </c>
      <c r="D51" s="84" t="s">
        <v>880</v>
      </c>
      <c r="E51" s="84" t="s">
        <v>881</v>
      </c>
      <c r="F51" s="84" t="s">
        <v>814</v>
      </c>
      <c r="G51" s="816"/>
      <c r="H51" s="84" t="s">
        <v>882</v>
      </c>
      <c r="I51" s="84" t="s">
        <v>883</v>
      </c>
      <c r="J51" s="84">
        <v>21</v>
      </c>
      <c r="K51" s="84" t="s">
        <v>323</v>
      </c>
      <c r="L51" s="84">
        <v>21</v>
      </c>
      <c r="M51" s="84">
        <v>5</v>
      </c>
      <c r="N51" s="84" t="s">
        <v>883</v>
      </c>
      <c r="O51" s="84">
        <v>21</v>
      </c>
      <c r="P51" s="85">
        <v>38850</v>
      </c>
      <c r="Q51" s="85"/>
      <c r="R51" s="85"/>
      <c r="S51" s="85"/>
      <c r="T51" s="85"/>
      <c r="U51" s="85">
        <v>38850</v>
      </c>
      <c r="V51" s="85"/>
      <c r="W51" s="85"/>
      <c r="X51" s="85"/>
      <c r="Y51" s="85"/>
      <c r="Z51" s="85"/>
      <c r="AA51" s="85"/>
      <c r="AB51" s="85"/>
      <c r="AC51" s="85"/>
      <c r="AD51" s="85"/>
      <c r="AE51" s="85"/>
      <c r="AF51" s="85"/>
      <c r="AG51" s="85">
        <f t="shared" si="0"/>
        <v>38850</v>
      </c>
      <c r="AH51" s="86" t="s">
        <v>818</v>
      </c>
      <c r="AI51" s="101" t="s">
        <v>634</v>
      </c>
      <c r="AJ51" s="84" t="s">
        <v>884</v>
      </c>
      <c r="AK51" s="84" t="s">
        <v>826</v>
      </c>
      <c r="AL51" s="84" t="s">
        <v>885</v>
      </c>
      <c r="AM51" s="84" t="s">
        <v>886</v>
      </c>
      <c r="AN51" s="84"/>
      <c r="AO51" s="84" t="s">
        <v>395</v>
      </c>
      <c r="AP51" s="84" t="s">
        <v>395</v>
      </c>
      <c r="AQ51" s="84" t="s">
        <v>395</v>
      </c>
      <c r="AR51" s="84" t="s">
        <v>395</v>
      </c>
      <c r="AS51" s="84" t="s">
        <v>395</v>
      </c>
      <c r="AT51" s="84" t="s">
        <v>395</v>
      </c>
      <c r="AU51" s="84" t="s">
        <v>395</v>
      </c>
      <c r="AV51" s="84" t="s">
        <v>395</v>
      </c>
      <c r="AW51" s="84" t="s">
        <v>395</v>
      </c>
      <c r="AX51" s="84" t="s">
        <v>395</v>
      </c>
      <c r="AY51" s="84" t="s">
        <v>395</v>
      </c>
      <c r="AZ51" s="84" t="s">
        <v>742</v>
      </c>
      <c r="BA51" s="84" t="s">
        <v>887</v>
      </c>
      <c r="BB51" s="80"/>
    </row>
    <row r="52" spans="1:54" ht="409.5" x14ac:dyDescent="0.25">
      <c r="A52" s="84" t="s">
        <v>49</v>
      </c>
      <c r="B52" s="84" t="s">
        <v>626</v>
      </c>
      <c r="C52" s="84" t="s">
        <v>888</v>
      </c>
      <c r="D52" s="84" t="s">
        <v>889</v>
      </c>
      <c r="E52" s="84">
        <v>0.76</v>
      </c>
      <c r="F52" s="84" t="s">
        <v>814</v>
      </c>
      <c r="G52" s="816"/>
      <c r="H52" s="84" t="s">
        <v>890</v>
      </c>
      <c r="I52" s="84" t="s">
        <v>891</v>
      </c>
      <c r="J52" s="84">
        <v>21</v>
      </c>
      <c r="K52" s="84" t="s">
        <v>323</v>
      </c>
      <c r="L52" s="84">
        <v>21</v>
      </c>
      <c r="M52" s="84">
        <v>5</v>
      </c>
      <c r="N52" s="84" t="s">
        <v>891</v>
      </c>
      <c r="O52" s="84">
        <v>21</v>
      </c>
      <c r="P52" s="85">
        <v>18480</v>
      </c>
      <c r="Q52" s="85"/>
      <c r="R52" s="85"/>
      <c r="S52" s="85"/>
      <c r="T52" s="85"/>
      <c r="U52" s="85">
        <v>18480</v>
      </c>
      <c r="V52" s="85"/>
      <c r="W52" s="85"/>
      <c r="X52" s="85"/>
      <c r="Y52" s="85"/>
      <c r="Z52" s="85"/>
      <c r="AA52" s="85"/>
      <c r="AB52" s="85"/>
      <c r="AC52" s="85"/>
      <c r="AD52" s="85"/>
      <c r="AE52" s="85"/>
      <c r="AF52" s="85"/>
      <c r="AG52" s="85">
        <f t="shared" si="0"/>
        <v>18480</v>
      </c>
      <c r="AH52" s="86" t="s">
        <v>818</v>
      </c>
      <c r="AI52" s="101" t="s">
        <v>634</v>
      </c>
      <c r="AJ52" s="84" t="s">
        <v>892</v>
      </c>
      <c r="AK52" s="84" t="s">
        <v>893</v>
      </c>
      <c r="AL52" s="84" t="s">
        <v>894</v>
      </c>
      <c r="AM52" s="91" t="s">
        <v>895</v>
      </c>
      <c r="AN52" s="84"/>
      <c r="AO52" s="84" t="s">
        <v>395</v>
      </c>
      <c r="AP52" s="84" t="s">
        <v>395</v>
      </c>
      <c r="AQ52" s="84" t="s">
        <v>395</v>
      </c>
      <c r="AR52" s="84" t="s">
        <v>395</v>
      </c>
      <c r="AS52" s="84" t="s">
        <v>395</v>
      </c>
      <c r="AT52" s="84" t="s">
        <v>395</v>
      </c>
      <c r="AU52" s="84" t="s">
        <v>395</v>
      </c>
      <c r="AV52" s="84" t="s">
        <v>395</v>
      </c>
      <c r="AW52" s="84" t="s">
        <v>395</v>
      </c>
      <c r="AX52" s="84" t="s">
        <v>395</v>
      </c>
      <c r="AY52" s="84" t="s">
        <v>395</v>
      </c>
      <c r="AZ52" s="84" t="s">
        <v>742</v>
      </c>
      <c r="BA52" s="84" t="s">
        <v>896</v>
      </c>
      <c r="BB52" s="80"/>
    </row>
    <row r="53" spans="1:54" ht="405" x14ac:dyDescent="0.25">
      <c r="A53" s="84" t="s">
        <v>49</v>
      </c>
      <c r="B53" s="84" t="s">
        <v>626</v>
      </c>
      <c r="C53" s="84" t="s">
        <v>897</v>
      </c>
      <c r="D53" s="84" t="s">
        <v>898</v>
      </c>
      <c r="E53" s="84">
        <v>0.5</v>
      </c>
      <c r="F53" s="84" t="s">
        <v>814</v>
      </c>
      <c r="G53" s="816"/>
      <c r="H53" s="84" t="s">
        <v>899</v>
      </c>
      <c r="I53" s="84" t="s">
        <v>900</v>
      </c>
      <c r="J53" s="84">
        <v>21</v>
      </c>
      <c r="K53" s="84" t="s">
        <v>323</v>
      </c>
      <c r="L53" s="84">
        <v>21</v>
      </c>
      <c r="M53" s="84">
        <v>5</v>
      </c>
      <c r="N53" s="84" t="s">
        <v>900</v>
      </c>
      <c r="O53" s="84">
        <v>21</v>
      </c>
      <c r="P53" s="85">
        <v>24150</v>
      </c>
      <c r="Q53" s="85"/>
      <c r="R53" s="85"/>
      <c r="S53" s="85"/>
      <c r="T53" s="85"/>
      <c r="U53" s="85">
        <v>24150</v>
      </c>
      <c r="V53" s="85"/>
      <c r="W53" s="85"/>
      <c r="X53" s="85"/>
      <c r="Y53" s="85"/>
      <c r="Z53" s="85"/>
      <c r="AA53" s="85"/>
      <c r="AB53" s="85"/>
      <c r="AC53" s="85"/>
      <c r="AD53" s="85"/>
      <c r="AE53" s="85"/>
      <c r="AF53" s="85"/>
      <c r="AG53" s="85">
        <f t="shared" si="0"/>
        <v>24150</v>
      </c>
      <c r="AH53" s="86" t="s">
        <v>818</v>
      </c>
      <c r="AI53" s="101" t="s">
        <v>634</v>
      </c>
      <c r="AJ53" s="84" t="s">
        <v>901</v>
      </c>
      <c r="AK53" s="84" t="s">
        <v>902</v>
      </c>
      <c r="AL53" s="84" t="s">
        <v>903</v>
      </c>
      <c r="AM53" s="84" t="s">
        <v>904</v>
      </c>
      <c r="AN53" s="84"/>
      <c r="AO53" s="84" t="s">
        <v>395</v>
      </c>
      <c r="AP53" s="84" t="s">
        <v>395</v>
      </c>
      <c r="AQ53" s="84" t="s">
        <v>395</v>
      </c>
      <c r="AR53" s="84" t="s">
        <v>395</v>
      </c>
      <c r="AS53" s="84" t="s">
        <v>395</v>
      </c>
      <c r="AT53" s="84" t="s">
        <v>395</v>
      </c>
      <c r="AU53" s="84" t="s">
        <v>395</v>
      </c>
      <c r="AV53" s="84" t="s">
        <v>395</v>
      </c>
      <c r="AW53" s="84" t="s">
        <v>395</v>
      </c>
      <c r="AX53" s="84" t="s">
        <v>395</v>
      </c>
      <c r="AY53" s="84" t="s">
        <v>395</v>
      </c>
      <c r="AZ53" s="84" t="s">
        <v>742</v>
      </c>
      <c r="BA53" s="84" t="s">
        <v>905</v>
      </c>
      <c r="BB53" s="80"/>
    </row>
    <row r="54" spans="1:54" ht="409.5" x14ac:dyDescent="0.25">
      <c r="A54" s="84" t="s">
        <v>49</v>
      </c>
      <c r="B54" s="84" t="s">
        <v>626</v>
      </c>
      <c r="C54" s="84" t="s">
        <v>906</v>
      </c>
      <c r="D54" s="84" t="s">
        <v>907</v>
      </c>
      <c r="E54" s="84">
        <v>2.3E-2</v>
      </c>
      <c r="F54" s="84" t="s">
        <v>814</v>
      </c>
      <c r="G54" s="816"/>
      <c r="H54" s="84" t="s">
        <v>908</v>
      </c>
      <c r="I54" s="84" t="s">
        <v>909</v>
      </c>
      <c r="J54" s="84">
        <v>2</v>
      </c>
      <c r="K54" s="84" t="s">
        <v>323</v>
      </c>
      <c r="L54" s="84">
        <v>14</v>
      </c>
      <c r="M54" s="84">
        <v>4</v>
      </c>
      <c r="N54" s="84" t="s">
        <v>909</v>
      </c>
      <c r="O54" s="84">
        <v>2</v>
      </c>
      <c r="P54" s="85">
        <v>63000</v>
      </c>
      <c r="Q54" s="85"/>
      <c r="R54" s="85"/>
      <c r="S54" s="85"/>
      <c r="T54" s="85"/>
      <c r="U54" s="85">
        <v>63000</v>
      </c>
      <c r="V54" s="85"/>
      <c r="W54" s="85"/>
      <c r="X54" s="85"/>
      <c r="Y54" s="85"/>
      <c r="Z54" s="85"/>
      <c r="AA54" s="85"/>
      <c r="AB54" s="85"/>
      <c r="AC54" s="85"/>
      <c r="AD54" s="85"/>
      <c r="AE54" s="85"/>
      <c r="AF54" s="85"/>
      <c r="AG54" s="85">
        <f t="shared" si="0"/>
        <v>63000</v>
      </c>
      <c r="AH54" s="86" t="s">
        <v>818</v>
      </c>
      <c r="AI54" s="101" t="s">
        <v>634</v>
      </c>
      <c r="AJ54" s="84" t="s">
        <v>910</v>
      </c>
      <c r="AK54" s="84" t="s">
        <v>911</v>
      </c>
      <c r="AL54" s="84" t="s">
        <v>912</v>
      </c>
      <c r="AM54" s="84" t="s">
        <v>913</v>
      </c>
      <c r="AN54" s="84"/>
      <c r="AO54" s="84" t="s">
        <v>395</v>
      </c>
      <c r="AP54" s="84" t="s">
        <v>395</v>
      </c>
      <c r="AQ54" s="84" t="s">
        <v>395</v>
      </c>
      <c r="AR54" s="84" t="s">
        <v>395</v>
      </c>
      <c r="AS54" s="84" t="s">
        <v>395</v>
      </c>
      <c r="AT54" s="84" t="s">
        <v>395</v>
      </c>
      <c r="AU54" s="84" t="s">
        <v>395</v>
      </c>
      <c r="AV54" s="84" t="s">
        <v>395</v>
      </c>
      <c r="AW54" s="84" t="s">
        <v>395</v>
      </c>
      <c r="AX54" s="84" t="s">
        <v>395</v>
      </c>
      <c r="AY54" s="84" t="s">
        <v>395</v>
      </c>
      <c r="AZ54" s="84" t="s">
        <v>742</v>
      </c>
      <c r="BA54" s="84" t="s">
        <v>914</v>
      </c>
      <c r="BB54" s="80"/>
    </row>
    <row r="55" spans="1:54" ht="409.5" x14ac:dyDescent="0.25">
      <c r="A55" s="84" t="s">
        <v>49</v>
      </c>
      <c r="B55" s="84" t="s">
        <v>626</v>
      </c>
      <c r="C55" s="84" t="s">
        <v>915</v>
      </c>
      <c r="D55" s="84" t="s">
        <v>916</v>
      </c>
      <c r="E55" s="84" t="s">
        <v>917</v>
      </c>
      <c r="F55" s="84" t="s">
        <v>814</v>
      </c>
      <c r="G55" s="816"/>
      <c r="H55" s="84" t="s">
        <v>918</v>
      </c>
      <c r="I55" s="84" t="s">
        <v>919</v>
      </c>
      <c r="J55" s="84">
        <v>15</v>
      </c>
      <c r="K55" s="84" t="s">
        <v>323</v>
      </c>
      <c r="L55" s="84">
        <v>21</v>
      </c>
      <c r="M55" s="84">
        <v>5</v>
      </c>
      <c r="N55" s="84" t="s">
        <v>919</v>
      </c>
      <c r="O55" s="84">
        <v>15</v>
      </c>
      <c r="P55" s="85">
        <v>36750</v>
      </c>
      <c r="Q55" s="85"/>
      <c r="R55" s="85"/>
      <c r="S55" s="85"/>
      <c r="T55" s="85"/>
      <c r="U55" s="85">
        <v>36750</v>
      </c>
      <c r="V55" s="85"/>
      <c r="W55" s="85"/>
      <c r="X55" s="85"/>
      <c r="Y55" s="85"/>
      <c r="Z55" s="85"/>
      <c r="AA55" s="85"/>
      <c r="AB55" s="85"/>
      <c r="AC55" s="85"/>
      <c r="AD55" s="85"/>
      <c r="AE55" s="85"/>
      <c r="AF55" s="85"/>
      <c r="AG55" s="85">
        <f t="shared" si="0"/>
        <v>36750</v>
      </c>
      <c r="AH55" s="86" t="s">
        <v>818</v>
      </c>
      <c r="AI55" s="101" t="s">
        <v>634</v>
      </c>
      <c r="AJ55" s="84" t="s">
        <v>920</v>
      </c>
      <c r="AK55" s="84" t="s">
        <v>921</v>
      </c>
      <c r="AL55" s="84" t="s">
        <v>922</v>
      </c>
      <c r="AM55" s="84" t="s">
        <v>923</v>
      </c>
      <c r="AN55" s="84"/>
      <c r="AO55" s="84" t="s">
        <v>395</v>
      </c>
      <c r="AP55" s="84" t="s">
        <v>395</v>
      </c>
      <c r="AQ55" s="84" t="s">
        <v>395</v>
      </c>
      <c r="AR55" s="84" t="s">
        <v>395</v>
      </c>
      <c r="AS55" s="84" t="s">
        <v>395</v>
      </c>
      <c r="AT55" s="84" t="s">
        <v>395</v>
      </c>
      <c r="AU55" s="84" t="s">
        <v>395</v>
      </c>
      <c r="AV55" s="84" t="s">
        <v>395</v>
      </c>
      <c r="AW55" s="84" t="s">
        <v>395</v>
      </c>
      <c r="AX55" s="84" t="s">
        <v>395</v>
      </c>
      <c r="AY55" s="84" t="s">
        <v>395</v>
      </c>
      <c r="AZ55" s="84" t="s">
        <v>742</v>
      </c>
      <c r="BA55" s="84" t="s">
        <v>905</v>
      </c>
      <c r="BB55" s="80"/>
    </row>
    <row r="56" spans="1:54" ht="409.5" x14ac:dyDescent="0.25">
      <c r="A56" s="84" t="s">
        <v>49</v>
      </c>
      <c r="B56" s="84" t="s">
        <v>626</v>
      </c>
      <c r="C56" s="84" t="s">
        <v>924</v>
      </c>
      <c r="D56" s="84" t="s">
        <v>925</v>
      </c>
      <c r="E56" s="84" t="s">
        <v>926</v>
      </c>
      <c r="F56" s="84" t="s">
        <v>814</v>
      </c>
      <c r="G56" s="816"/>
      <c r="H56" s="84" t="s">
        <v>927</v>
      </c>
      <c r="I56" s="84" t="s">
        <v>928</v>
      </c>
      <c r="J56" s="84" t="s">
        <v>929</v>
      </c>
      <c r="K56" s="84" t="s">
        <v>323</v>
      </c>
      <c r="L56" s="85">
        <v>77438</v>
      </c>
      <c r="M56" s="85">
        <v>64932</v>
      </c>
      <c r="N56" s="84" t="s">
        <v>928</v>
      </c>
      <c r="O56" s="84" t="s">
        <v>929</v>
      </c>
      <c r="P56" s="85">
        <v>2666089</v>
      </c>
      <c r="Q56" s="85"/>
      <c r="R56" s="85"/>
      <c r="S56" s="85"/>
      <c r="T56" s="85"/>
      <c r="U56" s="85">
        <v>0</v>
      </c>
      <c r="V56" s="85"/>
      <c r="W56" s="85"/>
      <c r="X56" s="85"/>
      <c r="Y56" s="85"/>
      <c r="Z56" s="85"/>
      <c r="AA56" s="85"/>
      <c r="AB56" s="85"/>
      <c r="AC56" s="85"/>
      <c r="AD56" s="85"/>
      <c r="AE56" s="85"/>
      <c r="AF56" s="85">
        <v>2666089</v>
      </c>
      <c r="AG56" s="85">
        <f t="shared" si="0"/>
        <v>2666089</v>
      </c>
      <c r="AH56" s="86" t="s">
        <v>930</v>
      </c>
      <c r="AI56" s="84">
        <v>2012000030055</v>
      </c>
      <c r="AJ56" s="84" t="s">
        <v>931</v>
      </c>
      <c r="AK56" s="84" t="s">
        <v>932</v>
      </c>
      <c r="AL56" s="84" t="s">
        <v>933</v>
      </c>
      <c r="AM56" s="103" t="s">
        <v>934</v>
      </c>
      <c r="AN56" s="84"/>
      <c r="AO56" s="84"/>
      <c r="AP56" s="84" t="s">
        <v>395</v>
      </c>
      <c r="AQ56" s="84" t="s">
        <v>395</v>
      </c>
      <c r="AR56" s="84" t="s">
        <v>395</v>
      </c>
      <c r="AS56" s="84" t="s">
        <v>395</v>
      </c>
      <c r="AT56" s="84" t="s">
        <v>395</v>
      </c>
      <c r="AU56" s="84" t="s">
        <v>395</v>
      </c>
      <c r="AV56" s="84" t="s">
        <v>395</v>
      </c>
      <c r="AW56" s="84" t="s">
        <v>395</v>
      </c>
      <c r="AX56" s="84" t="s">
        <v>395</v>
      </c>
      <c r="AY56" s="84" t="s">
        <v>395</v>
      </c>
      <c r="AZ56" s="84" t="s">
        <v>935</v>
      </c>
      <c r="BA56" s="84" t="s">
        <v>936</v>
      </c>
      <c r="BB56" s="80"/>
    </row>
    <row r="57" spans="1:54" ht="210" x14ac:dyDescent="0.25">
      <c r="A57" s="84" t="s">
        <v>49</v>
      </c>
      <c r="B57" s="84" t="s">
        <v>626</v>
      </c>
      <c r="C57" s="816" t="s">
        <v>937</v>
      </c>
      <c r="D57" s="816" t="s">
        <v>938</v>
      </c>
      <c r="E57" s="816" t="s">
        <v>939</v>
      </c>
      <c r="F57" s="84" t="s">
        <v>940</v>
      </c>
      <c r="G57" s="817" t="s">
        <v>941</v>
      </c>
      <c r="H57" s="84" t="s">
        <v>942</v>
      </c>
      <c r="I57" s="84" t="s">
        <v>943</v>
      </c>
      <c r="J57" s="84">
        <v>54</v>
      </c>
      <c r="K57" s="84" t="s">
        <v>323</v>
      </c>
      <c r="L57" s="89">
        <v>0.6</v>
      </c>
      <c r="M57" s="89">
        <v>0.15</v>
      </c>
      <c r="N57" s="84" t="s">
        <v>943</v>
      </c>
      <c r="O57" s="90">
        <v>0.54</v>
      </c>
      <c r="P57" s="85">
        <v>99751.05</v>
      </c>
      <c r="Q57" s="85"/>
      <c r="R57" s="85"/>
      <c r="S57" s="85"/>
      <c r="T57" s="85"/>
      <c r="U57" s="85">
        <v>5250</v>
      </c>
      <c r="V57" s="85"/>
      <c r="W57" s="85"/>
      <c r="X57" s="85"/>
      <c r="Y57" s="85"/>
      <c r="Z57" s="85"/>
      <c r="AA57" s="85"/>
      <c r="AB57" s="85">
        <v>94501.05</v>
      </c>
      <c r="AC57" s="85"/>
      <c r="AD57" s="85"/>
      <c r="AE57" s="85"/>
      <c r="AF57" s="85"/>
      <c r="AG57" s="85">
        <f t="shared" si="0"/>
        <v>99751.05</v>
      </c>
      <c r="AH57" s="86" t="s">
        <v>944</v>
      </c>
      <c r="AI57" s="101" t="s">
        <v>634</v>
      </c>
      <c r="AJ57" s="84">
        <v>42</v>
      </c>
      <c r="AK57" s="84" t="s">
        <v>945</v>
      </c>
      <c r="AL57" s="101" t="s">
        <v>662</v>
      </c>
      <c r="AM57" s="84" t="s">
        <v>946</v>
      </c>
      <c r="AN57" s="84" t="s">
        <v>751</v>
      </c>
      <c r="AO57" s="84" t="s">
        <v>751</v>
      </c>
      <c r="AP57" s="84" t="s">
        <v>751</v>
      </c>
      <c r="AQ57" s="84" t="s">
        <v>751</v>
      </c>
      <c r="AR57" s="84" t="s">
        <v>751</v>
      </c>
      <c r="AS57" s="84" t="s">
        <v>751</v>
      </c>
      <c r="AT57" s="84" t="s">
        <v>751</v>
      </c>
      <c r="AU57" s="84" t="s">
        <v>751</v>
      </c>
      <c r="AV57" s="84" t="s">
        <v>751</v>
      </c>
      <c r="AW57" s="84" t="s">
        <v>751</v>
      </c>
      <c r="AX57" s="84" t="s">
        <v>751</v>
      </c>
      <c r="AY57" s="84" t="s">
        <v>751</v>
      </c>
      <c r="AZ57" s="84" t="s">
        <v>695</v>
      </c>
      <c r="BA57" s="104" t="s">
        <v>646</v>
      </c>
      <c r="BB57" s="80"/>
    </row>
    <row r="58" spans="1:54" ht="225" x14ac:dyDescent="0.25">
      <c r="A58" s="84" t="s">
        <v>49</v>
      </c>
      <c r="B58" s="84" t="s">
        <v>626</v>
      </c>
      <c r="C58" s="816"/>
      <c r="D58" s="816"/>
      <c r="E58" s="816"/>
      <c r="F58" s="84" t="s">
        <v>940</v>
      </c>
      <c r="G58" s="818"/>
      <c r="H58" s="84" t="s">
        <v>947</v>
      </c>
      <c r="I58" s="84" t="s">
        <v>948</v>
      </c>
      <c r="J58" s="84">
        <v>14</v>
      </c>
      <c r="K58" s="84" t="s">
        <v>323</v>
      </c>
      <c r="L58" s="89">
        <v>0.3</v>
      </c>
      <c r="M58" s="89">
        <v>0.06</v>
      </c>
      <c r="N58" s="84" t="s">
        <v>948</v>
      </c>
      <c r="O58" s="90">
        <v>0.14000000000000001</v>
      </c>
      <c r="P58" s="85">
        <v>132300</v>
      </c>
      <c r="Q58" s="85"/>
      <c r="R58" s="85"/>
      <c r="S58" s="85"/>
      <c r="T58" s="85"/>
      <c r="U58" s="85">
        <v>6300</v>
      </c>
      <c r="V58" s="85"/>
      <c r="W58" s="85"/>
      <c r="X58" s="85"/>
      <c r="Y58" s="85"/>
      <c r="Z58" s="85"/>
      <c r="AA58" s="85"/>
      <c r="AB58" s="85">
        <v>126000</v>
      </c>
      <c r="AC58" s="85"/>
      <c r="AD58" s="85"/>
      <c r="AE58" s="85"/>
      <c r="AF58" s="85"/>
      <c r="AG58" s="85">
        <f t="shared" si="0"/>
        <v>132300</v>
      </c>
      <c r="AH58" s="86" t="s">
        <v>944</v>
      </c>
      <c r="AI58" s="101" t="s">
        <v>634</v>
      </c>
      <c r="AJ58" s="84">
        <v>42</v>
      </c>
      <c r="AK58" s="84" t="s">
        <v>945</v>
      </c>
      <c r="AL58" s="101" t="s">
        <v>662</v>
      </c>
      <c r="AM58" s="84" t="s">
        <v>949</v>
      </c>
      <c r="AN58" s="84" t="s">
        <v>751</v>
      </c>
      <c r="AO58" s="84" t="s">
        <v>751</v>
      </c>
      <c r="AP58" s="84" t="s">
        <v>751</v>
      </c>
      <c r="AQ58" s="84" t="s">
        <v>751</v>
      </c>
      <c r="AR58" s="84" t="s">
        <v>751</v>
      </c>
      <c r="AS58" s="84" t="s">
        <v>751</v>
      </c>
      <c r="AT58" s="84" t="s">
        <v>751</v>
      </c>
      <c r="AU58" s="84" t="s">
        <v>751</v>
      </c>
      <c r="AV58" s="84" t="s">
        <v>751</v>
      </c>
      <c r="AW58" s="84" t="s">
        <v>751</v>
      </c>
      <c r="AX58" s="84" t="s">
        <v>751</v>
      </c>
      <c r="AY58" s="84" t="s">
        <v>751</v>
      </c>
      <c r="AZ58" s="84" t="s">
        <v>695</v>
      </c>
      <c r="BA58" s="104" t="s">
        <v>646</v>
      </c>
      <c r="BB58" s="80"/>
    </row>
    <row r="59" spans="1:54" ht="195" x14ac:dyDescent="0.25">
      <c r="A59" s="84" t="s">
        <v>49</v>
      </c>
      <c r="B59" s="84" t="s">
        <v>626</v>
      </c>
      <c r="C59" s="816"/>
      <c r="D59" s="816"/>
      <c r="E59" s="816"/>
      <c r="F59" s="84" t="s">
        <v>940</v>
      </c>
      <c r="G59" s="818"/>
      <c r="H59" s="84" t="s">
        <v>950</v>
      </c>
      <c r="I59" s="84" t="s">
        <v>951</v>
      </c>
      <c r="J59" s="84">
        <v>0.75</v>
      </c>
      <c r="K59" s="84" t="s">
        <v>323</v>
      </c>
      <c r="L59" s="89">
        <v>0.85</v>
      </c>
      <c r="M59" s="89">
        <v>0.2</v>
      </c>
      <c r="N59" s="84" t="s">
        <v>951</v>
      </c>
      <c r="O59" s="90">
        <v>0.75</v>
      </c>
      <c r="P59" s="85">
        <v>67200</v>
      </c>
      <c r="Q59" s="85"/>
      <c r="R59" s="85"/>
      <c r="S59" s="85"/>
      <c r="T59" s="85"/>
      <c r="U59" s="85">
        <v>4200</v>
      </c>
      <c r="V59" s="85"/>
      <c r="W59" s="85"/>
      <c r="X59" s="85"/>
      <c r="Y59" s="85"/>
      <c r="Z59" s="85"/>
      <c r="AA59" s="85"/>
      <c r="AB59" s="85">
        <v>63000</v>
      </c>
      <c r="AC59" s="85"/>
      <c r="AD59" s="85"/>
      <c r="AE59" s="85"/>
      <c r="AF59" s="85"/>
      <c r="AG59" s="85">
        <f t="shared" si="0"/>
        <v>67200</v>
      </c>
      <c r="AH59" s="86" t="s">
        <v>944</v>
      </c>
      <c r="AI59" s="101" t="s">
        <v>634</v>
      </c>
      <c r="AJ59" s="84">
        <v>42</v>
      </c>
      <c r="AK59" s="84" t="s">
        <v>945</v>
      </c>
      <c r="AL59" s="101" t="s">
        <v>662</v>
      </c>
      <c r="AM59" s="84" t="s">
        <v>952</v>
      </c>
      <c r="AN59" s="84" t="s">
        <v>751</v>
      </c>
      <c r="AO59" s="84" t="s">
        <v>751</v>
      </c>
      <c r="AP59" s="84" t="s">
        <v>751</v>
      </c>
      <c r="AQ59" s="84" t="s">
        <v>751</v>
      </c>
      <c r="AR59" s="84" t="s">
        <v>751</v>
      </c>
      <c r="AS59" s="84" t="s">
        <v>751</v>
      </c>
      <c r="AT59" s="84" t="s">
        <v>751</v>
      </c>
      <c r="AU59" s="84" t="s">
        <v>751</v>
      </c>
      <c r="AV59" s="84" t="s">
        <v>751</v>
      </c>
      <c r="AW59" s="84" t="s">
        <v>751</v>
      </c>
      <c r="AX59" s="84" t="s">
        <v>751</v>
      </c>
      <c r="AY59" s="84" t="s">
        <v>751</v>
      </c>
      <c r="AZ59" s="84" t="s">
        <v>695</v>
      </c>
      <c r="BA59" s="104" t="s">
        <v>646</v>
      </c>
      <c r="BB59" s="80"/>
    </row>
    <row r="60" spans="1:54" ht="390" x14ac:dyDescent="0.25">
      <c r="A60" s="84" t="s">
        <v>49</v>
      </c>
      <c r="B60" s="84" t="s">
        <v>626</v>
      </c>
      <c r="C60" s="816"/>
      <c r="D60" s="816"/>
      <c r="E60" s="816"/>
      <c r="F60" s="84" t="s">
        <v>940</v>
      </c>
      <c r="G60" s="818"/>
      <c r="H60" s="84" t="s">
        <v>953</v>
      </c>
      <c r="I60" s="84" t="s">
        <v>954</v>
      </c>
      <c r="J60" s="105">
        <v>1</v>
      </c>
      <c r="K60" s="105" t="s">
        <v>323</v>
      </c>
      <c r="L60" s="105">
        <v>1</v>
      </c>
      <c r="M60" s="105">
        <v>0.2</v>
      </c>
      <c r="N60" s="84" t="s">
        <v>954</v>
      </c>
      <c r="O60" s="105">
        <v>1</v>
      </c>
      <c r="P60" s="85">
        <v>38637.9</v>
      </c>
      <c r="Q60" s="85"/>
      <c r="R60" s="85"/>
      <c r="S60" s="85"/>
      <c r="T60" s="85"/>
      <c r="U60" s="85">
        <v>7350</v>
      </c>
      <c r="V60" s="85"/>
      <c r="W60" s="85"/>
      <c r="X60" s="85"/>
      <c r="Y60" s="85"/>
      <c r="Z60" s="85"/>
      <c r="AA60" s="85"/>
      <c r="AB60" s="85">
        <v>31287.9</v>
      </c>
      <c r="AC60" s="85"/>
      <c r="AD60" s="85"/>
      <c r="AE60" s="85"/>
      <c r="AF60" s="85"/>
      <c r="AG60" s="85">
        <f t="shared" si="0"/>
        <v>38637.9</v>
      </c>
      <c r="AH60" s="86" t="s">
        <v>944</v>
      </c>
      <c r="AI60" s="101" t="s">
        <v>634</v>
      </c>
      <c r="AJ60" s="84">
        <v>42</v>
      </c>
      <c r="AK60" s="84" t="s">
        <v>945</v>
      </c>
      <c r="AL60" s="101" t="s">
        <v>662</v>
      </c>
      <c r="AM60" s="84" t="s">
        <v>955</v>
      </c>
      <c r="AN60" s="84" t="s">
        <v>751</v>
      </c>
      <c r="AO60" s="84" t="s">
        <v>751</v>
      </c>
      <c r="AP60" s="84" t="s">
        <v>751</v>
      </c>
      <c r="AQ60" s="84" t="s">
        <v>751</v>
      </c>
      <c r="AR60" s="84" t="s">
        <v>751</v>
      </c>
      <c r="AS60" s="84" t="s">
        <v>751</v>
      </c>
      <c r="AT60" s="84" t="s">
        <v>751</v>
      </c>
      <c r="AU60" s="84" t="s">
        <v>751</v>
      </c>
      <c r="AV60" s="84" t="s">
        <v>751</v>
      </c>
      <c r="AW60" s="84" t="s">
        <v>751</v>
      </c>
      <c r="AX60" s="84" t="s">
        <v>751</v>
      </c>
      <c r="AY60" s="84" t="s">
        <v>751</v>
      </c>
      <c r="AZ60" s="84" t="s">
        <v>695</v>
      </c>
      <c r="BA60" s="104" t="s">
        <v>646</v>
      </c>
      <c r="BB60" s="80"/>
    </row>
    <row r="61" spans="1:54" ht="255" x14ac:dyDescent="0.25">
      <c r="A61" s="84" t="s">
        <v>49</v>
      </c>
      <c r="B61" s="84" t="s">
        <v>626</v>
      </c>
      <c r="C61" s="84" t="s">
        <v>956</v>
      </c>
      <c r="D61" s="84" t="s">
        <v>957</v>
      </c>
      <c r="E61" s="84" t="s">
        <v>958</v>
      </c>
      <c r="F61" s="84" t="s">
        <v>940</v>
      </c>
      <c r="G61" s="818"/>
      <c r="H61" s="84" t="s">
        <v>959</v>
      </c>
      <c r="I61" s="84" t="s">
        <v>960</v>
      </c>
      <c r="J61" s="84">
        <v>12</v>
      </c>
      <c r="K61" s="84" t="s">
        <v>322</v>
      </c>
      <c r="L61" s="84"/>
      <c r="M61" s="84">
        <v>12</v>
      </c>
      <c r="N61" s="84" t="s">
        <v>960</v>
      </c>
      <c r="O61" s="84">
        <v>12</v>
      </c>
      <c r="P61" s="85">
        <v>58816.800000000003</v>
      </c>
      <c r="Q61" s="85"/>
      <c r="R61" s="85"/>
      <c r="S61" s="85"/>
      <c r="T61" s="85"/>
      <c r="U61" s="85">
        <v>3150</v>
      </c>
      <c r="V61" s="85"/>
      <c r="W61" s="85"/>
      <c r="X61" s="85"/>
      <c r="Y61" s="85"/>
      <c r="Z61" s="85"/>
      <c r="AA61" s="85"/>
      <c r="AB61" s="85">
        <v>55666.8</v>
      </c>
      <c r="AC61" s="85"/>
      <c r="AD61" s="85"/>
      <c r="AE61" s="85"/>
      <c r="AF61" s="85"/>
      <c r="AG61" s="85">
        <f t="shared" si="0"/>
        <v>58816.800000000003</v>
      </c>
      <c r="AH61" s="86" t="s">
        <v>944</v>
      </c>
      <c r="AI61" s="101" t="s">
        <v>634</v>
      </c>
      <c r="AJ61" s="84">
        <v>42</v>
      </c>
      <c r="AK61" s="84" t="s">
        <v>945</v>
      </c>
      <c r="AL61" s="101" t="s">
        <v>662</v>
      </c>
      <c r="AM61" s="84" t="s">
        <v>961</v>
      </c>
      <c r="AN61" s="84" t="s">
        <v>751</v>
      </c>
      <c r="AO61" s="84" t="s">
        <v>751</v>
      </c>
      <c r="AP61" s="84" t="s">
        <v>751</v>
      </c>
      <c r="AQ61" s="84" t="s">
        <v>751</v>
      </c>
      <c r="AR61" s="84" t="s">
        <v>751</v>
      </c>
      <c r="AS61" s="84" t="s">
        <v>751</v>
      </c>
      <c r="AT61" s="84" t="s">
        <v>751</v>
      </c>
      <c r="AU61" s="84" t="s">
        <v>751</v>
      </c>
      <c r="AV61" s="84" t="s">
        <v>751</v>
      </c>
      <c r="AW61" s="84" t="s">
        <v>751</v>
      </c>
      <c r="AX61" s="84" t="s">
        <v>751</v>
      </c>
      <c r="AY61" s="84" t="s">
        <v>751</v>
      </c>
      <c r="AZ61" s="84" t="s">
        <v>695</v>
      </c>
      <c r="BA61" s="104" t="s">
        <v>646</v>
      </c>
      <c r="BB61" s="80"/>
    </row>
    <row r="62" spans="1:54" ht="345" x14ac:dyDescent="0.25">
      <c r="A62" s="84" t="s">
        <v>49</v>
      </c>
      <c r="B62" s="84" t="s">
        <v>626</v>
      </c>
      <c r="C62" s="84" t="s">
        <v>962</v>
      </c>
      <c r="D62" s="84" t="s">
        <v>963</v>
      </c>
      <c r="E62" s="84" t="s">
        <v>964</v>
      </c>
      <c r="F62" s="84" t="s">
        <v>940</v>
      </c>
      <c r="G62" s="818"/>
      <c r="H62" s="84" t="s">
        <v>965</v>
      </c>
      <c r="I62" s="84" t="s">
        <v>966</v>
      </c>
      <c r="J62" s="105">
        <v>1</v>
      </c>
      <c r="K62" s="84" t="s">
        <v>322</v>
      </c>
      <c r="L62" s="105">
        <v>1</v>
      </c>
      <c r="M62" s="105">
        <v>1</v>
      </c>
      <c r="N62" s="84" t="s">
        <v>966</v>
      </c>
      <c r="O62" s="105">
        <v>1</v>
      </c>
      <c r="P62" s="85">
        <v>253656.9</v>
      </c>
      <c r="Q62" s="85"/>
      <c r="R62" s="85"/>
      <c r="S62" s="85"/>
      <c r="T62" s="85"/>
      <c r="U62" s="85">
        <v>5250</v>
      </c>
      <c r="V62" s="85"/>
      <c r="W62" s="85"/>
      <c r="X62" s="85"/>
      <c r="Y62" s="85"/>
      <c r="Z62" s="85"/>
      <c r="AA62" s="85"/>
      <c r="AB62" s="85">
        <v>248406.9</v>
      </c>
      <c r="AC62" s="85"/>
      <c r="AD62" s="85"/>
      <c r="AE62" s="85"/>
      <c r="AF62" s="85"/>
      <c r="AG62" s="85">
        <f t="shared" si="0"/>
        <v>253656.9</v>
      </c>
      <c r="AH62" s="86" t="s">
        <v>944</v>
      </c>
      <c r="AI62" s="101" t="s">
        <v>634</v>
      </c>
      <c r="AJ62" s="84" t="s">
        <v>967</v>
      </c>
      <c r="AK62" s="84" t="s">
        <v>968</v>
      </c>
      <c r="AL62" s="84">
        <v>303.017</v>
      </c>
      <c r="AM62" s="84" t="s">
        <v>969</v>
      </c>
      <c r="AN62" s="84" t="s">
        <v>751</v>
      </c>
      <c r="AO62" s="84" t="s">
        <v>751</v>
      </c>
      <c r="AP62" s="84" t="s">
        <v>751</v>
      </c>
      <c r="AQ62" s="84" t="s">
        <v>751</v>
      </c>
      <c r="AR62" s="84" t="s">
        <v>751</v>
      </c>
      <c r="AS62" s="84" t="s">
        <v>751</v>
      </c>
      <c r="AT62" s="84" t="s">
        <v>751</v>
      </c>
      <c r="AU62" s="84" t="s">
        <v>751</v>
      </c>
      <c r="AV62" s="84" t="s">
        <v>751</v>
      </c>
      <c r="AW62" s="84" t="s">
        <v>751</v>
      </c>
      <c r="AX62" s="84" t="s">
        <v>751</v>
      </c>
      <c r="AY62" s="84" t="s">
        <v>751</v>
      </c>
      <c r="AZ62" s="84" t="s">
        <v>970</v>
      </c>
      <c r="BA62" s="84" t="s">
        <v>971</v>
      </c>
      <c r="BB62" s="80"/>
    </row>
    <row r="63" spans="1:54" ht="240" x14ac:dyDescent="0.25">
      <c r="A63" s="84" t="s">
        <v>49</v>
      </c>
      <c r="B63" s="84" t="s">
        <v>626</v>
      </c>
      <c r="C63" s="84" t="s">
        <v>972</v>
      </c>
      <c r="D63" s="84" t="s">
        <v>973</v>
      </c>
      <c r="E63" s="84" t="s">
        <v>974</v>
      </c>
      <c r="F63" s="84" t="s">
        <v>940</v>
      </c>
      <c r="G63" s="818"/>
      <c r="H63" s="84" t="s">
        <v>975</v>
      </c>
      <c r="I63" s="84" t="s">
        <v>976</v>
      </c>
      <c r="J63" s="84">
        <v>5967</v>
      </c>
      <c r="K63" s="84" t="s">
        <v>322</v>
      </c>
      <c r="L63" s="89">
        <v>1</v>
      </c>
      <c r="M63" s="89">
        <v>1</v>
      </c>
      <c r="N63" s="84" t="s">
        <v>976</v>
      </c>
      <c r="O63" s="84">
        <v>5967</v>
      </c>
      <c r="P63" s="85">
        <v>298863.59999999998</v>
      </c>
      <c r="Q63" s="85"/>
      <c r="R63" s="85"/>
      <c r="S63" s="85"/>
      <c r="T63" s="85"/>
      <c r="U63" s="85">
        <v>6300</v>
      </c>
      <c r="V63" s="85"/>
      <c r="W63" s="85"/>
      <c r="X63" s="85"/>
      <c r="Y63" s="85"/>
      <c r="Z63" s="85"/>
      <c r="AA63" s="85"/>
      <c r="AB63" s="85">
        <v>292563.59999999998</v>
      </c>
      <c r="AC63" s="85"/>
      <c r="AD63" s="85"/>
      <c r="AE63" s="85"/>
      <c r="AF63" s="85"/>
      <c r="AG63" s="85">
        <f t="shared" si="0"/>
        <v>298863.59999999998</v>
      </c>
      <c r="AH63" s="86" t="s">
        <v>944</v>
      </c>
      <c r="AI63" s="101" t="s">
        <v>634</v>
      </c>
      <c r="AJ63" s="84" t="s">
        <v>977</v>
      </c>
      <c r="AK63" s="84" t="s">
        <v>978</v>
      </c>
      <c r="AL63" s="84">
        <v>46.487000000000002</v>
      </c>
      <c r="AM63" s="84" t="s">
        <v>979</v>
      </c>
      <c r="AN63" s="84"/>
      <c r="AO63" s="84" t="s">
        <v>751</v>
      </c>
      <c r="AP63" s="84" t="s">
        <v>751</v>
      </c>
      <c r="AQ63" s="84" t="s">
        <v>751</v>
      </c>
      <c r="AR63" s="84" t="s">
        <v>751</v>
      </c>
      <c r="AS63" s="84" t="s">
        <v>751</v>
      </c>
      <c r="AT63" s="84"/>
      <c r="AU63" s="84"/>
      <c r="AV63" s="84"/>
      <c r="AW63" s="84"/>
      <c r="AX63" s="84"/>
      <c r="AY63" s="84"/>
      <c r="AZ63" s="84" t="s">
        <v>970</v>
      </c>
      <c r="BA63" s="84" t="s">
        <v>980</v>
      </c>
      <c r="BB63" s="80"/>
    </row>
    <row r="64" spans="1:54" ht="165" x14ac:dyDescent="0.25">
      <c r="A64" s="84" t="s">
        <v>49</v>
      </c>
      <c r="B64" s="84" t="s">
        <v>626</v>
      </c>
      <c r="C64" s="84" t="s">
        <v>981</v>
      </c>
      <c r="D64" s="84" t="s">
        <v>982</v>
      </c>
      <c r="E64" s="84">
        <v>0</v>
      </c>
      <c r="F64" s="84" t="s">
        <v>940</v>
      </c>
      <c r="G64" s="818"/>
      <c r="H64" s="84" t="s">
        <v>983</v>
      </c>
      <c r="I64" s="84" t="s">
        <v>984</v>
      </c>
      <c r="J64" s="84">
        <v>0</v>
      </c>
      <c r="K64" s="84" t="s">
        <v>323</v>
      </c>
      <c r="L64" s="89">
        <v>1</v>
      </c>
      <c r="M64" s="89">
        <v>0.28000000000000003</v>
      </c>
      <c r="N64" s="84" t="s">
        <v>984</v>
      </c>
      <c r="O64" s="90">
        <v>0</v>
      </c>
      <c r="P64" s="85">
        <v>928748</v>
      </c>
      <c r="Q64" s="85"/>
      <c r="R64" s="85"/>
      <c r="S64" s="85"/>
      <c r="T64" s="85"/>
      <c r="U64" s="85">
        <v>4200</v>
      </c>
      <c r="V64" s="85"/>
      <c r="W64" s="85"/>
      <c r="X64" s="85"/>
      <c r="Y64" s="85"/>
      <c r="Z64" s="85"/>
      <c r="AA64" s="85"/>
      <c r="AB64" s="85">
        <v>924548</v>
      </c>
      <c r="AC64" s="85"/>
      <c r="AD64" s="85"/>
      <c r="AE64" s="85"/>
      <c r="AF64" s="85"/>
      <c r="AG64" s="85">
        <f t="shared" si="0"/>
        <v>928748</v>
      </c>
      <c r="AH64" s="86" t="s">
        <v>944</v>
      </c>
      <c r="AI64" s="101" t="s">
        <v>634</v>
      </c>
      <c r="AJ64" s="84" t="s">
        <v>985</v>
      </c>
      <c r="AK64" s="84" t="s">
        <v>986</v>
      </c>
      <c r="AL64" s="84">
        <v>214.077</v>
      </c>
      <c r="AM64" s="84" t="s">
        <v>987</v>
      </c>
      <c r="AN64" s="84"/>
      <c r="AO64" s="84" t="s">
        <v>751</v>
      </c>
      <c r="AP64" s="84" t="s">
        <v>751</v>
      </c>
      <c r="AQ64" s="84" t="s">
        <v>751</v>
      </c>
      <c r="AR64" s="84" t="s">
        <v>751</v>
      </c>
      <c r="AS64" s="84" t="s">
        <v>751</v>
      </c>
      <c r="AT64" s="84" t="s">
        <v>751</v>
      </c>
      <c r="AU64" s="84" t="s">
        <v>751</v>
      </c>
      <c r="AV64" s="84" t="s">
        <v>751</v>
      </c>
      <c r="AW64" s="84" t="s">
        <v>751</v>
      </c>
      <c r="AX64" s="84" t="s">
        <v>751</v>
      </c>
      <c r="AY64" s="84" t="s">
        <v>751</v>
      </c>
      <c r="AZ64" s="84" t="s">
        <v>970</v>
      </c>
      <c r="BA64" s="85" t="s">
        <v>988</v>
      </c>
      <c r="BB64" s="80"/>
    </row>
    <row r="65" spans="1:54" ht="150" x14ac:dyDescent="0.25">
      <c r="A65" s="84" t="s">
        <v>49</v>
      </c>
      <c r="B65" s="84" t="s">
        <v>626</v>
      </c>
      <c r="C65" s="84" t="s">
        <v>989</v>
      </c>
      <c r="D65" s="84" t="s">
        <v>990</v>
      </c>
      <c r="E65" s="84">
        <v>0.89</v>
      </c>
      <c r="F65" s="84" t="s">
        <v>940</v>
      </c>
      <c r="G65" s="818"/>
      <c r="H65" s="84" t="s">
        <v>991</v>
      </c>
      <c r="I65" s="84" t="s">
        <v>992</v>
      </c>
      <c r="J65" s="105">
        <v>0.88700000000000001</v>
      </c>
      <c r="K65" s="84" t="s">
        <v>322</v>
      </c>
      <c r="L65" s="105">
        <v>0.95</v>
      </c>
      <c r="M65" s="105">
        <v>0.95</v>
      </c>
      <c r="N65" s="84" t="s">
        <v>992</v>
      </c>
      <c r="O65" s="105">
        <v>0.88700000000000001</v>
      </c>
      <c r="P65" s="85">
        <v>52500</v>
      </c>
      <c r="Q65" s="85"/>
      <c r="R65" s="85"/>
      <c r="S65" s="85"/>
      <c r="T65" s="85"/>
      <c r="U65" s="85">
        <v>52500</v>
      </c>
      <c r="V65" s="85"/>
      <c r="W65" s="85"/>
      <c r="X65" s="85"/>
      <c r="Y65" s="85"/>
      <c r="Z65" s="85"/>
      <c r="AA65" s="85"/>
      <c r="AB65" s="85">
        <v>0</v>
      </c>
      <c r="AC65" s="85"/>
      <c r="AD65" s="85"/>
      <c r="AE65" s="85"/>
      <c r="AF65" s="85"/>
      <c r="AG65" s="85">
        <f t="shared" si="0"/>
        <v>52500</v>
      </c>
      <c r="AH65" s="86" t="s">
        <v>944</v>
      </c>
      <c r="AI65" s="101" t="s">
        <v>634</v>
      </c>
      <c r="AJ65" s="84">
        <v>42</v>
      </c>
      <c r="AK65" s="84" t="s">
        <v>993</v>
      </c>
      <c r="AL65" s="85">
        <v>22448</v>
      </c>
      <c r="AM65" s="84" t="s">
        <v>994</v>
      </c>
      <c r="AN65" s="84"/>
      <c r="AO65" s="84" t="s">
        <v>751</v>
      </c>
      <c r="AP65" s="84" t="s">
        <v>751</v>
      </c>
      <c r="AQ65" s="84" t="s">
        <v>751</v>
      </c>
      <c r="AR65" s="84" t="s">
        <v>751</v>
      </c>
      <c r="AS65" s="84" t="s">
        <v>751</v>
      </c>
      <c r="AT65" s="84" t="s">
        <v>751</v>
      </c>
      <c r="AU65" s="84" t="s">
        <v>751</v>
      </c>
      <c r="AV65" s="84" t="s">
        <v>751</v>
      </c>
      <c r="AW65" s="84" t="s">
        <v>751</v>
      </c>
      <c r="AX65" s="84" t="s">
        <v>751</v>
      </c>
      <c r="AY65" s="84" t="s">
        <v>751</v>
      </c>
      <c r="AZ65" s="84" t="s">
        <v>742</v>
      </c>
      <c r="BA65" s="84" t="s">
        <v>995</v>
      </c>
      <c r="BB65" s="80"/>
    </row>
    <row r="66" spans="1:54" ht="150" x14ac:dyDescent="0.25">
      <c r="A66" s="84" t="s">
        <v>49</v>
      </c>
      <c r="B66" s="84" t="s">
        <v>626</v>
      </c>
      <c r="C66" s="84" t="s">
        <v>989</v>
      </c>
      <c r="D66" s="84" t="s">
        <v>996</v>
      </c>
      <c r="E66" s="84">
        <v>92.1</v>
      </c>
      <c r="F66" s="84" t="s">
        <v>940</v>
      </c>
      <c r="G66" s="818"/>
      <c r="H66" s="84" t="s">
        <v>997</v>
      </c>
      <c r="I66" s="84" t="s">
        <v>998</v>
      </c>
      <c r="J66" s="84" t="s">
        <v>999</v>
      </c>
      <c r="K66" s="84" t="s">
        <v>322</v>
      </c>
      <c r="L66" s="89">
        <v>0.95</v>
      </c>
      <c r="M66" s="105">
        <v>0.95</v>
      </c>
      <c r="N66" s="84" t="s">
        <v>998</v>
      </c>
      <c r="O66" s="84" t="s">
        <v>999</v>
      </c>
      <c r="P66" s="85">
        <v>52500</v>
      </c>
      <c r="Q66" s="85"/>
      <c r="R66" s="85"/>
      <c r="S66" s="85"/>
      <c r="T66" s="85"/>
      <c r="U66" s="85">
        <v>52500</v>
      </c>
      <c r="V66" s="85"/>
      <c r="W66" s="85"/>
      <c r="X66" s="85"/>
      <c r="Y66" s="85"/>
      <c r="Z66" s="85"/>
      <c r="AA66" s="85"/>
      <c r="AB66" s="85">
        <v>0</v>
      </c>
      <c r="AC66" s="85"/>
      <c r="AD66" s="85"/>
      <c r="AE66" s="85"/>
      <c r="AF66" s="85"/>
      <c r="AG66" s="85">
        <f t="shared" si="0"/>
        <v>52500</v>
      </c>
      <c r="AH66" s="86" t="s">
        <v>944</v>
      </c>
      <c r="AI66" s="101" t="s">
        <v>634</v>
      </c>
      <c r="AJ66" s="84">
        <v>42</v>
      </c>
      <c r="AK66" s="84" t="s">
        <v>993</v>
      </c>
      <c r="AL66" s="85">
        <v>23092</v>
      </c>
      <c r="AM66" s="84" t="s">
        <v>1000</v>
      </c>
      <c r="AN66" s="84"/>
      <c r="AO66" s="84" t="s">
        <v>751</v>
      </c>
      <c r="AP66" s="84" t="s">
        <v>751</v>
      </c>
      <c r="AQ66" s="84" t="s">
        <v>751</v>
      </c>
      <c r="AR66" s="84" t="s">
        <v>751</v>
      </c>
      <c r="AS66" s="84" t="s">
        <v>751</v>
      </c>
      <c r="AT66" s="84" t="s">
        <v>751</v>
      </c>
      <c r="AU66" s="84" t="s">
        <v>751</v>
      </c>
      <c r="AV66" s="84" t="s">
        <v>751</v>
      </c>
      <c r="AW66" s="84" t="s">
        <v>751</v>
      </c>
      <c r="AX66" s="84" t="s">
        <v>751</v>
      </c>
      <c r="AY66" s="84" t="s">
        <v>751</v>
      </c>
      <c r="AZ66" s="84" t="s">
        <v>742</v>
      </c>
      <c r="BA66" s="84" t="s">
        <v>1001</v>
      </c>
      <c r="BB66" s="80"/>
    </row>
    <row r="67" spans="1:54" ht="255" x14ac:dyDescent="0.25">
      <c r="A67" s="84" t="s">
        <v>49</v>
      </c>
      <c r="B67" s="84" t="s">
        <v>626</v>
      </c>
      <c r="C67" s="84" t="s">
        <v>1002</v>
      </c>
      <c r="D67" s="84" t="s">
        <v>1003</v>
      </c>
      <c r="E67" s="84">
        <v>0</v>
      </c>
      <c r="F67" s="84" t="s">
        <v>940</v>
      </c>
      <c r="G67" s="818"/>
      <c r="H67" s="84" t="s">
        <v>1004</v>
      </c>
      <c r="I67" s="84" t="s">
        <v>1005</v>
      </c>
      <c r="J67" s="84">
        <v>0</v>
      </c>
      <c r="K67" s="84" t="s">
        <v>322</v>
      </c>
      <c r="L67" s="84"/>
      <c r="M67" s="84">
        <v>0</v>
      </c>
      <c r="N67" s="84" t="s">
        <v>1005</v>
      </c>
      <c r="O67" s="90">
        <v>0</v>
      </c>
      <c r="P67" s="85">
        <v>21000</v>
      </c>
      <c r="Q67" s="85"/>
      <c r="R67" s="85"/>
      <c r="S67" s="85"/>
      <c r="T67" s="85"/>
      <c r="U67" s="85">
        <v>21000</v>
      </c>
      <c r="V67" s="85"/>
      <c r="W67" s="85"/>
      <c r="X67" s="85"/>
      <c r="Y67" s="85"/>
      <c r="Z67" s="85"/>
      <c r="AA67" s="85"/>
      <c r="AB67" s="85">
        <v>0</v>
      </c>
      <c r="AC67" s="85"/>
      <c r="AD67" s="85"/>
      <c r="AE67" s="85"/>
      <c r="AF67" s="85"/>
      <c r="AG67" s="85">
        <f t="shared" si="0"/>
        <v>21000</v>
      </c>
      <c r="AH67" s="86" t="s">
        <v>944</v>
      </c>
      <c r="AI67" s="101" t="s">
        <v>634</v>
      </c>
      <c r="AJ67" s="84">
        <v>42</v>
      </c>
      <c r="AK67" s="84" t="s">
        <v>993</v>
      </c>
      <c r="AL67" s="84">
        <v>68.995000000000005</v>
      </c>
      <c r="AM67" s="84" t="s">
        <v>1006</v>
      </c>
      <c r="AN67" s="84"/>
      <c r="AO67" s="84" t="s">
        <v>751</v>
      </c>
      <c r="AP67" s="84" t="s">
        <v>751</v>
      </c>
      <c r="AQ67" s="84" t="s">
        <v>751</v>
      </c>
      <c r="AR67" s="84" t="s">
        <v>751</v>
      </c>
      <c r="AS67" s="84" t="s">
        <v>751</v>
      </c>
      <c r="AT67" s="84" t="s">
        <v>751</v>
      </c>
      <c r="AU67" s="84" t="s">
        <v>751</v>
      </c>
      <c r="AV67" s="84" t="s">
        <v>751</v>
      </c>
      <c r="AW67" s="84" t="s">
        <v>751</v>
      </c>
      <c r="AX67" s="84" t="s">
        <v>751</v>
      </c>
      <c r="AY67" s="84" t="s">
        <v>751</v>
      </c>
      <c r="AZ67" s="84" t="s">
        <v>742</v>
      </c>
      <c r="BA67" s="84" t="s">
        <v>1007</v>
      </c>
      <c r="BB67" s="80"/>
    </row>
    <row r="68" spans="1:54" ht="360" x14ac:dyDescent="0.25">
      <c r="A68" s="84" t="s">
        <v>49</v>
      </c>
      <c r="B68" s="84" t="s">
        <v>626</v>
      </c>
      <c r="C68" s="84" t="s">
        <v>1008</v>
      </c>
      <c r="D68" s="84" t="s">
        <v>1009</v>
      </c>
      <c r="E68" s="84">
        <v>0</v>
      </c>
      <c r="F68" s="84" t="s">
        <v>940</v>
      </c>
      <c r="G68" s="818"/>
      <c r="H68" s="84" t="s">
        <v>1010</v>
      </c>
      <c r="I68" s="84" t="s">
        <v>1011</v>
      </c>
      <c r="J68" s="84" t="s">
        <v>1012</v>
      </c>
      <c r="K68" s="84" t="s">
        <v>322</v>
      </c>
      <c r="L68" s="84">
        <v>0.08</v>
      </c>
      <c r="M68" s="84">
        <v>0.08</v>
      </c>
      <c r="N68" s="84" t="s">
        <v>1011</v>
      </c>
      <c r="O68" s="84" t="s">
        <v>1012</v>
      </c>
      <c r="P68" s="85">
        <v>21000</v>
      </c>
      <c r="Q68" s="85"/>
      <c r="R68" s="85"/>
      <c r="S68" s="85"/>
      <c r="T68" s="85"/>
      <c r="U68" s="85">
        <v>21000</v>
      </c>
      <c r="V68" s="85"/>
      <c r="W68" s="85"/>
      <c r="X68" s="85"/>
      <c r="Y68" s="85"/>
      <c r="Z68" s="85"/>
      <c r="AA68" s="85"/>
      <c r="AB68" s="85">
        <v>0</v>
      </c>
      <c r="AC68" s="85"/>
      <c r="AD68" s="85"/>
      <c r="AE68" s="85"/>
      <c r="AF68" s="85"/>
      <c r="AG68" s="85">
        <f t="shared" si="0"/>
        <v>21000</v>
      </c>
      <c r="AH68" s="86" t="s">
        <v>944</v>
      </c>
      <c r="AI68" s="101" t="s">
        <v>634</v>
      </c>
      <c r="AJ68" s="84">
        <v>42</v>
      </c>
      <c r="AK68" s="84" t="s">
        <v>993</v>
      </c>
      <c r="AL68" s="84">
        <v>68.995000000000005</v>
      </c>
      <c r="AM68" s="84" t="s">
        <v>1013</v>
      </c>
      <c r="AN68" s="84"/>
      <c r="AO68" s="84" t="s">
        <v>751</v>
      </c>
      <c r="AP68" s="84" t="s">
        <v>751</v>
      </c>
      <c r="AQ68" s="84" t="s">
        <v>751</v>
      </c>
      <c r="AR68" s="84" t="s">
        <v>751</v>
      </c>
      <c r="AS68" s="84" t="s">
        <v>751</v>
      </c>
      <c r="AT68" s="84" t="s">
        <v>751</v>
      </c>
      <c r="AU68" s="84" t="s">
        <v>751</v>
      </c>
      <c r="AV68" s="84" t="s">
        <v>751</v>
      </c>
      <c r="AW68" s="84" t="s">
        <v>751</v>
      </c>
      <c r="AX68" s="84" t="s">
        <v>751</v>
      </c>
      <c r="AY68" s="84" t="s">
        <v>751</v>
      </c>
      <c r="AZ68" s="84" t="s">
        <v>742</v>
      </c>
      <c r="BA68" s="84" t="s">
        <v>1007</v>
      </c>
      <c r="BB68" s="80"/>
    </row>
    <row r="69" spans="1:54" ht="225" x14ac:dyDescent="0.25">
      <c r="A69" s="84" t="s">
        <v>49</v>
      </c>
      <c r="B69" s="84" t="s">
        <v>626</v>
      </c>
      <c r="C69" s="816" t="s">
        <v>1014</v>
      </c>
      <c r="D69" s="816" t="s">
        <v>1015</v>
      </c>
      <c r="E69" s="817" t="s">
        <v>1016</v>
      </c>
      <c r="F69" s="84" t="s">
        <v>940</v>
      </c>
      <c r="G69" s="818"/>
      <c r="H69" s="84" t="s">
        <v>1017</v>
      </c>
      <c r="I69" s="84" t="s">
        <v>1018</v>
      </c>
      <c r="J69" s="84" t="s">
        <v>1019</v>
      </c>
      <c r="K69" s="84" t="s">
        <v>322</v>
      </c>
      <c r="L69" s="84">
        <v>4.5</v>
      </c>
      <c r="M69" s="84">
        <v>4.5</v>
      </c>
      <c r="N69" s="84" t="s">
        <v>1018</v>
      </c>
      <c r="O69" s="84" t="s">
        <v>1019</v>
      </c>
      <c r="P69" s="85">
        <v>21735</v>
      </c>
      <c r="Q69" s="85"/>
      <c r="R69" s="85"/>
      <c r="S69" s="85"/>
      <c r="T69" s="85"/>
      <c r="U69" s="85">
        <v>21735</v>
      </c>
      <c r="V69" s="85"/>
      <c r="W69" s="85"/>
      <c r="X69" s="85"/>
      <c r="Y69" s="85"/>
      <c r="Z69" s="85"/>
      <c r="AA69" s="85"/>
      <c r="AB69" s="85">
        <v>0</v>
      </c>
      <c r="AC69" s="85"/>
      <c r="AD69" s="85"/>
      <c r="AE69" s="85"/>
      <c r="AF69" s="85"/>
      <c r="AG69" s="85">
        <f t="shared" si="0"/>
        <v>21735</v>
      </c>
      <c r="AH69" s="86" t="s">
        <v>944</v>
      </c>
      <c r="AI69" s="101" t="s">
        <v>634</v>
      </c>
      <c r="AJ69" s="84">
        <v>42</v>
      </c>
      <c r="AK69" s="84" t="s">
        <v>993</v>
      </c>
      <c r="AL69" s="84">
        <v>69.201999999999998</v>
      </c>
      <c r="AM69" s="84" t="s">
        <v>1020</v>
      </c>
      <c r="AN69" s="84"/>
      <c r="AO69" s="84" t="s">
        <v>751</v>
      </c>
      <c r="AP69" s="84" t="s">
        <v>751</v>
      </c>
      <c r="AQ69" s="84" t="s">
        <v>751</v>
      </c>
      <c r="AR69" s="84" t="s">
        <v>751</v>
      </c>
      <c r="AS69" s="84" t="s">
        <v>751</v>
      </c>
      <c r="AT69" s="84" t="s">
        <v>751</v>
      </c>
      <c r="AU69" s="84" t="s">
        <v>751</v>
      </c>
      <c r="AV69" s="84" t="s">
        <v>751</v>
      </c>
      <c r="AW69" s="84" t="s">
        <v>751</v>
      </c>
      <c r="AX69" s="84" t="s">
        <v>751</v>
      </c>
      <c r="AY69" s="84" t="s">
        <v>751</v>
      </c>
      <c r="AZ69" s="84" t="s">
        <v>742</v>
      </c>
      <c r="BA69" s="84" t="s">
        <v>1021</v>
      </c>
      <c r="BB69" s="80"/>
    </row>
    <row r="70" spans="1:54" ht="285" x14ac:dyDescent="0.25">
      <c r="A70" s="84" t="s">
        <v>49</v>
      </c>
      <c r="B70" s="84" t="s">
        <v>626</v>
      </c>
      <c r="C70" s="816"/>
      <c r="D70" s="816"/>
      <c r="E70" s="818"/>
      <c r="F70" s="84" t="s">
        <v>940</v>
      </c>
      <c r="G70" s="818"/>
      <c r="H70" s="84" t="s">
        <v>1022</v>
      </c>
      <c r="I70" s="84" t="s">
        <v>1023</v>
      </c>
      <c r="J70" s="84">
        <v>15</v>
      </c>
      <c r="K70" s="84" t="s">
        <v>323</v>
      </c>
      <c r="L70" s="84">
        <v>37</v>
      </c>
      <c r="M70" s="84">
        <v>10</v>
      </c>
      <c r="N70" s="84" t="s">
        <v>1023</v>
      </c>
      <c r="O70" s="84">
        <v>15</v>
      </c>
      <c r="P70" s="85">
        <v>84000</v>
      </c>
      <c r="Q70" s="85"/>
      <c r="R70" s="85"/>
      <c r="S70" s="85"/>
      <c r="T70" s="85"/>
      <c r="U70" s="85">
        <v>84000</v>
      </c>
      <c r="V70" s="85"/>
      <c r="W70" s="85"/>
      <c r="X70" s="85"/>
      <c r="Y70" s="85"/>
      <c r="Z70" s="85"/>
      <c r="AA70" s="85"/>
      <c r="AB70" s="85">
        <v>0</v>
      </c>
      <c r="AC70" s="85"/>
      <c r="AD70" s="85"/>
      <c r="AE70" s="85"/>
      <c r="AF70" s="85"/>
      <c r="AG70" s="85">
        <f t="shared" si="0"/>
        <v>84000</v>
      </c>
      <c r="AH70" s="86" t="s">
        <v>944</v>
      </c>
      <c r="AI70" s="101" t="s">
        <v>634</v>
      </c>
      <c r="AJ70" s="84" t="s">
        <v>1024</v>
      </c>
      <c r="AK70" s="84" t="s">
        <v>1025</v>
      </c>
      <c r="AL70" s="85">
        <v>176486</v>
      </c>
      <c r="AM70" s="84" t="s">
        <v>1026</v>
      </c>
      <c r="AN70" s="84"/>
      <c r="AO70" s="84" t="s">
        <v>751</v>
      </c>
      <c r="AP70" s="84" t="s">
        <v>751</v>
      </c>
      <c r="AQ70" s="84" t="s">
        <v>751</v>
      </c>
      <c r="AR70" s="84" t="s">
        <v>751</v>
      </c>
      <c r="AS70" s="84" t="s">
        <v>751</v>
      </c>
      <c r="AT70" s="84" t="s">
        <v>751</v>
      </c>
      <c r="AU70" s="84" t="s">
        <v>751</v>
      </c>
      <c r="AV70" s="84" t="s">
        <v>751</v>
      </c>
      <c r="AW70" s="84" t="s">
        <v>751</v>
      </c>
      <c r="AX70" s="84" t="s">
        <v>751</v>
      </c>
      <c r="AY70" s="84" t="s">
        <v>751</v>
      </c>
      <c r="AZ70" s="84" t="s">
        <v>742</v>
      </c>
      <c r="BA70" s="84" t="s">
        <v>1027</v>
      </c>
      <c r="BB70" s="80"/>
    </row>
    <row r="71" spans="1:54" ht="105" x14ac:dyDescent="0.25">
      <c r="A71" s="84" t="s">
        <v>49</v>
      </c>
      <c r="B71" s="84" t="s">
        <v>626</v>
      </c>
      <c r="C71" s="816"/>
      <c r="D71" s="816"/>
      <c r="E71" s="818"/>
      <c r="F71" s="84" t="s">
        <v>940</v>
      </c>
      <c r="G71" s="818"/>
      <c r="H71" s="84" t="s">
        <v>1028</v>
      </c>
      <c r="I71" s="84" t="s">
        <v>1029</v>
      </c>
      <c r="J71" s="84">
        <v>2</v>
      </c>
      <c r="K71" s="84" t="s">
        <v>323</v>
      </c>
      <c r="L71" s="84">
        <v>16</v>
      </c>
      <c r="M71" s="84">
        <v>4</v>
      </c>
      <c r="N71" s="84" t="s">
        <v>1029</v>
      </c>
      <c r="O71" s="84">
        <v>2</v>
      </c>
      <c r="P71" s="85">
        <v>31500</v>
      </c>
      <c r="Q71" s="85"/>
      <c r="R71" s="85"/>
      <c r="S71" s="85"/>
      <c r="T71" s="85"/>
      <c r="U71" s="85">
        <v>31500</v>
      </c>
      <c r="V71" s="85"/>
      <c r="W71" s="85"/>
      <c r="X71" s="85"/>
      <c r="Y71" s="85"/>
      <c r="Z71" s="85"/>
      <c r="AA71" s="85"/>
      <c r="AB71" s="85">
        <v>0</v>
      </c>
      <c r="AC71" s="85"/>
      <c r="AD71" s="85"/>
      <c r="AE71" s="85"/>
      <c r="AF71" s="85"/>
      <c r="AG71" s="85">
        <f t="shared" si="0"/>
        <v>31500</v>
      </c>
      <c r="AH71" s="86" t="s">
        <v>944</v>
      </c>
      <c r="AI71" s="101" t="s">
        <v>634</v>
      </c>
      <c r="AJ71" s="84" t="s">
        <v>1030</v>
      </c>
      <c r="AK71" s="84" t="s">
        <v>1031</v>
      </c>
      <c r="AL71" s="85">
        <v>117872</v>
      </c>
      <c r="AM71" s="84" t="s">
        <v>1032</v>
      </c>
      <c r="AN71" s="84"/>
      <c r="AO71" s="84" t="s">
        <v>751</v>
      </c>
      <c r="AP71" s="84" t="s">
        <v>751</v>
      </c>
      <c r="AQ71" s="84" t="s">
        <v>751</v>
      </c>
      <c r="AR71" s="84" t="s">
        <v>751</v>
      </c>
      <c r="AS71" s="84" t="s">
        <v>751</v>
      </c>
      <c r="AT71" s="84" t="s">
        <v>751</v>
      </c>
      <c r="AU71" s="84" t="s">
        <v>751</v>
      </c>
      <c r="AV71" s="84" t="s">
        <v>751</v>
      </c>
      <c r="AW71" s="84" t="s">
        <v>751</v>
      </c>
      <c r="AX71" s="84" t="s">
        <v>751</v>
      </c>
      <c r="AY71" s="84" t="s">
        <v>751</v>
      </c>
      <c r="AZ71" s="84" t="s">
        <v>742</v>
      </c>
      <c r="BA71" s="84" t="s">
        <v>1033</v>
      </c>
      <c r="BB71" s="80"/>
    </row>
    <row r="72" spans="1:54" ht="409.5" x14ac:dyDescent="0.25">
      <c r="A72" s="84" t="s">
        <v>49</v>
      </c>
      <c r="B72" s="84" t="s">
        <v>626</v>
      </c>
      <c r="C72" s="816"/>
      <c r="D72" s="816"/>
      <c r="E72" s="819"/>
      <c r="F72" s="84" t="s">
        <v>940</v>
      </c>
      <c r="G72" s="818"/>
      <c r="H72" s="84" t="s">
        <v>1034</v>
      </c>
      <c r="I72" s="84" t="s">
        <v>1035</v>
      </c>
      <c r="J72" s="106">
        <v>0</v>
      </c>
      <c r="K72" s="105" t="s">
        <v>323</v>
      </c>
      <c r="L72" s="106">
        <v>42</v>
      </c>
      <c r="M72" s="107">
        <v>10</v>
      </c>
      <c r="N72" s="84" t="s">
        <v>1035</v>
      </c>
      <c r="O72" s="106">
        <v>0</v>
      </c>
      <c r="P72" s="85">
        <v>84000</v>
      </c>
      <c r="Q72" s="85"/>
      <c r="R72" s="85"/>
      <c r="S72" s="85"/>
      <c r="T72" s="85"/>
      <c r="U72" s="85">
        <v>84000</v>
      </c>
      <c r="V72" s="85"/>
      <c r="W72" s="85"/>
      <c r="X72" s="85"/>
      <c r="Y72" s="85"/>
      <c r="Z72" s="85"/>
      <c r="AA72" s="85"/>
      <c r="AB72" s="85">
        <v>0</v>
      </c>
      <c r="AC72" s="85"/>
      <c r="AD72" s="85"/>
      <c r="AE72" s="85"/>
      <c r="AF72" s="85"/>
      <c r="AG72" s="85">
        <f t="shared" si="0"/>
        <v>84000</v>
      </c>
      <c r="AH72" s="86" t="s">
        <v>944</v>
      </c>
      <c r="AI72" s="101" t="s">
        <v>634</v>
      </c>
      <c r="AJ72" s="84" t="s">
        <v>1024</v>
      </c>
      <c r="AK72" s="84" t="s">
        <v>1025</v>
      </c>
      <c r="AL72" s="85">
        <v>176486</v>
      </c>
      <c r="AM72" s="84" t="s">
        <v>1036</v>
      </c>
      <c r="AN72" s="84"/>
      <c r="AO72" s="84" t="s">
        <v>751</v>
      </c>
      <c r="AP72" s="84" t="s">
        <v>751</v>
      </c>
      <c r="AQ72" s="84" t="s">
        <v>751</v>
      </c>
      <c r="AR72" s="84" t="s">
        <v>751</v>
      </c>
      <c r="AS72" s="84" t="s">
        <v>751</v>
      </c>
      <c r="AT72" s="84" t="s">
        <v>751</v>
      </c>
      <c r="AU72" s="84" t="s">
        <v>751</v>
      </c>
      <c r="AV72" s="84" t="s">
        <v>751</v>
      </c>
      <c r="AW72" s="84" t="s">
        <v>751</v>
      </c>
      <c r="AX72" s="84" t="s">
        <v>751</v>
      </c>
      <c r="AY72" s="84" t="s">
        <v>751</v>
      </c>
      <c r="AZ72" s="84" t="s">
        <v>742</v>
      </c>
      <c r="BA72" s="84" t="s">
        <v>1027</v>
      </c>
      <c r="BB72" s="80"/>
    </row>
    <row r="73" spans="1:54" ht="225" x14ac:dyDescent="0.25">
      <c r="A73" s="84" t="s">
        <v>49</v>
      </c>
      <c r="B73" s="84" t="s">
        <v>626</v>
      </c>
      <c r="C73" s="84" t="s">
        <v>1037</v>
      </c>
      <c r="D73" s="84" t="s">
        <v>1038</v>
      </c>
      <c r="E73" s="84" t="s">
        <v>685</v>
      </c>
      <c r="F73" s="84" t="s">
        <v>940</v>
      </c>
      <c r="G73" s="818"/>
      <c r="H73" s="84" t="s">
        <v>1039</v>
      </c>
      <c r="I73" s="84" t="s">
        <v>1040</v>
      </c>
      <c r="J73" s="105">
        <v>0</v>
      </c>
      <c r="K73" s="105" t="s">
        <v>322</v>
      </c>
      <c r="L73" s="106">
        <v>0</v>
      </c>
      <c r="M73" s="106">
        <v>0</v>
      </c>
      <c r="N73" s="84" t="s">
        <v>1040</v>
      </c>
      <c r="O73" s="91">
        <v>0</v>
      </c>
      <c r="P73" s="85">
        <v>31500</v>
      </c>
      <c r="Q73" s="85"/>
      <c r="R73" s="85"/>
      <c r="S73" s="85"/>
      <c r="T73" s="85"/>
      <c r="U73" s="85">
        <v>31500</v>
      </c>
      <c r="V73" s="85"/>
      <c r="W73" s="85"/>
      <c r="X73" s="85"/>
      <c r="Y73" s="85"/>
      <c r="Z73" s="85"/>
      <c r="AA73" s="85"/>
      <c r="AB73" s="85">
        <v>0</v>
      </c>
      <c r="AC73" s="85"/>
      <c r="AD73" s="85"/>
      <c r="AE73" s="85"/>
      <c r="AF73" s="85"/>
      <c r="AG73" s="85">
        <f t="shared" si="0"/>
        <v>31500</v>
      </c>
      <c r="AH73" s="86" t="s">
        <v>944</v>
      </c>
      <c r="AI73" s="101" t="s">
        <v>634</v>
      </c>
      <c r="AJ73" s="84">
        <v>42</v>
      </c>
      <c r="AK73" s="84" t="s">
        <v>993</v>
      </c>
      <c r="AL73" s="84">
        <v>69.201999999999998</v>
      </c>
      <c r="AM73" s="84" t="s">
        <v>1020</v>
      </c>
      <c r="AN73" s="84"/>
      <c r="AO73" s="84" t="s">
        <v>751</v>
      </c>
      <c r="AP73" s="84" t="s">
        <v>751</v>
      </c>
      <c r="AQ73" s="84" t="s">
        <v>751</v>
      </c>
      <c r="AR73" s="84" t="s">
        <v>751</v>
      </c>
      <c r="AS73" s="84" t="s">
        <v>751</v>
      </c>
      <c r="AT73" s="84" t="s">
        <v>751</v>
      </c>
      <c r="AU73" s="84" t="s">
        <v>751</v>
      </c>
      <c r="AV73" s="84" t="s">
        <v>751</v>
      </c>
      <c r="AW73" s="84" t="s">
        <v>751</v>
      </c>
      <c r="AX73" s="84" t="s">
        <v>751</v>
      </c>
      <c r="AY73" s="84" t="s">
        <v>751</v>
      </c>
      <c r="AZ73" s="84" t="s">
        <v>742</v>
      </c>
      <c r="BA73" s="84" t="s">
        <v>1021</v>
      </c>
      <c r="BB73" s="80"/>
    </row>
    <row r="74" spans="1:54" ht="270" x14ac:dyDescent="0.25">
      <c r="A74" s="84" t="s">
        <v>49</v>
      </c>
      <c r="B74" s="84" t="s">
        <v>626</v>
      </c>
      <c r="C74" s="84" t="s">
        <v>1041</v>
      </c>
      <c r="D74" s="84" t="s">
        <v>1042</v>
      </c>
      <c r="E74" s="84" t="s">
        <v>685</v>
      </c>
      <c r="F74" s="84" t="s">
        <v>940</v>
      </c>
      <c r="G74" s="819"/>
      <c r="H74" s="84" t="s">
        <v>1043</v>
      </c>
      <c r="I74" s="84" t="s">
        <v>1044</v>
      </c>
      <c r="J74" s="84">
        <v>10</v>
      </c>
      <c r="K74" s="84" t="s">
        <v>323</v>
      </c>
      <c r="L74" s="84">
        <v>10</v>
      </c>
      <c r="M74" s="84">
        <v>3</v>
      </c>
      <c r="N74" s="84" t="s">
        <v>1044</v>
      </c>
      <c r="O74" s="84">
        <v>10</v>
      </c>
      <c r="P74" s="85">
        <v>49350</v>
      </c>
      <c r="Q74" s="85"/>
      <c r="R74" s="85"/>
      <c r="S74" s="85"/>
      <c r="T74" s="85"/>
      <c r="U74" s="85">
        <v>49350</v>
      </c>
      <c r="V74" s="85"/>
      <c r="W74" s="85"/>
      <c r="X74" s="85"/>
      <c r="Y74" s="85"/>
      <c r="Z74" s="85"/>
      <c r="AA74" s="85"/>
      <c r="AB74" s="85">
        <v>0</v>
      </c>
      <c r="AC74" s="85"/>
      <c r="AD74" s="85"/>
      <c r="AE74" s="85"/>
      <c r="AF74" s="85"/>
      <c r="AG74" s="85">
        <f t="shared" si="0"/>
        <v>49350</v>
      </c>
      <c r="AH74" s="86" t="s">
        <v>944</v>
      </c>
      <c r="AI74" s="101" t="s">
        <v>634</v>
      </c>
      <c r="AJ74" s="84">
        <v>42</v>
      </c>
      <c r="AK74" s="84" t="s">
        <v>1045</v>
      </c>
      <c r="AL74" s="84" t="s">
        <v>662</v>
      </c>
      <c r="AM74" s="84" t="s">
        <v>1046</v>
      </c>
      <c r="AN74" s="84"/>
      <c r="AO74" s="84" t="s">
        <v>751</v>
      </c>
      <c r="AP74" s="84" t="s">
        <v>751</v>
      </c>
      <c r="AQ74" s="84" t="s">
        <v>751</v>
      </c>
      <c r="AR74" s="84" t="s">
        <v>751</v>
      </c>
      <c r="AS74" s="84" t="s">
        <v>751</v>
      </c>
      <c r="AT74" s="84" t="s">
        <v>751</v>
      </c>
      <c r="AU74" s="84" t="s">
        <v>751</v>
      </c>
      <c r="AV74" s="84" t="s">
        <v>751</v>
      </c>
      <c r="AW74" s="84" t="s">
        <v>751</v>
      </c>
      <c r="AX74" s="84" t="s">
        <v>751</v>
      </c>
      <c r="AY74" s="84" t="s">
        <v>751</v>
      </c>
      <c r="AZ74" s="84" t="s">
        <v>1047</v>
      </c>
      <c r="BA74" s="84"/>
      <c r="BB74" s="80"/>
    </row>
    <row r="75" spans="1:54" ht="409.5" x14ac:dyDescent="0.25">
      <c r="A75" s="84" t="s">
        <v>49</v>
      </c>
      <c r="B75" s="84" t="s">
        <v>626</v>
      </c>
      <c r="C75" s="816" t="s">
        <v>1048</v>
      </c>
      <c r="D75" s="816" t="s">
        <v>1049</v>
      </c>
      <c r="E75" s="816">
        <v>0.6</v>
      </c>
      <c r="F75" s="84" t="s">
        <v>1050</v>
      </c>
      <c r="G75" s="816" t="s">
        <v>1051</v>
      </c>
      <c r="H75" s="84" t="s">
        <v>1052</v>
      </c>
      <c r="I75" s="84" t="s">
        <v>1053</v>
      </c>
      <c r="J75" s="84">
        <v>1</v>
      </c>
      <c r="K75" s="84" t="s">
        <v>322</v>
      </c>
      <c r="L75" s="89">
        <v>1</v>
      </c>
      <c r="M75" s="89">
        <v>1</v>
      </c>
      <c r="N75" s="84" t="s">
        <v>1053</v>
      </c>
      <c r="O75" s="90">
        <v>1</v>
      </c>
      <c r="P75" s="85">
        <v>54458.25</v>
      </c>
      <c r="Q75" s="85"/>
      <c r="R75" s="85">
        <v>43958.25</v>
      </c>
      <c r="S75" s="85"/>
      <c r="T75" s="85"/>
      <c r="U75" s="85">
        <v>10500</v>
      </c>
      <c r="V75" s="85"/>
      <c r="W75" s="85"/>
      <c r="X75" s="85"/>
      <c r="Y75" s="85"/>
      <c r="Z75" s="85"/>
      <c r="AA75" s="85"/>
      <c r="AB75" s="85"/>
      <c r="AC75" s="85"/>
      <c r="AD75" s="85"/>
      <c r="AE75" s="85"/>
      <c r="AF75" s="85"/>
      <c r="AG75" s="85">
        <f t="shared" si="0"/>
        <v>54458.25</v>
      </c>
      <c r="AH75" s="86" t="s">
        <v>1054</v>
      </c>
      <c r="AI75" s="101" t="s">
        <v>634</v>
      </c>
      <c r="AJ75" s="84">
        <v>42</v>
      </c>
      <c r="AK75" s="84" t="s">
        <v>1055</v>
      </c>
      <c r="AL75" s="101" t="s">
        <v>662</v>
      </c>
      <c r="AM75" s="84" t="s">
        <v>1056</v>
      </c>
      <c r="AN75" s="84" t="s">
        <v>395</v>
      </c>
      <c r="AO75" s="84" t="s">
        <v>395</v>
      </c>
      <c r="AP75" s="84" t="s">
        <v>395</v>
      </c>
      <c r="AQ75" s="84" t="s">
        <v>395</v>
      </c>
      <c r="AR75" s="84" t="s">
        <v>395</v>
      </c>
      <c r="AS75" s="84" t="s">
        <v>395</v>
      </c>
      <c r="AT75" s="84" t="s">
        <v>395</v>
      </c>
      <c r="AU75" s="84" t="s">
        <v>395</v>
      </c>
      <c r="AV75" s="84" t="s">
        <v>395</v>
      </c>
      <c r="AW75" s="84" t="s">
        <v>395</v>
      </c>
      <c r="AX75" s="84" t="s">
        <v>395</v>
      </c>
      <c r="AY75" s="84" t="s">
        <v>395</v>
      </c>
      <c r="AZ75" s="84" t="s">
        <v>1057</v>
      </c>
      <c r="BA75" s="101" t="s">
        <v>646</v>
      </c>
      <c r="BB75" s="80"/>
    </row>
    <row r="76" spans="1:54" ht="270" x14ac:dyDescent="0.25">
      <c r="A76" s="84" t="s">
        <v>49</v>
      </c>
      <c r="B76" s="84" t="s">
        <v>626</v>
      </c>
      <c r="C76" s="816"/>
      <c r="D76" s="816"/>
      <c r="E76" s="816"/>
      <c r="F76" s="84" t="s">
        <v>1050</v>
      </c>
      <c r="G76" s="816"/>
      <c r="H76" s="84" t="s">
        <v>1058</v>
      </c>
      <c r="I76" s="84" t="s">
        <v>1059</v>
      </c>
      <c r="J76" s="84">
        <v>1</v>
      </c>
      <c r="K76" s="84" t="s">
        <v>322</v>
      </c>
      <c r="L76" s="89">
        <v>1</v>
      </c>
      <c r="M76" s="89">
        <v>1</v>
      </c>
      <c r="N76" s="84" t="s">
        <v>1059</v>
      </c>
      <c r="O76" s="90">
        <v>1</v>
      </c>
      <c r="P76" s="85">
        <v>54458.25</v>
      </c>
      <c r="Q76" s="85"/>
      <c r="R76" s="85">
        <v>43958.25</v>
      </c>
      <c r="S76" s="85"/>
      <c r="T76" s="85"/>
      <c r="U76" s="85">
        <v>10500</v>
      </c>
      <c r="V76" s="85"/>
      <c r="W76" s="85"/>
      <c r="X76" s="85"/>
      <c r="Y76" s="85"/>
      <c r="Z76" s="85"/>
      <c r="AA76" s="85"/>
      <c r="AB76" s="85"/>
      <c r="AC76" s="85"/>
      <c r="AD76" s="85"/>
      <c r="AE76" s="85"/>
      <c r="AF76" s="85"/>
      <c r="AG76" s="85">
        <f t="shared" si="0"/>
        <v>54458.25</v>
      </c>
      <c r="AH76" s="86" t="s">
        <v>1054</v>
      </c>
      <c r="AI76" s="101" t="s">
        <v>634</v>
      </c>
      <c r="AJ76" s="84">
        <v>42</v>
      </c>
      <c r="AK76" s="84" t="s">
        <v>1055</v>
      </c>
      <c r="AL76" s="101" t="s">
        <v>662</v>
      </c>
      <c r="AM76" s="84" t="s">
        <v>1060</v>
      </c>
      <c r="AN76" s="84" t="s">
        <v>395</v>
      </c>
      <c r="AO76" s="84" t="s">
        <v>395</v>
      </c>
      <c r="AP76" s="84" t="s">
        <v>395</v>
      </c>
      <c r="AQ76" s="84" t="s">
        <v>395</v>
      </c>
      <c r="AR76" s="84" t="s">
        <v>395</v>
      </c>
      <c r="AS76" s="84" t="s">
        <v>395</v>
      </c>
      <c r="AT76" s="84" t="s">
        <v>395</v>
      </c>
      <c r="AU76" s="84" t="s">
        <v>395</v>
      </c>
      <c r="AV76" s="84" t="s">
        <v>395</v>
      </c>
      <c r="AW76" s="84" t="s">
        <v>395</v>
      </c>
      <c r="AX76" s="84" t="s">
        <v>395</v>
      </c>
      <c r="AY76" s="84" t="s">
        <v>395</v>
      </c>
      <c r="AZ76" s="84" t="s">
        <v>1057</v>
      </c>
      <c r="BA76" s="101" t="s">
        <v>646</v>
      </c>
      <c r="BB76" s="80"/>
    </row>
    <row r="77" spans="1:54" ht="409.5" x14ac:dyDescent="0.25">
      <c r="A77" s="84" t="s">
        <v>49</v>
      </c>
      <c r="B77" s="84" t="s">
        <v>626</v>
      </c>
      <c r="C77" s="816"/>
      <c r="D77" s="816"/>
      <c r="E77" s="816"/>
      <c r="F77" s="84" t="s">
        <v>1050</v>
      </c>
      <c r="G77" s="816"/>
      <c r="H77" s="84" t="s">
        <v>1061</v>
      </c>
      <c r="I77" s="84" t="s">
        <v>1062</v>
      </c>
      <c r="J77" s="84">
        <v>1</v>
      </c>
      <c r="K77" s="84" t="s">
        <v>322</v>
      </c>
      <c r="L77" s="89">
        <v>1</v>
      </c>
      <c r="M77" s="89">
        <v>1</v>
      </c>
      <c r="N77" s="84" t="s">
        <v>1062</v>
      </c>
      <c r="O77" s="90">
        <v>1</v>
      </c>
      <c r="P77" s="85">
        <v>55756.05</v>
      </c>
      <c r="Q77" s="85"/>
      <c r="R77" s="85">
        <v>45256.05</v>
      </c>
      <c r="S77" s="85"/>
      <c r="T77" s="85"/>
      <c r="U77" s="85">
        <v>10500</v>
      </c>
      <c r="V77" s="85"/>
      <c r="W77" s="85"/>
      <c r="X77" s="85"/>
      <c r="Y77" s="85"/>
      <c r="Z77" s="85"/>
      <c r="AA77" s="85"/>
      <c r="AB77" s="85"/>
      <c r="AC77" s="85"/>
      <c r="AD77" s="85"/>
      <c r="AE77" s="85"/>
      <c r="AF77" s="85"/>
      <c r="AG77" s="85">
        <f t="shared" ref="AG77:AG140" si="1">SUM(Q77:AF77)</f>
        <v>55756.05</v>
      </c>
      <c r="AH77" s="86" t="s">
        <v>1054</v>
      </c>
      <c r="AI77" s="101" t="s">
        <v>634</v>
      </c>
      <c r="AJ77" s="84">
        <v>42</v>
      </c>
      <c r="AK77" s="84" t="s">
        <v>1055</v>
      </c>
      <c r="AL77" s="101" t="s">
        <v>662</v>
      </c>
      <c r="AM77" s="84" t="s">
        <v>1063</v>
      </c>
      <c r="AN77" s="84" t="s">
        <v>395</v>
      </c>
      <c r="AO77" s="84" t="s">
        <v>395</v>
      </c>
      <c r="AP77" s="84" t="s">
        <v>395</v>
      </c>
      <c r="AQ77" s="84" t="s">
        <v>395</v>
      </c>
      <c r="AR77" s="84" t="s">
        <v>395</v>
      </c>
      <c r="AS77" s="84" t="s">
        <v>395</v>
      </c>
      <c r="AT77" s="84" t="s">
        <v>395</v>
      </c>
      <c r="AU77" s="84" t="s">
        <v>395</v>
      </c>
      <c r="AV77" s="84" t="s">
        <v>395</v>
      </c>
      <c r="AW77" s="84" t="s">
        <v>395</v>
      </c>
      <c r="AX77" s="84" t="s">
        <v>395</v>
      </c>
      <c r="AY77" s="84" t="s">
        <v>395</v>
      </c>
      <c r="AZ77" s="84" t="s">
        <v>1057</v>
      </c>
      <c r="BA77" s="101" t="s">
        <v>646</v>
      </c>
      <c r="BB77" s="80"/>
    </row>
    <row r="78" spans="1:54" ht="270" x14ac:dyDescent="0.25">
      <c r="A78" s="84" t="s">
        <v>49</v>
      </c>
      <c r="B78" s="84" t="s">
        <v>626</v>
      </c>
      <c r="C78" s="816"/>
      <c r="D78" s="816"/>
      <c r="E78" s="816"/>
      <c r="F78" s="84" t="s">
        <v>1050</v>
      </c>
      <c r="G78" s="816"/>
      <c r="H78" s="84" t="s">
        <v>1064</v>
      </c>
      <c r="I78" s="84" t="s">
        <v>1065</v>
      </c>
      <c r="J78" s="84">
        <v>1</v>
      </c>
      <c r="K78" s="84" t="s">
        <v>322</v>
      </c>
      <c r="L78" s="89">
        <v>1</v>
      </c>
      <c r="M78" s="89">
        <v>1</v>
      </c>
      <c r="N78" s="84" t="s">
        <v>1065</v>
      </c>
      <c r="O78" s="90">
        <v>1</v>
      </c>
      <c r="P78" s="85">
        <v>55756.05</v>
      </c>
      <c r="Q78" s="85"/>
      <c r="R78" s="85">
        <v>45256.05</v>
      </c>
      <c r="S78" s="85"/>
      <c r="T78" s="85"/>
      <c r="U78" s="85">
        <v>10500</v>
      </c>
      <c r="V78" s="85"/>
      <c r="W78" s="85"/>
      <c r="X78" s="85"/>
      <c r="Y78" s="85"/>
      <c r="Z78" s="85"/>
      <c r="AA78" s="85"/>
      <c r="AB78" s="85"/>
      <c r="AC78" s="85"/>
      <c r="AD78" s="85"/>
      <c r="AE78" s="85"/>
      <c r="AF78" s="85"/>
      <c r="AG78" s="85">
        <f t="shared" si="1"/>
        <v>55756.05</v>
      </c>
      <c r="AH78" s="86" t="s">
        <v>1054</v>
      </c>
      <c r="AI78" s="101" t="s">
        <v>634</v>
      </c>
      <c r="AJ78" s="84">
        <v>42</v>
      </c>
      <c r="AK78" s="84" t="s">
        <v>1055</v>
      </c>
      <c r="AL78" s="101" t="s">
        <v>662</v>
      </c>
      <c r="AM78" s="84" t="s">
        <v>1066</v>
      </c>
      <c r="AN78" s="84" t="s">
        <v>395</v>
      </c>
      <c r="AO78" s="84" t="s">
        <v>395</v>
      </c>
      <c r="AP78" s="84" t="s">
        <v>395</v>
      </c>
      <c r="AQ78" s="84" t="s">
        <v>395</v>
      </c>
      <c r="AR78" s="84" t="s">
        <v>395</v>
      </c>
      <c r="AS78" s="84" t="s">
        <v>395</v>
      </c>
      <c r="AT78" s="84" t="s">
        <v>395</v>
      </c>
      <c r="AU78" s="84" t="s">
        <v>395</v>
      </c>
      <c r="AV78" s="84" t="s">
        <v>395</v>
      </c>
      <c r="AW78" s="84" t="s">
        <v>395</v>
      </c>
      <c r="AX78" s="84" t="s">
        <v>395</v>
      </c>
      <c r="AY78" s="84" t="s">
        <v>395</v>
      </c>
      <c r="AZ78" s="84" t="s">
        <v>1057</v>
      </c>
      <c r="BA78" s="101" t="s">
        <v>646</v>
      </c>
      <c r="BB78" s="80"/>
    </row>
    <row r="79" spans="1:54" ht="409.5" x14ac:dyDescent="0.25">
      <c r="A79" s="84" t="s">
        <v>49</v>
      </c>
      <c r="B79" s="84" t="s">
        <v>626</v>
      </c>
      <c r="C79" s="816"/>
      <c r="D79" s="816"/>
      <c r="E79" s="816"/>
      <c r="F79" s="84" t="s">
        <v>1050</v>
      </c>
      <c r="G79" s="816"/>
      <c r="H79" s="84" t="s">
        <v>1067</v>
      </c>
      <c r="I79" s="84" t="s">
        <v>1068</v>
      </c>
      <c r="J79" s="84">
        <v>1</v>
      </c>
      <c r="K79" s="84" t="s">
        <v>322</v>
      </c>
      <c r="L79" s="89">
        <v>1</v>
      </c>
      <c r="M79" s="89">
        <v>1</v>
      </c>
      <c r="N79" s="84" t="s">
        <v>1068</v>
      </c>
      <c r="O79" s="90">
        <v>1</v>
      </c>
      <c r="P79" s="85">
        <v>55756.05</v>
      </c>
      <c r="Q79" s="85"/>
      <c r="R79" s="85">
        <v>45256.05</v>
      </c>
      <c r="S79" s="85"/>
      <c r="T79" s="85"/>
      <c r="U79" s="85">
        <v>10500</v>
      </c>
      <c r="V79" s="85"/>
      <c r="W79" s="85"/>
      <c r="X79" s="85"/>
      <c r="Y79" s="85"/>
      <c r="Z79" s="85"/>
      <c r="AA79" s="85"/>
      <c r="AB79" s="85"/>
      <c r="AC79" s="85"/>
      <c r="AD79" s="85"/>
      <c r="AE79" s="85"/>
      <c r="AF79" s="85"/>
      <c r="AG79" s="85">
        <f t="shared" si="1"/>
        <v>55756.05</v>
      </c>
      <c r="AH79" s="86" t="s">
        <v>1054</v>
      </c>
      <c r="AI79" s="101" t="s">
        <v>634</v>
      </c>
      <c r="AJ79" s="84">
        <v>42</v>
      </c>
      <c r="AK79" s="84" t="s">
        <v>1055</v>
      </c>
      <c r="AL79" s="101" t="s">
        <v>662</v>
      </c>
      <c r="AM79" s="84" t="s">
        <v>1069</v>
      </c>
      <c r="AN79" s="84" t="s">
        <v>395</v>
      </c>
      <c r="AO79" s="84" t="s">
        <v>395</v>
      </c>
      <c r="AP79" s="84" t="s">
        <v>395</v>
      </c>
      <c r="AQ79" s="84" t="s">
        <v>395</v>
      </c>
      <c r="AR79" s="84" t="s">
        <v>395</v>
      </c>
      <c r="AS79" s="84" t="s">
        <v>395</v>
      </c>
      <c r="AT79" s="84" t="s">
        <v>395</v>
      </c>
      <c r="AU79" s="84" t="s">
        <v>395</v>
      </c>
      <c r="AV79" s="84" t="s">
        <v>395</v>
      </c>
      <c r="AW79" s="84" t="s">
        <v>395</v>
      </c>
      <c r="AX79" s="84" t="s">
        <v>395</v>
      </c>
      <c r="AY79" s="84" t="s">
        <v>395</v>
      </c>
      <c r="AZ79" s="84" t="s">
        <v>1057</v>
      </c>
      <c r="BA79" s="101" t="s">
        <v>646</v>
      </c>
      <c r="BB79" s="80"/>
    </row>
    <row r="80" spans="1:54" ht="270" x14ac:dyDescent="0.25">
      <c r="A80" s="84" t="s">
        <v>49</v>
      </c>
      <c r="B80" s="84" t="s">
        <v>626</v>
      </c>
      <c r="C80" s="816"/>
      <c r="D80" s="816"/>
      <c r="E80" s="816"/>
      <c r="F80" s="84" t="s">
        <v>1050</v>
      </c>
      <c r="G80" s="816"/>
      <c r="H80" s="84" t="s">
        <v>1070</v>
      </c>
      <c r="I80" s="84" t="s">
        <v>1071</v>
      </c>
      <c r="J80" s="84">
        <v>0</v>
      </c>
      <c r="K80" s="84" t="s">
        <v>323</v>
      </c>
      <c r="L80" s="89">
        <v>1</v>
      </c>
      <c r="M80" s="89">
        <v>0</v>
      </c>
      <c r="N80" s="84" t="s">
        <v>1071</v>
      </c>
      <c r="O80" s="90">
        <v>0</v>
      </c>
      <c r="P80" s="85">
        <v>0</v>
      </c>
      <c r="Q80" s="85"/>
      <c r="R80" s="85">
        <v>0</v>
      </c>
      <c r="S80" s="85"/>
      <c r="T80" s="85"/>
      <c r="U80" s="85">
        <v>0</v>
      </c>
      <c r="V80" s="85"/>
      <c r="W80" s="85"/>
      <c r="X80" s="85"/>
      <c r="Y80" s="85"/>
      <c r="Z80" s="85"/>
      <c r="AA80" s="85"/>
      <c r="AB80" s="85"/>
      <c r="AC80" s="85"/>
      <c r="AD80" s="85"/>
      <c r="AE80" s="85"/>
      <c r="AF80" s="85"/>
      <c r="AG80" s="85">
        <f t="shared" si="1"/>
        <v>0</v>
      </c>
      <c r="AH80" s="86" t="s">
        <v>1054</v>
      </c>
      <c r="AI80" s="101" t="s">
        <v>634</v>
      </c>
      <c r="AJ80" s="84">
        <v>42</v>
      </c>
      <c r="AK80" s="84" t="s">
        <v>1055</v>
      </c>
      <c r="AL80" s="101" t="s">
        <v>662</v>
      </c>
      <c r="AM80" s="84" t="s">
        <v>1072</v>
      </c>
      <c r="AN80" s="84" t="s">
        <v>395</v>
      </c>
      <c r="AO80" s="84" t="s">
        <v>395</v>
      </c>
      <c r="AP80" s="84" t="s">
        <v>395</v>
      </c>
      <c r="AQ80" s="84" t="s">
        <v>395</v>
      </c>
      <c r="AR80" s="84" t="s">
        <v>395</v>
      </c>
      <c r="AS80" s="84" t="s">
        <v>395</v>
      </c>
      <c r="AT80" s="84" t="s">
        <v>395</v>
      </c>
      <c r="AU80" s="84" t="s">
        <v>395</v>
      </c>
      <c r="AV80" s="84" t="s">
        <v>395</v>
      </c>
      <c r="AW80" s="84" t="s">
        <v>395</v>
      </c>
      <c r="AX80" s="84" t="s">
        <v>395</v>
      </c>
      <c r="AY80" s="84" t="s">
        <v>395</v>
      </c>
      <c r="AZ80" s="84" t="s">
        <v>1057</v>
      </c>
      <c r="BA80" s="101" t="s">
        <v>646</v>
      </c>
      <c r="BB80" s="80"/>
    </row>
    <row r="81" spans="1:54" ht="270" x14ac:dyDescent="0.25">
      <c r="A81" s="84" t="s">
        <v>49</v>
      </c>
      <c r="B81" s="84" t="s">
        <v>626</v>
      </c>
      <c r="C81" s="816"/>
      <c r="D81" s="816"/>
      <c r="E81" s="816"/>
      <c r="F81" s="84" t="s">
        <v>1050</v>
      </c>
      <c r="G81" s="816"/>
      <c r="H81" s="84" t="s">
        <v>1073</v>
      </c>
      <c r="I81" s="84" t="s">
        <v>1074</v>
      </c>
      <c r="J81" s="84">
        <v>0</v>
      </c>
      <c r="K81" s="84" t="s">
        <v>323</v>
      </c>
      <c r="L81" s="89">
        <v>0.5</v>
      </c>
      <c r="M81" s="89">
        <v>0.1</v>
      </c>
      <c r="N81" s="84" t="s">
        <v>1074</v>
      </c>
      <c r="O81" s="90">
        <v>0</v>
      </c>
      <c r="P81" s="85">
        <v>42000</v>
      </c>
      <c r="Q81" s="85"/>
      <c r="R81" s="85">
        <v>0</v>
      </c>
      <c r="S81" s="85"/>
      <c r="T81" s="85"/>
      <c r="U81" s="85">
        <v>42000</v>
      </c>
      <c r="V81" s="85"/>
      <c r="W81" s="85"/>
      <c r="X81" s="85"/>
      <c r="Y81" s="85"/>
      <c r="Z81" s="85"/>
      <c r="AA81" s="85"/>
      <c r="AB81" s="85"/>
      <c r="AC81" s="85"/>
      <c r="AD81" s="85"/>
      <c r="AE81" s="85"/>
      <c r="AF81" s="85"/>
      <c r="AG81" s="85">
        <f t="shared" si="1"/>
        <v>42000</v>
      </c>
      <c r="AH81" s="86" t="s">
        <v>1054</v>
      </c>
      <c r="AI81" s="101" t="s">
        <v>634</v>
      </c>
      <c r="AJ81" s="84">
        <v>42</v>
      </c>
      <c r="AK81" s="84" t="s">
        <v>1055</v>
      </c>
      <c r="AL81" s="101" t="s">
        <v>662</v>
      </c>
      <c r="AM81" s="84" t="s">
        <v>1075</v>
      </c>
      <c r="AN81" s="84" t="s">
        <v>395</v>
      </c>
      <c r="AO81" s="84" t="s">
        <v>395</v>
      </c>
      <c r="AP81" s="84" t="s">
        <v>395</v>
      </c>
      <c r="AQ81" s="84" t="s">
        <v>395</v>
      </c>
      <c r="AR81" s="84" t="s">
        <v>395</v>
      </c>
      <c r="AS81" s="84" t="s">
        <v>395</v>
      </c>
      <c r="AT81" s="84" t="s">
        <v>395</v>
      </c>
      <c r="AU81" s="84" t="s">
        <v>395</v>
      </c>
      <c r="AV81" s="84" t="s">
        <v>395</v>
      </c>
      <c r="AW81" s="84" t="s">
        <v>395</v>
      </c>
      <c r="AX81" s="84" t="s">
        <v>395</v>
      </c>
      <c r="AY81" s="84" t="s">
        <v>395</v>
      </c>
      <c r="AZ81" s="84" t="s">
        <v>1057</v>
      </c>
      <c r="BA81" s="101" t="s">
        <v>646</v>
      </c>
      <c r="BB81" s="80"/>
    </row>
    <row r="82" spans="1:54" ht="345" x14ac:dyDescent="0.25">
      <c r="A82" s="84" t="s">
        <v>49</v>
      </c>
      <c r="B82" s="84" t="s">
        <v>626</v>
      </c>
      <c r="C82" s="84" t="s">
        <v>1076</v>
      </c>
      <c r="D82" s="84" t="s">
        <v>1077</v>
      </c>
      <c r="E82" s="84">
        <v>0</v>
      </c>
      <c r="F82" s="84" t="s">
        <v>1078</v>
      </c>
      <c r="G82" s="816" t="s">
        <v>1079</v>
      </c>
      <c r="H82" s="84" t="s">
        <v>1080</v>
      </c>
      <c r="I82" s="84" t="s">
        <v>1081</v>
      </c>
      <c r="J82" s="84">
        <v>0</v>
      </c>
      <c r="K82" s="84" t="s">
        <v>323</v>
      </c>
      <c r="L82" s="89">
        <v>1</v>
      </c>
      <c r="M82" s="89">
        <v>0.3</v>
      </c>
      <c r="N82" s="84" t="s">
        <v>1081</v>
      </c>
      <c r="O82" s="90">
        <v>0</v>
      </c>
      <c r="P82" s="85">
        <v>10500</v>
      </c>
      <c r="Q82" s="85"/>
      <c r="R82" s="85"/>
      <c r="S82" s="85"/>
      <c r="T82" s="85"/>
      <c r="U82" s="85">
        <v>10500</v>
      </c>
      <c r="V82" s="85"/>
      <c r="W82" s="85"/>
      <c r="X82" s="85"/>
      <c r="Y82" s="85"/>
      <c r="Z82" s="85"/>
      <c r="AA82" s="85"/>
      <c r="AB82" s="85"/>
      <c r="AC82" s="85"/>
      <c r="AD82" s="85"/>
      <c r="AE82" s="85"/>
      <c r="AF82" s="85"/>
      <c r="AG82" s="85">
        <f t="shared" si="1"/>
        <v>10500</v>
      </c>
      <c r="AH82" s="86" t="s">
        <v>1082</v>
      </c>
      <c r="AI82" s="101" t="s">
        <v>634</v>
      </c>
      <c r="AJ82" s="84" t="s">
        <v>1083</v>
      </c>
      <c r="AK82" s="84" t="s">
        <v>1084</v>
      </c>
      <c r="AL82" s="85">
        <v>146052</v>
      </c>
      <c r="AM82" s="84" t="s">
        <v>1085</v>
      </c>
      <c r="AN82" s="84"/>
      <c r="AO82" s="84" t="s">
        <v>751</v>
      </c>
      <c r="AP82" s="84" t="s">
        <v>751</v>
      </c>
      <c r="AQ82" s="84" t="s">
        <v>751</v>
      </c>
      <c r="AR82" s="84" t="s">
        <v>751</v>
      </c>
      <c r="AS82" s="84" t="s">
        <v>751</v>
      </c>
      <c r="AT82" s="84" t="s">
        <v>751</v>
      </c>
      <c r="AU82" s="84" t="s">
        <v>751</v>
      </c>
      <c r="AV82" s="84" t="s">
        <v>751</v>
      </c>
      <c r="AW82" s="84" t="s">
        <v>751</v>
      </c>
      <c r="AX82" s="84" t="s">
        <v>751</v>
      </c>
      <c r="AY82" s="84" t="s">
        <v>751</v>
      </c>
      <c r="AZ82" s="84" t="s">
        <v>695</v>
      </c>
      <c r="BA82" s="84" t="s">
        <v>1086</v>
      </c>
      <c r="BB82" s="80"/>
    </row>
    <row r="83" spans="1:54" ht="285" x14ac:dyDescent="0.25">
      <c r="A83" s="84" t="s">
        <v>49</v>
      </c>
      <c r="B83" s="84" t="s">
        <v>626</v>
      </c>
      <c r="C83" s="816" t="s">
        <v>1087</v>
      </c>
      <c r="D83" s="816" t="s">
        <v>1088</v>
      </c>
      <c r="E83" s="816">
        <v>0</v>
      </c>
      <c r="F83" s="84" t="s">
        <v>1078</v>
      </c>
      <c r="G83" s="816"/>
      <c r="H83" s="84" t="s">
        <v>1089</v>
      </c>
      <c r="I83" s="84" t="s">
        <v>1090</v>
      </c>
      <c r="J83" s="84">
        <v>8</v>
      </c>
      <c r="K83" s="84" t="s">
        <v>323</v>
      </c>
      <c r="L83" s="84">
        <v>32</v>
      </c>
      <c r="M83" s="84">
        <v>10</v>
      </c>
      <c r="N83" s="84" t="s">
        <v>1090</v>
      </c>
      <c r="O83" s="84">
        <v>8</v>
      </c>
      <c r="P83" s="85">
        <v>10500</v>
      </c>
      <c r="Q83" s="85"/>
      <c r="R83" s="85"/>
      <c r="S83" s="85"/>
      <c r="T83" s="85"/>
      <c r="U83" s="85">
        <v>10500</v>
      </c>
      <c r="V83" s="85"/>
      <c r="W83" s="85"/>
      <c r="X83" s="85"/>
      <c r="Y83" s="85"/>
      <c r="Z83" s="85"/>
      <c r="AA83" s="85"/>
      <c r="AB83" s="85"/>
      <c r="AC83" s="85"/>
      <c r="AD83" s="85"/>
      <c r="AE83" s="85"/>
      <c r="AF83" s="85"/>
      <c r="AG83" s="85">
        <f t="shared" si="1"/>
        <v>10500</v>
      </c>
      <c r="AH83" s="86" t="s">
        <v>1082</v>
      </c>
      <c r="AI83" s="101" t="s">
        <v>634</v>
      </c>
      <c r="AJ83" s="84" t="s">
        <v>1083</v>
      </c>
      <c r="AK83" s="84" t="s">
        <v>1084</v>
      </c>
      <c r="AL83" s="85">
        <v>146052</v>
      </c>
      <c r="AM83" s="84" t="s">
        <v>1091</v>
      </c>
      <c r="AN83" s="84"/>
      <c r="AO83" s="84" t="s">
        <v>751</v>
      </c>
      <c r="AP83" s="84" t="s">
        <v>751</v>
      </c>
      <c r="AQ83" s="84" t="s">
        <v>751</v>
      </c>
      <c r="AR83" s="84" t="s">
        <v>751</v>
      </c>
      <c r="AS83" s="84" t="s">
        <v>751</v>
      </c>
      <c r="AT83" s="84" t="s">
        <v>751</v>
      </c>
      <c r="AU83" s="84" t="s">
        <v>751</v>
      </c>
      <c r="AV83" s="84" t="s">
        <v>751</v>
      </c>
      <c r="AW83" s="84" t="s">
        <v>751</v>
      </c>
      <c r="AX83" s="84" t="s">
        <v>751</v>
      </c>
      <c r="AY83" s="84" t="s">
        <v>751</v>
      </c>
      <c r="AZ83" s="84" t="s">
        <v>695</v>
      </c>
      <c r="BA83" s="84" t="s">
        <v>1086</v>
      </c>
      <c r="BB83" s="80"/>
    </row>
    <row r="84" spans="1:54" ht="270" x14ac:dyDescent="0.25">
      <c r="A84" s="84" t="s">
        <v>49</v>
      </c>
      <c r="B84" s="84" t="s">
        <v>626</v>
      </c>
      <c r="C84" s="816"/>
      <c r="D84" s="816"/>
      <c r="E84" s="816"/>
      <c r="F84" s="84" t="s">
        <v>1078</v>
      </c>
      <c r="G84" s="816"/>
      <c r="H84" s="84" t="s">
        <v>1092</v>
      </c>
      <c r="I84" s="84" t="s">
        <v>1093</v>
      </c>
      <c r="J84" s="84">
        <v>8</v>
      </c>
      <c r="K84" s="84" t="s">
        <v>323</v>
      </c>
      <c r="L84" s="84">
        <v>32</v>
      </c>
      <c r="M84" s="84">
        <v>10</v>
      </c>
      <c r="N84" s="84" t="s">
        <v>1093</v>
      </c>
      <c r="O84" s="84">
        <v>8</v>
      </c>
      <c r="P84" s="85">
        <v>21000</v>
      </c>
      <c r="Q84" s="85"/>
      <c r="R84" s="85"/>
      <c r="S84" s="85"/>
      <c r="T84" s="85"/>
      <c r="U84" s="85">
        <v>21000</v>
      </c>
      <c r="V84" s="85"/>
      <c r="W84" s="85"/>
      <c r="X84" s="85"/>
      <c r="Y84" s="85"/>
      <c r="Z84" s="85"/>
      <c r="AA84" s="85"/>
      <c r="AB84" s="85"/>
      <c r="AC84" s="85"/>
      <c r="AD84" s="85"/>
      <c r="AE84" s="85"/>
      <c r="AF84" s="85"/>
      <c r="AG84" s="85">
        <f t="shared" si="1"/>
        <v>21000</v>
      </c>
      <c r="AH84" s="86" t="s">
        <v>1082</v>
      </c>
      <c r="AI84" s="101" t="s">
        <v>634</v>
      </c>
      <c r="AJ84" s="84" t="s">
        <v>1083</v>
      </c>
      <c r="AK84" s="84" t="s">
        <v>1084</v>
      </c>
      <c r="AL84" s="85">
        <v>146052</v>
      </c>
      <c r="AM84" s="84" t="s">
        <v>1094</v>
      </c>
      <c r="AN84" s="84"/>
      <c r="AO84" s="84" t="s">
        <v>751</v>
      </c>
      <c r="AP84" s="84" t="s">
        <v>751</v>
      </c>
      <c r="AQ84" s="84" t="s">
        <v>751</v>
      </c>
      <c r="AR84" s="84" t="s">
        <v>751</v>
      </c>
      <c r="AS84" s="84" t="s">
        <v>751</v>
      </c>
      <c r="AT84" s="84" t="s">
        <v>751</v>
      </c>
      <c r="AU84" s="84" t="s">
        <v>751</v>
      </c>
      <c r="AV84" s="84" t="s">
        <v>751</v>
      </c>
      <c r="AW84" s="84" t="s">
        <v>751</v>
      </c>
      <c r="AX84" s="84" t="s">
        <v>751</v>
      </c>
      <c r="AY84" s="84" t="s">
        <v>751</v>
      </c>
      <c r="AZ84" s="84" t="s">
        <v>695</v>
      </c>
      <c r="BA84" s="84" t="s">
        <v>1086</v>
      </c>
      <c r="BB84" s="80"/>
    </row>
    <row r="85" spans="1:54" ht="300" x14ac:dyDescent="0.25">
      <c r="A85" s="84" t="s">
        <v>49</v>
      </c>
      <c r="B85" s="84" t="s">
        <v>626</v>
      </c>
      <c r="C85" s="816" t="s">
        <v>1095</v>
      </c>
      <c r="D85" s="816" t="s">
        <v>1096</v>
      </c>
      <c r="E85" s="816">
        <v>0.2</v>
      </c>
      <c r="F85" s="84" t="s">
        <v>1097</v>
      </c>
      <c r="G85" s="816" t="s">
        <v>1098</v>
      </c>
      <c r="H85" s="84" t="s">
        <v>1099</v>
      </c>
      <c r="I85" s="84" t="s">
        <v>1100</v>
      </c>
      <c r="J85" s="105">
        <v>1</v>
      </c>
      <c r="K85" s="105" t="s">
        <v>323</v>
      </c>
      <c r="L85" s="105">
        <v>0.45</v>
      </c>
      <c r="M85" s="105">
        <v>0.1</v>
      </c>
      <c r="N85" s="84" t="s">
        <v>1100</v>
      </c>
      <c r="O85" s="105">
        <v>1</v>
      </c>
      <c r="P85" s="85">
        <v>21000</v>
      </c>
      <c r="Q85" s="85"/>
      <c r="R85" s="85">
        <v>0</v>
      </c>
      <c r="S85" s="85"/>
      <c r="T85" s="85"/>
      <c r="U85" s="85">
        <v>21000</v>
      </c>
      <c r="V85" s="85"/>
      <c r="W85" s="85"/>
      <c r="X85" s="85"/>
      <c r="Y85" s="85"/>
      <c r="Z85" s="85"/>
      <c r="AA85" s="85"/>
      <c r="AB85" s="85"/>
      <c r="AC85" s="85"/>
      <c r="AD85" s="85"/>
      <c r="AE85" s="85"/>
      <c r="AF85" s="85"/>
      <c r="AG85" s="85">
        <f t="shared" si="1"/>
        <v>21000</v>
      </c>
      <c r="AH85" s="86" t="s">
        <v>1101</v>
      </c>
      <c r="AI85" s="101" t="s">
        <v>634</v>
      </c>
      <c r="AJ85" s="84" t="s">
        <v>1102</v>
      </c>
      <c r="AK85" s="84" t="s">
        <v>1103</v>
      </c>
      <c r="AL85" s="84">
        <v>4.4669999999999996</v>
      </c>
      <c r="AM85" s="84" t="s">
        <v>1104</v>
      </c>
      <c r="AN85" s="84"/>
      <c r="AO85" s="84"/>
      <c r="AP85" s="84" t="s">
        <v>395</v>
      </c>
      <c r="AQ85" s="84" t="s">
        <v>395</v>
      </c>
      <c r="AR85" s="84" t="s">
        <v>395</v>
      </c>
      <c r="AS85" s="84" t="s">
        <v>395</v>
      </c>
      <c r="AT85" s="84" t="s">
        <v>395</v>
      </c>
      <c r="AU85" s="84" t="s">
        <v>395</v>
      </c>
      <c r="AV85" s="84" t="s">
        <v>395</v>
      </c>
      <c r="AW85" s="84" t="s">
        <v>395</v>
      </c>
      <c r="AX85" s="84" t="s">
        <v>395</v>
      </c>
      <c r="AY85" s="84" t="s">
        <v>395</v>
      </c>
      <c r="AZ85" s="84" t="s">
        <v>695</v>
      </c>
      <c r="BA85" s="84" t="s">
        <v>1105</v>
      </c>
      <c r="BB85" s="80"/>
    </row>
    <row r="86" spans="1:54" ht="255" x14ac:dyDescent="0.25">
      <c r="A86" s="84" t="s">
        <v>49</v>
      </c>
      <c r="B86" s="84" t="s">
        <v>626</v>
      </c>
      <c r="C86" s="816"/>
      <c r="D86" s="816"/>
      <c r="E86" s="816"/>
      <c r="F86" s="84" t="s">
        <v>1097</v>
      </c>
      <c r="G86" s="816"/>
      <c r="H86" s="84" t="s">
        <v>1106</v>
      </c>
      <c r="I86" s="84" t="s">
        <v>1107</v>
      </c>
      <c r="J86" s="105">
        <v>1</v>
      </c>
      <c r="K86" s="105" t="s">
        <v>323</v>
      </c>
      <c r="L86" s="105">
        <v>1</v>
      </c>
      <c r="M86" s="105">
        <v>0.25</v>
      </c>
      <c r="N86" s="84" t="s">
        <v>1107</v>
      </c>
      <c r="O86" s="105">
        <v>1</v>
      </c>
      <c r="P86" s="85">
        <v>21000</v>
      </c>
      <c r="Q86" s="85"/>
      <c r="R86" s="85">
        <v>0</v>
      </c>
      <c r="S86" s="85"/>
      <c r="T86" s="85"/>
      <c r="U86" s="85">
        <v>21000</v>
      </c>
      <c r="V86" s="85"/>
      <c r="W86" s="85"/>
      <c r="X86" s="85"/>
      <c r="Y86" s="85"/>
      <c r="Z86" s="85"/>
      <c r="AA86" s="85"/>
      <c r="AB86" s="85"/>
      <c r="AC86" s="85"/>
      <c r="AD86" s="85"/>
      <c r="AE86" s="85"/>
      <c r="AF86" s="85"/>
      <c r="AG86" s="85">
        <f t="shared" si="1"/>
        <v>21000</v>
      </c>
      <c r="AH86" s="86" t="s">
        <v>1101</v>
      </c>
      <c r="AI86" s="101" t="s">
        <v>634</v>
      </c>
      <c r="AJ86" s="84" t="s">
        <v>1102</v>
      </c>
      <c r="AK86" s="84" t="s">
        <v>1108</v>
      </c>
      <c r="AL86" s="84">
        <v>18.548999999999999</v>
      </c>
      <c r="AM86" s="84" t="s">
        <v>1109</v>
      </c>
      <c r="AN86" s="84"/>
      <c r="AO86" s="84"/>
      <c r="AP86" s="84" t="s">
        <v>395</v>
      </c>
      <c r="AQ86" s="84" t="s">
        <v>395</v>
      </c>
      <c r="AR86" s="84" t="s">
        <v>395</v>
      </c>
      <c r="AS86" s="84" t="s">
        <v>395</v>
      </c>
      <c r="AT86" s="84" t="s">
        <v>395</v>
      </c>
      <c r="AU86" s="84" t="s">
        <v>395</v>
      </c>
      <c r="AV86" s="84" t="s">
        <v>395</v>
      </c>
      <c r="AW86" s="84" t="s">
        <v>395</v>
      </c>
      <c r="AX86" s="84" t="s">
        <v>395</v>
      </c>
      <c r="AY86" s="84" t="s">
        <v>395</v>
      </c>
      <c r="AZ86" s="84" t="s">
        <v>695</v>
      </c>
      <c r="BA86" s="84" t="s">
        <v>1110</v>
      </c>
      <c r="BB86" s="80"/>
    </row>
    <row r="87" spans="1:54" ht="375" x14ac:dyDescent="0.25">
      <c r="A87" s="84" t="s">
        <v>49</v>
      </c>
      <c r="B87" s="84" t="s">
        <v>626</v>
      </c>
      <c r="C87" s="816"/>
      <c r="D87" s="816"/>
      <c r="E87" s="816"/>
      <c r="F87" s="84" t="s">
        <v>1097</v>
      </c>
      <c r="G87" s="816"/>
      <c r="H87" s="84" t="s">
        <v>1111</v>
      </c>
      <c r="I87" s="84" t="s">
        <v>1112</v>
      </c>
      <c r="J87" s="105" t="s">
        <v>1113</v>
      </c>
      <c r="K87" s="105" t="s">
        <v>323</v>
      </c>
      <c r="L87" s="105">
        <v>1</v>
      </c>
      <c r="M87" s="105">
        <v>0.2</v>
      </c>
      <c r="N87" s="84" t="s">
        <v>1112</v>
      </c>
      <c r="O87" s="105" t="s">
        <v>1113</v>
      </c>
      <c r="P87" s="85">
        <v>31500</v>
      </c>
      <c r="Q87" s="85"/>
      <c r="R87" s="85">
        <v>0</v>
      </c>
      <c r="S87" s="85"/>
      <c r="T87" s="85"/>
      <c r="U87" s="85">
        <v>31500</v>
      </c>
      <c r="V87" s="85"/>
      <c r="W87" s="85"/>
      <c r="X87" s="85"/>
      <c r="Y87" s="85"/>
      <c r="Z87" s="85"/>
      <c r="AA87" s="85"/>
      <c r="AB87" s="85"/>
      <c r="AC87" s="85"/>
      <c r="AD87" s="85"/>
      <c r="AE87" s="85"/>
      <c r="AF87" s="85"/>
      <c r="AG87" s="85">
        <f t="shared" si="1"/>
        <v>31500</v>
      </c>
      <c r="AH87" s="86" t="s">
        <v>1101</v>
      </c>
      <c r="AI87" s="101" t="s">
        <v>634</v>
      </c>
      <c r="AJ87" s="84" t="s">
        <v>1114</v>
      </c>
      <c r="AK87" s="84" t="s">
        <v>1115</v>
      </c>
      <c r="AL87" s="84">
        <v>919.71600000000001</v>
      </c>
      <c r="AM87" s="84" t="s">
        <v>1116</v>
      </c>
      <c r="AN87" s="84"/>
      <c r="AO87" s="84"/>
      <c r="AP87" s="84" t="s">
        <v>395</v>
      </c>
      <c r="AQ87" s="84" t="s">
        <v>395</v>
      </c>
      <c r="AR87" s="84" t="s">
        <v>395</v>
      </c>
      <c r="AS87" s="84" t="s">
        <v>395</v>
      </c>
      <c r="AT87" s="84" t="s">
        <v>395</v>
      </c>
      <c r="AU87" s="84" t="s">
        <v>395</v>
      </c>
      <c r="AV87" s="84" t="s">
        <v>395</v>
      </c>
      <c r="AW87" s="84" t="s">
        <v>395</v>
      </c>
      <c r="AX87" s="84" t="s">
        <v>395</v>
      </c>
      <c r="AY87" s="84" t="s">
        <v>395</v>
      </c>
      <c r="AZ87" s="84" t="s">
        <v>695</v>
      </c>
      <c r="BA87" s="84" t="s">
        <v>1117</v>
      </c>
      <c r="BB87" s="80"/>
    </row>
    <row r="88" spans="1:54" ht="225" x14ac:dyDescent="0.25">
      <c r="A88" s="84" t="s">
        <v>49</v>
      </c>
      <c r="B88" s="84" t="s">
        <v>626</v>
      </c>
      <c r="C88" s="816"/>
      <c r="D88" s="816"/>
      <c r="E88" s="816"/>
      <c r="F88" s="84" t="s">
        <v>1097</v>
      </c>
      <c r="G88" s="816"/>
      <c r="H88" s="84" t="s">
        <v>1118</v>
      </c>
      <c r="I88" s="84" t="s">
        <v>1119</v>
      </c>
      <c r="J88" s="108">
        <v>9</v>
      </c>
      <c r="K88" s="105" t="s">
        <v>323</v>
      </c>
      <c r="L88" s="108">
        <v>10</v>
      </c>
      <c r="M88" s="108">
        <v>2</v>
      </c>
      <c r="N88" s="84" t="s">
        <v>1119</v>
      </c>
      <c r="O88" s="108">
        <v>9</v>
      </c>
      <c r="P88" s="85">
        <v>31500</v>
      </c>
      <c r="Q88" s="85"/>
      <c r="R88" s="85">
        <v>0</v>
      </c>
      <c r="S88" s="85"/>
      <c r="T88" s="85"/>
      <c r="U88" s="85">
        <v>31500</v>
      </c>
      <c r="V88" s="85"/>
      <c r="W88" s="85"/>
      <c r="X88" s="85"/>
      <c r="Y88" s="85"/>
      <c r="Z88" s="85"/>
      <c r="AA88" s="85"/>
      <c r="AB88" s="85"/>
      <c r="AC88" s="85"/>
      <c r="AD88" s="85"/>
      <c r="AE88" s="85"/>
      <c r="AF88" s="85"/>
      <c r="AG88" s="85">
        <f t="shared" si="1"/>
        <v>31500</v>
      </c>
      <c r="AH88" s="86" t="s">
        <v>1101</v>
      </c>
      <c r="AI88" s="101" t="s">
        <v>634</v>
      </c>
      <c r="AJ88" s="84" t="s">
        <v>1120</v>
      </c>
      <c r="AK88" s="84" t="s">
        <v>1121</v>
      </c>
      <c r="AL88" s="84">
        <v>363.72300000000001</v>
      </c>
      <c r="AM88" s="84" t="s">
        <v>1122</v>
      </c>
      <c r="AN88" s="84"/>
      <c r="AO88" s="84"/>
      <c r="AP88" s="84" t="s">
        <v>395</v>
      </c>
      <c r="AQ88" s="84" t="s">
        <v>395</v>
      </c>
      <c r="AR88" s="84" t="s">
        <v>395</v>
      </c>
      <c r="AS88" s="84" t="s">
        <v>395</v>
      </c>
      <c r="AT88" s="84" t="s">
        <v>395</v>
      </c>
      <c r="AU88" s="84" t="s">
        <v>395</v>
      </c>
      <c r="AV88" s="84" t="s">
        <v>395</v>
      </c>
      <c r="AW88" s="84" t="s">
        <v>395</v>
      </c>
      <c r="AX88" s="84" t="s">
        <v>395</v>
      </c>
      <c r="AY88" s="84" t="s">
        <v>395</v>
      </c>
      <c r="AZ88" s="84" t="s">
        <v>695</v>
      </c>
      <c r="BA88" s="84" t="s">
        <v>1123</v>
      </c>
      <c r="BB88" s="80"/>
    </row>
    <row r="89" spans="1:54" ht="409.5" x14ac:dyDescent="0.25">
      <c r="A89" s="84" t="s">
        <v>49</v>
      </c>
      <c r="B89" s="84" t="s">
        <v>626</v>
      </c>
      <c r="C89" s="816"/>
      <c r="D89" s="816"/>
      <c r="E89" s="816"/>
      <c r="F89" s="84" t="s">
        <v>1097</v>
      </c>
      <c r="G89" s="816"/>
      <c r="H89" s="84" t="s">
        <v>1124</v>
      </c>
      <c r="I89" s="84" t="s">
        <v>1125</v>
      </c>
      <c r="J89" s="105" t="s">
        <v>1126</v>
      </c>
      <c r="K89" s="105" t="s">
        <v>323</v>
      </c>
      <c r="L89" s="106">
        <v>10</v>
      </c>
      <c r="M89" s="107">
        <v>2</v>
      </c>
      <c r="N89" s="84" t="s">
        <v>1125</v>
      </c>
      <c r="O89" s="105" t="s">
        <v>1126</v>
      </c>
      <c r="P89" s="85">
        <v>15750</v>
      </c>
      <c r="Q89" s="85"/>
      <c r="R89" s="85">
        <v>0</v>
      </c>
      <c r="S89" s="85"/>
      <c r="T89" s="85"/>
      <c r="U89" s="85">
        <v>15750</v>
      </c>
      <c r="V89" s="85"/>
      <c r="W89" s="85"/>
      <c r="X89" s="85"/>
      <c r="Y89" s="85"/>
      <c r="Z89" s="85"/>
      <c r="AA89" s="85"/>
      <c r="AB89" s="85"/>
      <c r="AC89" s="85"/>
      <c r="AD89" s="85"/>
      <c r="AE89" s="85"/>
      <c r="AF89" s="85"/>
      <c r="AG89" s="85">
        <f t="shared" si="1"/>
        <v>15750</v>
      </c>
      <c r="AH89" s="86" t="s">
        <v>1101</v>
      </c>
      <c r="AI89" s="101" t="s">
        <v>634</v>
      </c>
      <c r="AJ89" s="84" t="s">
        <v>1127</v>
      </c>
      <c r="AK89" s="84" t="s">
        <v>1128</v>
      </c>
      <c r="AL89" s="84">
        <v>239.12</v>
      </c>
      <c r="AM89" s="84" t="s">
        <v>1129</v>
      </c>
      <c r="AN89" s="84"/>
      <c r="AO89" s="84"/>
      <c r="AP89" s="84" t="s">
        <v>395</v>
      </c>
      <c r="AQ89" s="84" t="s">
        <v>395</v>
      </c>
      <c r="AR89" s="84" t="s">
        <v>395</v>
      </c>
      <c r="AS89" s="84" t="s">
        <v>395</v>
      </c>
      <c r="AT89" s="84" t="s">
        <v>395</v>
      </c>
      <c r="AU89" s="84" t="s">
        <v>395</v>
      </c>
      <c r="AV89" s="84" t="s">
        <v>395</v>
      </c>
      <c r="AW89" s="84" t="s">
        <v>395</v>
      </c>
      <c r="AX89" s="84" t="s">
        <v>395</v>
      </c>
      <c r="AY89" s="84" t="s">
        <v>395</v>
      </c>
      <c r="AZ89" s="84" t="s">
        <v>695</v>
      </c>
      <c r="BA89" s="84" t="s">
        <v>1130</v>
      </c>
      <c r="BB89" s="80"/>
    </row>
    <row r="90" spans="1:54" ht="315" x14ac:dyDescent="0.25">
      <c r="A90" s="84" t="s">
        <v>49</v>
      </c>
      <c r="B90" s="84" t="s">
        <v>626</v>
      </c>
      <c r="C90" s="816" t="s">
        <v>1131</v>
      </c>
      <c r="D90" s="816" t="s">
        <v>1132</v>
      </c>
      <c r="E90" s="816">
        <v>0.35</v>
      </c>
      <c r="F90" s="84" t="s">
        <v>1097</v>
      </c>
      <c r="G90" s="816"/>
      <c r="H90" s="84" t="s">
        <v>1133</v>
      </c>
      <c r="I90" s="84" t="s">
        <v>1134</v>
      </c>
      <c r="J90" s="108">
        <v>12</v>
      </c>
      <c r="K90" s="108" t="s">
        <v>323</v>
      </c>
      <c r="L90" s="108">
        <v>21</v>
      </c>
      <c r="M90" s="108">
        <v>5</v>
      </c>
      <c r="N90" s="84" t="s">
        <v>1134</v>
      </c>
      <c r="O90" s="108">
        <v>12</v>
      </c>
      <c r="P90" s="85">
        <v>220500</v>
      </c>
      <c r="Q90" s="85"/>
      <c r="R90" s="85">
        <v>0</v>
      </c>
      <c r="S90" s="85"/>
      <c r="T90" s="85"/>
      <c r="U90" s="85">
        <v>220500</v>
      </c>
      <c r="V90" s="85"/>
      <c r="W90" s="85"/>
      <c r="X90" s="85"/>
      <c r="Y90" s="85"/>
      <c r="Z90" s="85"/>
      <c r="AA90" s="85"/>
      <c r="AB90" s="85"/>
      <c r="AC90" s="85"/>
      <c r="AD90" s="85"/>
      <c r="AE90" s="85"/>
      <c r="AF90" s="85"/>
      <c r="AG90" s="85">
        <f t="shared" si="1"/>
        <v>220500</v>
      </c>
      <c r="AH90" s="86" t="s">
        <v>1101</v>
      </c>
      <c r="AI90" s="101" t="s">
        <v>634</v>
      </c>
      <c r="AJ90" s="84" t="s">
        <v>1135</v>
      </c>
      <c r="AK90" s="84" t="s">
        <v>1136</v>
      </c>
      <c r="AL90" s="85">
        <v>28023</v>
      </c>
      <c r="AM90" s="84" t="s">
        <v>1137</v>
      </c>
      <c r="AN90" s="84"/>
      <c r="AO90" s="84"/>
      <c r="AP90" s="84" t="s">
        <v>751</v>
      </c>
      <c r="AQ90" s="84" t="s">
        <v>751</v>
      </c>
      <c r="AR90" s="84" t="s">
        <v>751</v>
      </c>
      <c r="AS90" s="84" t="s">
        <v>751</v>
      </c>
      <c r="AT90" s="84" t="s">
        <v>751</v>
      </c>
      <c r="AU90" s="84" t="s">
        <v>751</v>
      </c>
      <c r="AV90" s="84" t="s">
        <v>751</v>
      </c>
      <c r="AW90" s="84" t="s">
        <v>751</v>
      </c>
      <c r="AX90" s="84" t="s">
        <v>751</v>
      </c>
      <c r="AY90" s="84" t="s">
        <v>751</v>
      </c>
      <c r="AZ90" s="84" t="s">
        <v>742</v>
      </c>
      <c r="BA90" s="84" t="s">
        <v>1138</v>
      </c>
      <c r="BB90" s="80"/>
    </row>
    <row r="91" spans="1:54" ht="409.5" x14ac:dyDescent="0.25">
      <c r="A91" s="84" t="s">
        <v>49</v>
      </c>
      <c r="B91" s="84" t="s">
        <v>626</v>
      </c>
      <c r="C91" s="816"/>
      <c r="D91" s="816"/>
      <c r="E91" s="816"/>
      <c r="F91" s="84" t="s">
        <v>1097</v>
      </c>
      <c r="G91" s="816"/>
      <c r="H91" s="84" t="s">
        <v>1139</v>
      </c>
      <c r="I91" s="84" t="s">
        <v>1140</v>
      </c>
      <c r="J91" s="108">
        <v>12</v>
      </c>
      <c r="K91" s="108" t="s">
        <v>323</v>
      </c>
      <c r="L91" s="108">
        <v>34</v>
      </c>
      <c r="M91" s="108">
        <v>10</v>
      </c>
      <c r="N91" s="84" t="s">
        <v>1140</v>
      </c>
      <c r="O91" s="108">
        <v>12</v>
      </c>
      <c r="P91" s="85">
        <v>42000</v>
      </c>
      <c r="Q91" s="85"/>
      <c r="R91" s="85">
        <v>0</v>
      </c>
      <c r="S91" s="85"/>
      <c r="T91" s="85"/>
      <c r="U91" s="85">
        <v>42000</v>
      </c>
      <c r="V91" s="85"/>
      <c r="W91" s="85"/>
      <c r="X91" s="85"/>
      <c r="Y91" s="85"/>
      <c r="Z91" s="85"/>
      <c r="AA91" s="85"/>
      <c r="AB91" s="85"/>
      <c r="AC91" s="85"/>
      <c r="AD91" s="85"/>
      <c r="AE91" s="85"/>
      <c r="AF91" s="85"/>
      <c r="AG91" s="85">
        <f t="shared" si="1"/>
        <v>42000</v>
      </c>
      <c r="AH91" s="86" t="s">
        <v>1101</v>
      </c>
      <c r="AI91" s="101" t="s">
        <v>634</v>
      </c>
      <c r="AJ91" s="84" t="s">
        <v>1141</v>
      </c>
      <c r="AK91" s="84" t="s">
        <v>1142</v>
      </c>
      <c r="AL91" s="84">
        <v>45</v>
      </c>
      <c r="AM91" s="84" t="s">
        <v>1143</v>
      </c>
      <c r="AN91" s="84"/>
      <c r="AO91" s="84"/>
      <c r="AP91" s="84" t="s">
        <v>395</v>
      </c>
      <c r="AQ91" s="84" t="s">
        <v>395</v>
      </c>
      <c r="AR91" s="84" t="s">
        <v>395</v>
      </c>
      <c r="AS91" s="84" t="s">
        <v>395</v>
      </c>
      <c r="AT91" s="84" t="s">
        <v>395</v>
      </c>
      <c r="AU91" s="84" t="s">
        <v>395</v>
      </c>
      <c r="AV91" s="84" t="s">
        <v>395</v>
      </c>
      <c r="AW91" s="84" t="s">
        <v>395</v>
      </c>
      <c r="AX91" s="84" t="s">
        <v>395</v>
      </c>
      <c r="AY91" s="84" t="s">
        <v>395</v>
      </c>
      <c r="AZ91" s="84" t="s">
        <v>742</v>
      </c>
      <c r="BA91" s="84" t="s">
        <v>1144</v>
      </c>
      <c r="BB91" s="80"/>
    </row>
    <row r="92" spans="1:54" ht="409.5" x14ac:dyDescent="0.25">
      <c r="A92" s="84" t="s">
        <v>49</v>
      </c>
      <c r="B92" s="84" t="s">
        <v>626</v>
      </c>
      <c r="C92" s="816"/>
      <c r="D92" s="816"/>
      <c r="E92" s="816"/>
      <c r="F92" s="84" t="s">
        <v>1097</v>
      </c>
      <c r="G92" s="816"/>
      <c r="H92" s="84" t="s">
        <v>1145</v>
      </c>
      <c r="I92" s="84" t="s">
        <v>1146</v>
      </c>
      <c r="J92" s="105">
        <v>0.75</v>
      </c>
      <c r="K92" s="105" t="s">
        <v>323</v>
      </c>
      <c r="L92" s="105">
        <v>1</v>
      </c>
      <c r="M92" s="105">
        <v>0.25</v>
      </c>
      <c r="N92" s="84" t="s">
        <v>1146</v>
      </c>
      <c r="O92" s="105">
        <v>0.75</v>
      </c>
      <c r="P92" s="85">
        <v>63000</v>
      </c>
      <c r="Q92" s="85"/>
      <c r="R92" s="85">
        <v>0</v>
      </c>
      <c r="S92" s="85"/>
      <c r="T92" s="85"/>
      <c r="U92" s="85">
        <v>63000</v>
      </c>
      <c r="V92" s="85"/>
      <c r="W92" s="85"/>
      <c r="X92" s="85"/>
      <c r="Y92" s="85"/>
      <c r="Z92" s="85"/>
      <c r="AA92" s="85"/>
      <c r="AB92" s="85"/>
      <c r="AC92" s="85"/>
      <c r="AD92" s="85"/>
      <c r="AE92" s="85"/>
      <c r="AF92" s="85"/>
      <c r="AG92" s="85">
        <f t="shared" si="1"/>
        <v>63000</v>
      </c>
      <c r="AH92" s="86" t="s">
        <v>1101</v>
      </c>
      <c r="AI92" s="101" t="s">
        <v>634</v>
      </c>
      <c r="AJ92" s="84" t="s">
        <v>1147</v>
      </c>
      <c r="AK92" s="84" t="s">
        <v>1148</v>
      </c>
      <c r="AL92" s="101" t="s">
        <v>662</v>
      </c>
      <c r="AM92" s="84" t="s">
        <v>1149</v>
      </c>
      <c r="AN92" s="84"/>
      <c r="AO92" s="84"/>
      <c r="AP92" s="84" t="s">
        <v>395</v>
      </c>
      <c r="AQ92" s="84" t="s">
        <v>395</v>
      </c>
      <c r="AR92" s="84" t="s">
        <v>395</v>
      </c>
      <c r="AS92" s="84" t="s">
        <v>395</v>
      </c>
      <c r="AT92" s="84" t="s">
        <v>395</v>
      </c>
      <c r="AU92" s="84" t="s">
        <v>395</v>
      </c>
      <c r="AV92" s="84" t="s">
        <v>395</v>
      </c>
      <c r="AW92" s="84" t="s">
        <v>395</v>
      </c>
      <c r="AX92" s="84" t="s">
        <v>395</v>
      </c>
      <c r="AY92" s="84" t="s">
        <v>395</v>
      </c>
      <c r="AZ92" s="84" t="s">
        <v>742</v>
      </c>
      <c r="BA92" s="84" t="s">
        <v>1150</v>
      </c>
      <c r="BB92" s="80"/>
    </row>
    <row r="93" spans="1:54" ht="405" x14ac:dyDescent="0.25">
      <c r="A93" s="84" t="s">
        <v>49</v>
      </c>
      <c r="B93" s="84" t="s">
        <v>626</v>
      </c>
      <c r="C93" s="816"/>
      <c r="D93" s="816"/>
      <c r="E93" s="816"/>
      <c r="F93" s="84" t="s">
        <v>1097</v>
      </c>
      <c r="G93" s="816"/>
      <c r="H93" s="84" t="s">
        <v>1151</v>
      </c>
      <c r="I93" s="84" t="s">
        <v>1152</v>
      </c>
      <c r="J93" s="105">
        <v>0.75</v>
      </c>
      <c r="K93" s="105" t="s">
        <v>323</v>
      </c>
      <c r="L93" s="105">
        <v>1</v>
      </c>
      <c r="M93" s="105">
        <v>0.25</v>
      </c>
      <c r="N93" s="84" t="s">
        <v>1152</v>
      </c>
      <c r="O93" s="105">
        <v>0.75</v>
      </c>
      <c r="P93" s="85">
        <v>26250</v>
      </c>
      <c r="Q93" s="85"/>
      <c r="R93" s="85">
        <v>26250</v>
      </c>
      <c r="S93" s="85"/>
      <c r="T93" s="85"/>
      <c r="U93" s="85">
        <v>0</v>
      </c>
      <c r="V93" s="85"/>
      <c r="W93" s="85"/>
      <c r="X93" s="85"/>
      <c r="Y93" s="85"/>
      <c r="Z93" s="85"/>
      <c r="AA93" s="85"/>
      <c r="AB93" s="85"/>
      <c r="AC93" s="85"/>
      <c r="AD93" s="85"/>
      <c r="AE93" s="85"/>
      <c r="AF93" s="85"/>
      <c r="AG93" s="85">
        <f t="shared" si="1"/>
        <v>26250</v>
      </c>
      <c r="AH93" s="86" t="s">
        <v>1101</v>
      </c>
      <c r="AI93" s="84" t="s">
        <v>1153</v>
      </c>
      <c r="AJ93" s="84" t="s">
        <v>1147</v>
      </c>
      <c r="AK93" s="84" t="s">
        <v>1154</v>
      </c>
      <c r="AL93" s="101" t="s">
        <v>662</v>
      </c>
      <c r="AM93" s="84" t="s">
        <v>1155</v>
      </c>
      <c r="AN93" s="84"/>
      <c r="AO93" s="84"/>
      <c r="AP93" s="84"/>
      <c r="AQ93" s="84" t="s">
        <v>395</v>
      </c>
      <c r="AR93" s="84" t="s">
        <v>395</v>
      </c>
      <c r="AS93" s="84" t="s">
        <v>395</v>
      </c>
      <c r="AT93" s="84" t="s">
        <v>395</v>
      </c>
      <c r="AU93" s="84" t="s">
        <v>395</v>
      </c>
      <c r="AV93" s="84" t="s">
        <v>395</v>
      </c>
      <c r="AW93" s="84" t="s">
        <v>395</v>
      </c>
      <c r="AX93" s="84" t="s">
        <v>395</v>
      </c>
      <c r="AY93" s="84" t="s">
        <v>395</v>
      </c>
      <c r="AZ93" s="91" t="s">
        <v>681</v>
      </c>
      <c r="BA93" s="91" t="s">
        <v>1156</v>
      </c>
      <c r="BB93" s="80"/>
    </row>
    <row r="94" spans="1:54" ht="360" x14ac:dyDescent="0.25">
      <c r="A94" s="84" t="s">
        <v>49</v>
      </c>
      <c r="B94" s="84" t="s">
        <v>626</v>
      </c>
      <c r="C94" s="816"/>
      <c r="D94" s="816"/>
      <c r="E94" s="816"/>
      <c r="F94" s="84" t="s">
        <v>1097</v>
      </c>
      <c r="G94" s="816"/>
      <c r="H94" s="84" t="s">
        <v>1157</v>
      </c>
      <c r="I94" s="84" t="s">
        <v>1158</v>
      </c>
      <c r="J94" s="105">
        <v>0</v>
      </c>
      <c r="K94" s="105" t="s">
        <v>323</v>
      </c>
      <c r="L94" s="106">
        <v>5</v>
      </c>
      <c r="M94" s="107">
        <v>1</v>
      </c>
      <c r="N94" s="84" t="s">
        <v>1158</v>
      </c>
      <c r="O94" s="109">
        <v>0</v>
      </c>
      <c r="P94" s="85">
        <v>42000</v>
      </c>
      <c r="Q94" s="85"/>
      <c r="R94" s="85">
        <v>0</v>
      </c>
      <c r="S94" s="85"/>
      <c r="T94" s="85"/>
      <c r="U94" s="85">
        <v>42000</v>
      </c>
      <c r="V94" s="85"/>
      <c r="W94" s="85"/>
      <c r="X94" s="85"/>
      <c r="Y94" s="85"/>
      <c r="Z94" s="85"/>
      <c r="AA94" s="85"/>
      <c r="AB94" s="85"/>
      <c r="AC94" s="85"/>
      <c r="AD94" s="85"/>
      <c r="AE94" s="85"/>
      <c r="AF94" s="85"/>
      <c r="AG94" s="85">
        <f t="shared" si="1"/>
        <v>42000</v>
      </c>
      <c r="AH94" s="86" t="s">
        <v>1101</v>
      </c>
      <c r="AI94" s="101" t="s">
        <v>634</v>
      </c>
      <c r="AJ94" s="84" t="s">
        <v>1159</v>
      </c>
      <c r="AK94" s="84" t="s">
        <v>481</v>
      </c>
      <c r="AL94" s="84">
        <v>193152</v>
      </c>
      <c r="AM94" s="84" t="s">
        <v>1160</v>
      </c>
      <c r="AN94" s="84"/>
      <c r="AO94" s="84"/>
      <c r="AP94" s="84" t="s">
        <v>395</v>
      </c>
      <c r="AQ94" s="84" t="s">
        <v>395</v>
      </c>
      <c r="AR94" s="84" t="s">
        <v>395</v>
      </c>
      <c r="AS94" s="84" t="s">
        <v>395</v>
      </c>
      <c r="AT94" s="84" t="s">
        <v>395</v>
      </c>
      <c r="AU94" s="84" t="s">
        <v>395</v>
      </c>
      <c r="AV94" s="84" t="s">
        <v>395</v>
      </c>
      <c r="AW94" s="84" t="s">
        <v>395</v>
      </c>
      <c r="AX94" s="84" t="s">
        <v>395</v>
      </c>
      <c r="AY94" s="84" t="s">
        <v>395</v>
      </c>
      <c r="AZ94" s="84" t="s">
        <v>1161</v>
      </c>
      <c r="BA94" s="84" t="s">
        <v>1162</v>
      </c>
      <c r="BB94" s="80"/>
    </row>
    <row r="95" spans="1:54" ht="225" x14ac:dyDescent="0.25">
      <c r="A95" s="84" t="s">
        <v>49</v>
      </c>
      <c r="B95" s="84" t="s">
        <v>626</v>
      </c>
      <c r="C95" s="816"/>
      <c r="D95" s="816"/>
      <c r="E95" s="816"/>
      <c r="F95" s="84" t="s">
        <v>1097</v>
      </c>
      <c r="G95" s="816"/>
      <c r="H95" s="84" t="s">
        <v>1163</v>
      </c>
      <c r="I95" s="84" t="s">
        <v>1164</v>
      </c>
      <c r="J95" s="105">
        <v>0.85</v>
      </c>
      <c r="K95" s="105" t="s">
        <v>322</v>
      </c>
      <c r="L95" s="105">
        <v>1</v>
      </c>
      <c r="M95" s="105">
        <v>1</v>
      </c>
      <c r="N95" s="84" t="s">
        <v>1164</v>
      </c>
      <c r="O95" s="105">
        <v>0.85</v>
      </c>
      <c r="P95" s="85">
        <v>26250</v>
      </c>
      <c r="Q95" s="85"/>
      <c r="R95" s="85">
        <v>26250</v>
      </c>
      <c r="S95" s="85"/>
      <c r="T95" s="85"/>
      <c r="U95" s="85">
        <v>0</v>
      </c>
      <c r="V95" s="85"/>
      <c r="W95" s="85"/>
      <c r="X95" s="85"/>
      <c r="Y95" s="85"/>
      <c r="Z95" s="85"/>
      <c r="AA95" s="85"/>
      <c r="AB95" s="85"/>
      <c r="AC95" s="85"/>
      <c r="AD95" s="85"/>
      <c r="AE95" s="85"/>
      <c r="AF95" s="85"/>
      <c r="AG95" s="85">
        <f t="shared" si="1"/>
        <v>26250</v>
      </c>
      <c r="AH95" s="86" t="s">
        <v>1101</v>
      </c>
      <c r="AI95" s="84" t="s">
        <v>1153</v>
      </c>
      <c r="AJ95" s="84" t="s">
        <v>1165</v>
      </c>
      <c r="AK95" s="84" t="s">
        <v>1166</v>
      </c>
      <c r="AL95" s="84">
        <v>7000</v>
      </c>
      <c r="AM95" s="84" t="s">
        <v>1167</v>
      </c>
      <c r="AN95" s="84"/>
      <c r="AO95" s="84"/>
      <c r="AP95" s="84" t="s">
        <v>395</v>
      </c>
      <c r="AQ95" s="84" t="s">
        <v>395</v>
      </c>
      <c r="AR95" s="84" t="s">
        <v>395</v>
      </c>
      <c r="AS95" s="84" t="s">
        <v>395</v>
      </c>
      <c r="AT95" s="84" t="s">
        <v>395</v>
      </c>
      <c r="AU95" s="84" t="s">
        <v>395</v>
      </c>
      <c r="AV95" s="84" t="s">
        <v>395</v>
      </c>
      <c r="AW95" s="84" t="s">
        <v>395</v>
      </c>
      <c r="AX95" s="84" t="s">
        <v>395</v>
      </c>
      <c r="AY95" s="84" t="s">
        <v>395</v>
      </c>
      <c r="AZ95" s="84" t="s">
        <v>681</v>
      </c>
      <c r="BA95" s="91" t="s">
        <v>1168</v>
      </c>
      <c r="BB95" s="80"/>
    </row>
    <row r="96" spans="1:54" ht="180" x14ac:dyDescent="0.25">
      <c r="A96" s="84" t="s">
        <v>49</v>
      </c>
      <c r="B96" s="84" t="s">
        <v>626</v>
      </c>
      <c r="C96" s="816" t="s">
        <v>1169</v>
      </c>
      <c r="D96" s="816" t="s">
        <v>1170</v>
      </c>
      <c r="E96" s="816" t="s">
        <v>1171</v>
      </c>
      <c r="F96" s="84" t="s">
        <v>1097</v>
      </c>
      <c r="G96" s="816"/>
      <c r="H96" s="84" t="s">
        <v>1172</v>
      </c>
      <c r="I96" s="84" t="s">
        <v>1173</v>
      </c>
      <c r="J96" s="105">
        <v>0</v>
      </c>
      <c r="K96" s="105" t="s">
        <v>322</v>
      </c>
      <c r="L96" s="106">
        <v>0</v>
      </c>
      <c r="M96" s="106">
        <v>0</v>
      </c>
      <c r="N96" s="84" t="s">
        <v>1173</v>
      </c>
      <c r="O96" s="109">
        <v>0</v>
      </c>
      <c r="P96" s="85">
        <v>10500</v>
      </c>
      <c r="Q96" s="85"/>
      <c r="R96" s="85">
        <v>0</v>
      </c>
      <c r="S96" s="85"/>
      <c r="T96" s="85"/>
      <c r="U96" s="85">
        <v>10500</v>
      </c>
      <c r="V96" s="85"/>
      <c r="W96" s="85"/>
      <c r="X96" s="85"/>
      <c r="Y96" s="85"/>
      <c r="Z96" s="85"/>
      <c r="AA96" s="85"/>
      <c r="AB96" s="85"/>
      <c r="AC96" s="85"/>
      <c r="AD96" s="85"/>
      <c r="AE96" s="85"/>
      <c r="AF96" s="85"/>
      <c r="AG96" s="85">
        <f t="shared" si="1"/>
        <v>10500</v>
      </c>
      <c r="AH96" s="86" t="s">
        <v>1101</v>
      </c>
      <c r="AI96" s="101" t="s">
        <v>634</v>
      </c>
      <c r="AJ96" s="84" t="s">
        <v>1174</v>
      </c>
      <c r="AK96" s="84" t="s">
        <v>993</v>
      </c>
      <c r="AL96" s="84">
        <v>68.995000000000005</v>
      </c>
      <c r="AM96" s="84" t="s">
        <v>1175</v>
      </c>
      <c r="AN96" s="84"/>
      <c r="AO96" s="84"/>
      <c r="AP96" s="84" t="s">
        <v>751</v>
      </c>
      <c r="AQ96" s="84" t="s">
        <v>751</v>
      </c>
      <c r="AR96" s="84" t="s">
        <v>751</v>
      </c>
      <c r="AS96" s="84" t="s">
        <v>751</v>
      </c>
      <c r="AT96" s="84" t="s">
        <v>751</v>
      </c>
      <c r="AU96" s="84" t="s">
        <v>751</v>
      </c>
      <c r="AV96" s="84" t="s">
        <v>751</v>
      </c>
      <c r="AW96" s="84" t="s">
        <v>751</v>
      </c>
      <c r="AX96" s="84" t="s">
        <v>751</v>
      </c>
      <c r="AY96" s="84" t="s">
        <v>751</v>
      </c>
      <c r="AZ96" s="84" t="s">
        <v>742</v>
      </c>
      <c r="BA96" s="84" t="s">
        <v>1007</v>
      </c>
      <c r="BB96" s="80"/>
    </row>
    <row r="97" spans="1:54" ht="409.5" x14ac:dyDescent="0.25">
      <c r="A97" s="84" t="s">
        <v>49</v>
      </c>
      <c r="B97" s="84" t="s">
        <v>626</v>
      </c>
      <c r="C97" s="816"/>
      <c r="D97" s="816"/>
      <c r="E97" s="816"/>
      <c r="F97" s="84" t="s">
        <v>1097</v>
      </c>
      <c r="G97" s="816"/>
      <c r="H97" s="84" t="s">
        <v>1176</v>
      </c>
      <c r="I97" s="84" t="s">
        <v>1177</v>
      </c>
      <c r="J97" s="105">
        <v>0.14000000000000001</v>
      </c>
      <c r="K97" s="105" t="s">
        <v>323</v>
      </c>
      <c r="L97" s="105">
        <v>0.8</v>
      </c>
      <c r="M97" s="105">
        <v>0.15</v>
      </c>
      <c r="N97" s="84" t="s">
        <v>1177</v>
      </c>
      <c r="O97" s="105">
        <v>0.14000000000000001</v>
      </c>
      <c r="P97" s="85">
        <v>31500</v>
      </c>
      <c r="Q97" s="85"/>
      <c r="R97" s="85">
        <v>0</v>
      </c>
      <c r="S97" s="85"/>
      <c r="T97" s="85"/>
      <c r="U97" s="85">
        <v>31500</v>
      </c>
      <c r="V97" s="85"/>
      <c r="W97" s="85"/>
      <c r="X97" s="85"/>
      <c r="Y97" s="85"/>
      <c r="Z97" s="85"/>
      <c r="AA97" s="85"/>
      <c r="AB97" s="85"/>
      <c r="AC97" s="85"/>
      <c r="AD97" s="85"/>
      <c r="AE97" s="85"/>
      <c r="AF97" s="85"/>
      <c r="AG97" s="85">
        <f t="shared" si="1"/>
        <v>31500</v>
      </c>
      <c r="AH97" s="86" t="s">
        <v>1101</v>
      </c>
      <c r="AI97" s="101" t="s">
        <v>634</v>
      </c>
      <c r="AJ97" s="84" t="s">
        <v>1178</v>
      </c>
      <c r="AK97" s="84" t="s">
        <v>481</v>
      </c>
      <c r="AL97" s="85">
        <v>58258</v>
      </c>
      <c r="AM97" s="91" t="s">
        <v>1179</v>
      </c>
      <c r="AN97" s="84"/>
      <c r="AO97" s="84"/>
      <c r="AP97" s="84" t="s">
        <v>751</v>
      </c>
      <c r="AQ97" s="84" t="s">
        <v>751</v>
      </c>
      <c r="AR97" s="84" t="s">
        <v>751</v>
      </c>
      <c r="AS97" s="84" t="s">
        <v>751</v>
      </c>
      <c r="AT97" s="84" t="s">
        <v>751</v>
      </c>
      <c r="AU97" s="84" t="s">
        <v>751</v>
      </c>
      <c r="AV97" s="84" t="s">
        <v>751</v>
      </c>
      <c r="AW97" s="84" t="s">
        <v>751</v>
      </c>
      <c r="AX97" s="84" t="s">
        <v>751</v>
      </c>
      <c r="AY97" s="84" t="s">
        <v>751</v>
      </c>
      <c r="AZ97" s="84" t="s">
        <v>742</v>
      </c>
      <c r="BA97" s="84" t="s">
        <v>1180</v>
      </c>
      <c r="BB97" s="80"/>
    </row>
    <row r="98" spans="1:54" ht="225" x14ac:dyDescent="0.25">
      <c r="A98" s="84" t="s">
        <v>49</v>
      </c>
      <c r="B98" s="84" t="s">
        <v>626</v>
      </c>
      <c r="C98" s="816"/>
      <c r="D98" s="816"/>
      <c r="E98" s="816"/>
      <c r="F98" s="84" t="s">
        <v>1097</v>
      </c>
      <c r="G98" s="816"/>
      <c r="H98" s="84" t="s">
        <v>1181</v>
      </c>
      <c r="I98" s="84" t="s">
        <v>1182</v>
      </c>
      <c r="J98" s="108">
        <v>42</v>
      </c>
      <c r="K98" s="105" t="s">
        <v>323</v>
      </c>
      <c r="L98" s="108">
        <v>42</v>
      </c>
      <c r="M98" s="108">
        <v>10</v>
      </c>
      <c r="N98" s="84" t="s">
        <v>1182</v>
      </c>
      <c r="O98" s="108">
        <v>42</v>
      </c>
      <c r="P98" s="85">
        <v>21000</v>
      </c>
      <c r="Q98" s="85"/>
      <c r="R98" s="85">
        <v>0</v>
      </c>
      <c r="S98" s="85"/>
      <c r="T98" s="85"/>
      <c r="U98" s="85">
        <v>21000</v>
      </c>
      <c r="V98" s="85"/>
      <c r="W98" s="85"/>
      <c r="X98" s="85"/>
      <c r="Y98" s="85"/>
      <c r="Z98" s="85"/>
      <c r="AA98" s="85"/>
      <c r="AB98" s="85"/>
      <c r="AC98" s="85"/>
      <c r="AD98" s="85"/>
      <c r="AE98" s="85"/>
      <c r="AF98" s="85"/>
      <c r="AG98" s="85">
        <f t="shared" si="1"/>
        <v>21000</v>
      </c>
      <c r="AH98" s="86" t="s">
        <v>1101</v>
      </c>
      <c r="AI98" s="101" t="s">
        <v>634</v>
      </c>
      <c r="AJ98" s="84" t="s">
        <v>1183</v>
      </c>
      <c r="AK98" s="84" t="s">
        <v>1184</v>
      </c>
      <c r="AL98" s="85">
        <v>207026</v>
      </c>
      <c r="AM98" s="84" t="s">
        <v>1185</v>
      </c>
      <c r="AN98" s="84"/>
      <c r="AO98" s="84"/>
      <c r="AP98" s="84" t="s">
        <v>751</v>
      </c>
      <c r="AQ98" s="84" t="s">
        <v>751</v>
      </c>
      <c r="AR98" s="84" t="s">
        <v>751</v>
      </c>
      <c r="AS98" s="84" t="s">
        <v>751</v>
      </c>
      <c r="AT98" s="84" t="s">
        <v>751</v>
      </c>
      <c r="AU98" s="84" t="s">
        <v>751</v>
      </c>
      <c r="AV98" s="84" t="s">
        <v>751</v>
      </c>
      <c r="AW98" s="84" t="s">
        <v>751</v>
      </c>
      <c r="AX98" s="84" t="s">
        <v>751</v>
      </c>
      <c r="AY98" s="84" t="s">
        <v>751</v>
      </c>
      <c r="AZ98" s="84" t="s">
        <v>742</v>
      </c>
      <c r="BA98" s="84" t="s">
        <v>1186</v>
      </c>
      <c r="BB98" s="80"/>
    </row>
    <row r="99" spans="1:54" ht="409.5" x14ac:dyDescent="0.25">
      <c r="A99" s="84" t="s">
        <v>49</v>
      </c>
      <c r="B99" s="84" t="s">
        <v>626</v>
      </c>
      <c r="C99" s="816"/>
      <c r="D99" s="816"/>
      <c r="E99" s="816"/>
      <c r="F99" s="84" t="s">
        <v>1097</v>
      </c>
      <c r="G99" s="816"/>
      <c r="H99" s="84" t="s">
        <v>1187</v>
      </c>
      <c r="I99" s="84" t="s">
        <v>1188</v>
      </c>
      <c r="J99" s="108">
        <v>42</v>
      </c>
      <c r="K99" s="105" t="s">
        <v>323</v>
      </c>
      <c r="L99" s="108">
        <v>42</v>
      </c>
      <c r="M99" s="108">
        <v>10</v>
      </c>
      <c r="N99" s="84" t="s">
        <v>1188</v>
      </c>
      <c r="O99" s="108">
        <v>42</v>
      </c>
      <c r="P99" s="85">
        <v>21000</v>
      </c>
      <c r="Q99" s="85"/>
      <c r="R99" s="85">
        <v>0</v>
      </c>
      <c r="S99" s="85"/>
      <c r="T99" s="85"/>
      <c r="U99" s="85">
        <v>21000</v>
      </c>
      <c r="V99" s="85"/>
      <c r="W99" s="85"/>
      <c r="X99" s="85"/>
      <c r="Y99" s="85"/>
      <c r="Z99" s="85"/>
      <c r="AA99" s="85"/>
      <c r="AB99" s="85"/>
      <c r="AC99" s="85"/>
      <c r="AD99" s="85"/>
      <c r="AE99" s="85"/>
      <c r="AF99" s="85"/>
      <c r="AG99" s="85">
        <f t="shared" si="1"/>
        <v>21000</v>
      </c>
      <c r="AH99" s="86" t="s">
        <v>1101</v>
      </c>
      <c r="AI99" s="101" t="s">
        <v>634</v>
      </c>
      <c r="AJ99" s="84" t="s">
        <v>1183</v>
      </c>
      <c r="AK99" s="84" t="s">
        <v>1184</v>
      </c>
      <c r="AL99" s="85">
        <v>207026</v>
      </c>
      <c r="AM99" s="91" t="s">
        <v>1189</v>
      </c>
      <c r="AN99" s="84"/>
      <c r="AO99" s="84"/>
      <c r="AP99" s="84" t="s">
        <v>751</v>
      </c>
      <c r="AQ99" s="84" t="s">
        <v>751</v>
      </c>
      <c r="AR99" s="84" t="s">
        <v>751</v>
      </c>
      <c r="AS99" s="84" t="s">
        <v>751</v>
      </c>
      <c r="AT99" s="84" t="s">
        <v>751</v>
      </c>
      <c r="AU99" s="84" t="s">
        <v>751</v>
      </c>
      <c r="AV99" s="84" t="s">
        <v>751</v>
      </c>
      <c r="AW99" s="84" t="s">
        <v>751</v>
      </c>
      <c r="AX99" s="84" t="s">
        <v>751</v>
      </c>
      <c r="AY99" s="84" t="s">
        <v>751</v>
      </c>
      <c r="AZ99" s="84" t="s">
        <v>742</v>
      </c>
      <c r="BA99" s="84" t="s">
        <v>1186</v>
      </c>
      <c r="BB99" s="80"/>
    </row>
    <row r="100" spans="1:54" ht="240" x14ac:dyDescent="0.25">
      <c r="A100" s="84" t="s">
        <v>49</v>
      </c>
      <c r="B100" s="84" t="s">
        <v>626</v>
      </c>
      <c r="C100" s="816"/>
      <c r="D100" s="816"/>
      <c r="E100" s="816"/>
      <c r="F100" s="84" t="s">
        <v>1097</v>
      </c>
      <c r="G100" s="816"/>
      <c r="H100" s="84" t="s">
        <v>1190</v>
      </c>
      <c r="I100" s="84" t="s">
        <v>1191</v>
      </c>
      <c r="J100" s="108">
        <v>42</v>
      </c>
      <c r="K100" s="105" t="s">
        <v>323</v>
      </c>
      <c r="L100" s="108">
        <v>42</v>
      </c>
      <c r="M100" s="108">
        <v>10</v>
      </c>
      <c r="N100" s="84" t="s">
        <v>1191</v>
      </c>
      <c r="O100" s="108">
        <v>42</v>
      </c>
      <c r="P100" s="85">
        <v>21000</v>
      </c>
      <c r="Q100" s="85"/>
      <c r="R100" s="85">
        <v>0</v>
      </c>
      <c r="S100" s="85"/>
      <c r="T100" s="85"/>
      <c r="U100" s="85">
        <v>21000</v>
      </c>
      <c r="V100" s="85"/>
      <c r="W100" s="85"/>
      <c r="X100" s="85"/>
      <c r="Y100" s="85"/>
      <c r="Z100" s="85"/>
      <c r="AA100" s="85"/>
      <c r="AB100" s="85"/>
      <c r="AC100" s="85"/>
      <c r="AD100" s="85"/>
      <c r="AE100" s="85"/>
      <c r="AF100" s="85"/>
      <c r="AG100" s="85">
        <f t="shared" si="1"/>
        <v>21000</v>
      </c>
      <c r="AH100" s="86" t="s">
        <v>1101</v>
      </c>
      <c r="AI100" s="101" t="s">
        <v>634</v>
      </c>
      <c r="AJ100" s="84" t="s">
        <v>1183</v>
      </c>
      <c r="AK100" s="84" t="s">
        <v>1184</v>
      </c>
      <c r="AL100" s="85">
        <v>207026</v>
      </c>
      <c r="AM100" s="91" t="s">
        <v>1192</v>
      </c>
      <c r="AN100" s="84"/>
      <c r="AO100" s="84"/>
      <c r="AP100" s="84" t="s">
        <v>751</v>
      </c>
      <c r="AQ100" s="84" t="s">
        <v>751</v>
      </c>
      <c r="AR100" s="84" t="s">
        <v>751</v>
      </c>
      <c r="AS100" s="84" t="s">
        <v>751</v>
      </c>
      <c r="AT100" s="84" t="s">
        <v>751</v>
      </c>
      <c r="AU100" s="84" t="s">
        <v>751</v>
      </c>
      <c r="AV100" s="84" t="s">
        <v>751</v>
      </c>
      <c r="AW100" s="84" t="s">
        <v>751</v>
      </c>
      <c r="AX100" s="84" t="s">
        <v>751</v>
      </c>
      <c r="AY100" s="84" t="s">
        <v>751</v>
      </c>
      <c r="AZ100" s="84" t="s">
        <v>742</v>
      </c>
      <c r="BA100" s="84" t="s">
        <v>1186</v>
      </c>
      <c r="BB100" s="80"/>
    </row>
    <row r="101" spans="1:54" ht="409.5" x14ac:dyDescent="0.25">
      <c r="A101" s="84" t="s">
        <v>49</v>
      </c>
      <c r="B101" s="84" t="s">
        <v>626</v>
      </c>
      <c r="C101" s="816"/>
      <c r="D101" s="816"/>
      <c r="E101" s="816"/>
      <c r="F101" s="84" t="s">
        <v>1097</v>
      </c>
      <c r="G101" s="816"/>
      <c r="H101" s="84" t="s">
        <v>1193</v>
      </c>
      <c r="I101" s="84" t="s">
        <v>1194</v>
      </c>
      <c r="J101" s="105">
        <v>0</v>
      </c>
      <c r="K101" s="105" t="s">
        <v>323</v>
      </c>
      <c r="L101" s="106">
        <v>42</v>
      </c>
      <c r="M101" s="108">
        <v>10</v>
      </c>
      <c r="N101" s="84" t="s">
        <v>1194</v>
      </c>
      <c r="O101" s="109">
        <v>0</v>
      </c>
      <c r="P101" s="85">
        <v>63000</v>
      </c>
      <c r="Q101" s="85"/>
      <c r="R101" s="85">
        <v>0</v>
      </c>
      <c r="S101" s="85"/>
      <c r="T101" s="85"/>
      <c r="U101" s="85">
        <v>63000</v>
      </c>
      <c r="V101" s="85"/>
      <c r="W101" s="85"/>
      <c r="X101" s="85"/>
      <c r="Y101" s="85"/>
      <c r="Z101" s="85"/>
      <c r="AA101" s="85"/>
      <c r="AB101" s="85"/>
      <c r="AC101" s="85"/>
      <c r="AD101" s="85"/>
      <c r="AE101" s="85"/>
      <c r="AF101" s="85"/>
      <c r="AG101" s="85">
        <f t="shared" si="1"/>
        <v>63000</v>
      </c>
      <c r="AH101" s="86" t="s">
        <v>1101</v>
      </c>
      <c r="AI101" s="101" t="s">
        <v>634</v>
      </c>
      <c r="AJ101" s="84" t="s">
        <v>1183</v>
      </c>
      <c r="AK101" s="84" t="s">
        <v>1184</v>
      </c>
      <c r="AL101" s="85">
        <v>207026</v>
      </c>
      <c r="AM101" s="91" t="s">
        <v>1195</v>
      </c>
      <c r="AN101" s="84"/>
      <c r="AO101" s="84"/>
      <c r="AP101" s="84" t="s">
        <v>751</v>
      </c>
      <c r="AQ101" s="84" t="s">
        <v>751</v>
      </c>
      <c r="AR101" s="84" t="s">
        <v>751</v>
      </c>
      <c r="AS101" s="84" t="s">
        <v>751</v>
      </c>
      <c r="AT101" s="84" t="s">
        <v>751</v>
      </c>
      <c r="AU101" s="84" t="s">
        <v>751</v>
      </c>
      <c r="AV101" s="84" t="s">
        <v>751</v>
      </c>
      <c r="AW101" s="84" t="s">
        <v>751</v>
      </c>
      <c r="AX101" s="84" t="s">
        <v>751</v>
      </c>
      <c r="AY101" s="84" t="s">
        <v>751</v>
      </c>
      <c r="AZ101" s="84" t="s">
        <v>742</v>
      </c>
      <c r="BA101" s="84" t="s">
        <v>1186</v>
      </c>
      <c r="BB101" s="80"/>
    </row>
    <row r="102" spans="1:54" ht="135" x14ac:dyDescent="0.25">
      <c r="A102" s="84" t="s">
        <v>49</v>
      </c>
      <c r="B102" s="84" t="s">
        <v>626</v>
      </c>
      <c r="C102" s="816"/>
      <c r="D102" s="816"/>
      <c r="E102" s="816"/>
      <c r="F102" s="84" t="s">
        <v>1097</v>
      </c>
      <c r="G102" s="816"/>
      <c r="H102" s="84" t="s">
        <v>1196</v>
      </c>
      <c r="I102" s="84" t="s">
        <v>1197</v>
      </c>
      <c r="J102" s="105">
        <v>0</v>
      </c>
      <c r="K102" s="105" t="s">
        <v>323</v>
      </c>
      <c r="L102" s="105">
        <v>1</v>
      </c>
      <c r="M102" s="105">
        <v>0.2</v>
      </c>
      <c r="N102" s="84" t="s">
        <v>1197</v>
      </c>
      <c r="O102" s="105">
        <v>0</v>
      </c>
      <c r="P102" s="85">
        <v>21000</v>
      </c>
      <c r="Q102" s="85"/>
      <c r="R102" s="85">
        <v>0</v>
      </c>
      <c r="S102" s="85"/>
      <c r="T102" s="85"/>
      <c r="U102" s="85">
        <v>21000</v>
      </c>
      <c r="V102" s="85"/>
      <c r="W102" s="85"/>
      <c r="X102" s="85"/>
      <c r="Y102" s="85"/>
      <c r="Z102" s="85"/>
      <c r="AA102" s="85"/>
      <c r="AB102" s="85"/>
      <c r="AC102" s="85"/>
      <c r="AD102" s="85"/>
      <c r="AE102" s="85"/>
      <c r="AF102" s="85"/>
      <c r="AG102" s="85">
        <f t="shared" si="1"/>
        <v>21000</v>
      </c>
      <c r="AH102" s="86" t="s">
        <v>1101</v>
      </c>
      <c r="AI102" s="101" t="s">
        <v>634</v>
      </c>
      <c r="AJ102" s="84">
        <v>42</v>
      </c>
      <c r="AK102" s="84" t="s">
        <v>1198</v>
      </c>
      <c r="AL102" s="84">
        <v>686.91600000000005</v>
      </c>
      <c r="AM102" s="84" t="s">
        <v>1199</v>
      </c>
      <c r="AN102" s="84"/>
      <c r="AO102" s="84"/>
      <c r="AP102" s="84" t="s">
        <v>751</v>
      </c>
      <c r="AQ102" s="84" t="s">
        <v>751</v>
      </c>
      <c r="AR102" s="84" t="s">
        <v>751</v>
      </c>
      <c r="AS102" s="84" t="s">
        <v>751</v>
      </c>
      <c r="AT102" s="84" t="s">
        <v>751</v>
      </c>
      <c r="AU102" s="84" t="s">
        <v>751</v>
      </c>
      <c r="AV102" s="84" t="s">
        <v>751</v>
      </c>
      <c r="AW102" s="84" t="s">
        <v>751</v>
      </c>
      <c r="AX102" s="84" t="s">
        <v>751</v>
      </c>
      <c r="AY102" s="84" t="s">
        <v>751</v>
      </c>
      <c r="AZ102" s="84" t="s">
        <v>742</v>
      </c>
      <c r="BA102" s="84" t="s">
        <v>1200</v>
      </c>
      <c r="BB102" s="80"/>
    </row>
    <row r="103" spans="1:54" ht="300" x14ac:dyDescent="0.25">
      <c r="A103" s="84" t="s">
        <v>49</v>
      </c>
      <c r="B103" s="84" t="s">
        <v>626</v>
      </c>
      <c r="C103" s="84" t="s">
        <v>1201</v>
      </c>
      <c r="D103" s="84" t="s">
        <v>1202</v>
      </c>
      <c r="E103" s="84">
        <v>1</v>
      </c>
      <c r="F103" s="84" t="s">
        <v>1203</v>
      </c>
      <c r="G103" s="816" t="s">
        <v>1204</v>
      </c>
      <c r="H103" s="84" t="s">
        <v>1205</v>
      </c>
      <c r="I103" s="84" t="s">
        <v>1206</v>
      </c>
      <c r="J103" s="105">
        <v>1</v>
      </c>
      <c r="K103" s="105" t="s">
        <v>322</v>
      </c>
      <c r="L103" s="105">
        <v>1</v>
      </c>
      <c r="M103" s="105">
        <v>1</v>
      </c>
      <c r="N103" s="84" t="s">
        <v>1206</v>
      </c>
      <c r="O103" s="105">
        <v>1</v>
      </c>
      <c r="P103" s="85">
        <v>417933</v>
      </c>
      <c r="Q103" s="85"/>
      <c r="R103" s="85"/>
      <c r="S103" s="85"/>
      <c r="T103" s="85"/>
      <c r="U103" s="85">
        <v>417933</v>
      </c>
      <c r="V103" s="85"/>
      <c r="W103" s="85"/>
      <c r="X103" s="85"/>
      <c r="Y103" s="85"/>
      <c r="Z103" s="85"/>
      <c r="AA103" s="85"/>
      <c r="AB103" s="85"/>
      <c r="AC103" s="85"/>
      <c r="AD103" s="85"/>
      <c r="AE103" s="85"/>
      <c r="AF103" s="85"/>
      <c r="AG103" s="85">
        <f t="shared" si="1"/>
        <v>417933</v>
      </c>
      <c r="AH103" s="86" t="s">
        <v>1207</v>
      </c>
      <c r="AI103" s="101" t="s">
        <v>634</v>
      </c>
      <c r="AJ103" s="84">
        <v>42</v>
      </c>
      <c r="AK103" s="84" t="s">
        <v>945</v>
      </c>
      <c r="AL103" s="84" t="s">
        <v>662</v>
      </c>
      <c r="AM103" s="84" t="s">
        <v>1208</v>
      </c>
      <c r="AN103" s="84"/>
      <c r="AO103" s="84"/>
      <c r="AP103" s="84" t="s">
        <v>751</v>
      </c>
      <c r="AQ103" s="84" t="s">
        <v>751</v>
      </c>
      <c r="AR103" s="84" t="s">
        <v>751</v>
      </c>
      <c r="AS103" s="84" t="s">
        <v>751</v>
      </c>
      <c r="AT103" s="84" t="s">
        <v>751</v>
      </c>
      <c r="AU103" s="84" t="s">
        <v>751</v>
      </c>
      <c r="AV103" s="84" t="s">
        <v>751</v>
      </c>
      <c r="AW103" s="84" t="s">
        <v>751</v>
      </c>
      <c r="AX103" s="84" t="s">
        <v>751</v>
      </c>
      <c r="AY103" s="84" t="s">
        <v>751</v>
      </c>
      <c r="AZ103" s="84" t="s">
        <v>1209</v>
      </c>
      <c r="BA103" s="91" t="s">
        <v>646</v>
      </c>
      <c r="BB103" s="80"/>
    </row>
    <row r="104" spans="1:54" ht="315" x14ac:dyDescent="0.25">
      <c r="A104" s="84" t="s">
        <v>49</v>
      </c>
      <c r="B104" s="84" t="s">
        <v>626</v>
      </c>
      <c r="C104" s="84" t="s">
        <v>1210</v>
      </c>
      <c r="D104" s="84" t="s">
        <v>1211</v>
      </c>
      <c r="E104" s="84">
        <v>0</v>
      </c>
      <c r="F104" s="84" t="s">
        <v>1203</v>
      </c>
      <c r="G104" s="816"/>
      <c r="H104" s="84" t="s">
        <v>1212</v>
      </c>
      <c r="I104" s="84" t="s">
        <v>1213</v>
      </c>
      <c r="J104" s="105">
        <v>0</v>
      </c>
      <c r="K104" s="105" t="s">
        <v>323</v>
      </c>
      <c r="L104" s="105">
        <v>0.5</v>
      </c>
      <c r="M104" s="105">
        <v>0.1</v>
      </c>
      <c r="N104" s="84" t="s">
        <v>1213</v>
      </c>
      <c r="O104" s="105">
        <v>0</v>
      </c>
      <c r="P104" s="85">
        <v>4202269.8</v>
      </c>
      <c r="Q104" s="85"/>
      <c r="R104" s="85"/>
      <c r="S104" s="85"/>
      <c r="T104" s="85"/>
      <c r="U104" s="85">
        <v>2202269.7999999998</v>
      </c>
      <c r="V104" s="85">
        <v>2000000</v>
      </c>
      <c r="W104" s="85"/>
      <c r="X104" s="85"/>
      <c r="Y104" s="85"/>
      <c r="Z104" s="85"/>
      <c r="AA104" s="85"/>
      <c r="AB104" s="85"/>
      <c r="AC104" s="85"/>
      <c r="AD104" s="85"/>
      <c r="AE104" s="85"/>
      <c r="AF104" s="85"/>
      <c r="AG104" s="85">
        <f t="shared" si="1"/>
        <v>4202269.8</v>
      </c>
      <c r="AH104" s="86" t="s">
        <v>1207</v>
      </c>
      <c r="AI104" s="101" t="s">
        <v>634</v>
      </c>
      <c r="AJ104" s="84">
        <v>42</v>
      </c>
      <c r="AK104" s="84" t="s">
        <v>945</v>
      </c>
      <c r="AL104" s="84" t="s">
        <v>662</v>
      </c>
      <c r="AM104" s="84" t="s">
        <v>1214</v>
      </c>
      <c r="AN104" s="84"/>
      <c r="AO104" s="84"/>
      <c r="AP104" s="84" t="s">
        <v>751</v>
      </c>
      <c r="AQ104" s="84" t="s">
        <v>751</v>
      </c>
      <c r="AR104" s="84" t="s">
        <v>751</v>
      </c>
      <c r="AS104" s="84" t="s">
        <v>751</v>
      </c>
      <c r="AT104" s="84" t="s">
        <v>751</v>
      </c>
      <c r="AU104" s="84" t="s">
        <v>751</v>
      </c>
      <c r="AV104" s="84" t="s">
        <v>751</v>
      </c>
      <c r="AW104" s="84" t="s">
        <v>751</v>
      </c>
      <c r="AX104" s="84" t="s">
        <v>751</v>
      </c>
      <c r="AY104" s="84" t="s">
        <v>751</v>
      </c>
      <c r="AZ104" s="84" t="s">
        <v>1215</v>
      </c>
      <c r="BA104" s="91" t="s">
        <v>646</v>
      </c>
      <c r="BB104" s="80"/>
    </row>
    <row r="105" spans="1:54" ht="345" x14ac:dyDescent="0.25">
      <c r="A105" s="84" t="s">
        <v>49</v>
      </c>
      <c r="B105" s="84" t="s">
        <v>626</v>
      </c>
      <c r="C105" s="84" t="s">
        <v>1216</v>
      </c>
      <c r="D105" s="84" t="s">
        <v>1217</v>
      </c>
      <c r="E105" s="84">
        <v>1</v>
      </c>
      <c r="F105" s="84" t="s">
        <v>1203</v>
      </c>
      <c r="G105" s="816"/>
      <c r="H105" s="84" t="s">
        <v>1218</v>
      </c>
      <c r="I105" s="84" t="s">
        <v>1219</v>
      </c>
      <c r="J105" s="105">
        <v>1</v>
      </c>
      <c r="K105" s="105" t="s">
        <v>322</v>
      </c>
      <c r="L105" s="105">
        <v>1</v>
      </c>
      <c r="M105" s="105">
        <v>1</v>
      </c>
      <c r="N105" s="84" t="s">
        <v>1219</v>
      </c>
      <c r="O105" s="105">
        <v>1</v>
      </c>
      <c r="P105" s="85">
        <v>1898591.1</v>
      </c>
      <c r="Q105" s="85"/>
      <c r="R105" s="85"/>
      <c r="S105" s="85"/>
      <c r="T105" s="85"/>
      <c r="U105" s="85">
        <v>1898591.1</v>
      </c>
      <c r="V105" s="85"/>
      <c r="W105" s="85"/>
      <c r="X105" s="85"/>
      <c r="Y105" s="85"/>
      <c r="Z105" s="85"/>
      <c r="AA105" s="85"/>
      <c r="AB105" s="85"/>
      <c r="AC105" s="85"/>
      <c r="AD105" s="85"/>
      <c r="AE105" s="85"/>
      <c r="AF105" s="85"/>
      <c r="AG105" s="85">
        <f t="shared" si="1"/>
        <v>1898591.1</v>
      </c>
      <c r="AH105" s="86" t="s">
        <v>1207</v>
      </c>
      <c r="AI105" s="101" t="s">
        <v>634</v>
      </c>
      <c r="AJ105" s="84">
        <v>42</v>
      </c>
      <c r="AK105" s="84" t="s">
        <v>945</v>
      </c>
      <c r="AL105" s="84" t="s">
        <v>662</v>
      </c>
      <c r="AM105" s="84" t="s">
        <v>1220</v>
      </c>
      <c r="AN105" s="84"/>
      <c r="AO105" s="84"/>
      <c r="AP105" s="84" t="s">
        <v>751</v>
      </c>
      <c r="AQ105" s="84" t="s">
        <v>751</v>
      </c>
      <c r="AR105" s="84" t="s">
        <v>751</v>
      </c>
      <c r="AS105" s="84" t="s">
        <v>751</v>
      </c>
      <c r="AT105" s="84" t="s">
        <v>751</v>
      </c>
      <c r="AU105" s="84" t="s">
        <v>751</v>
      </c>
      <c r="AV105" s="84" t="s">
        <v>751</v>
      </c>
      <c r="AW105" s="84" t="s">
        <v>751</v>
      </c>
      <c r="AX105" s="84" t="s">
        <v>751</v>
      </c>
      <c r="AY105" s="84" t="s">
        <v>751</v>
      </c>
      <c r="AZ105" s="84" t="s">
        <v>1215</v>
      </c>
      <c r="BA105" s="91" t="s">
        <v>646</v>
      </c>
      <c r="BB105" s="80"/>
    </row>
    <row r="106" spans="1:54" ht="345" x14ac:dyDescent="0.25">
      <c r="A106" s="84" t="s">
        <v>49</v>
      </c>
      <c r="B106" s="84" t="s">
        <v>626</v>
      </c>
      <c r="C106" s="84" t="s">
        <v>1221</v>
      </c>
      <c r="D106" s="84" t="s">
        <v>1222</v>
      </c>
      <c r="E106" s="84">
        <v>1</v>
      </c>
      <c r="F106" s="84" t="s">
        <v>1203</v>
      </c>
      <c r="G106" s="84" t="s">
        <v>1223</v>
      </c>
      <c r="H106" s="84" t="s">
        <v>1224</v>
      </c>
      <c r="I106" s="84" t="s">
        <v>1225</v>
      </c>
      <c r="J106" s="105">
        <v>1</v>
      </c>
      <c r="K106" s="105" t="s">
        <v>322</v>
      </c>
      <c r="L106" s="105">
        <v>1</v>
      </c>
      <c r="M106" s="105">
        <v>1</v>
      </c>
      <c r="N106" s="84" t="s">
        <v>1225</v>
      </c>
      <c r="O106" s="105">
        <v>1</v>
      </c>
      <c r="P106" s="85">
        <v>131880</v>
      </c>
      <c r="Q106" s="85"/>
      <c r="R106" s="85"/>
      <c r="S106" s="85"/>
      <c r="T106" s="85"/>
      <c r="U106" s="85">
        <v>131880</v>
      </c>
      <c r="V106" s="85"/>
      <c r="W106" s="85"/>
      <c r="X106" s="85"/>
      <c r="Y106" s="85"/>
      <c r="Z106" s="85"/>
      <c r="AA106" s="85"/>
      <c r="AB106" s="85"/>
      <c r="AC106" s="85"/>
      <c r="AD106" s="85"/>
      <c r="AE106" s="85"/>
      <c r="AF106" s="85"/>
      <c r="AG106" s="85">
        <f t="shared" si="1"/>
        <v>131880</v>
      </c>
      <c r="AH106" s="86" t="s">
        <v>1207</v>
      </c>
      <c r="AI106" s="101" t="s">
        <v>634</v>
      </c>
      <c r="AJ106" s="86" t="s">
        <v>1226</v>
      </c>
      <c r="AK106" s="86" t="s">
        <v>1227</v>
      </c>
      <c r="AL106" s="86">
        <v>371.08499999999998</v>
      </c>
      <c r="AM106" s="86" t="s">
        <v>1228</v>
      </c>
      <c r="AN106" s="88"/>
      <c r="AO106" s="88"/>
      <c r="AP106" s="88" t="s">
        <v>395</v>
      </c>
      <c r="AQ106" s="88" t="s">
        <v>395</v>
      </c>
      <c r="AR106" s="88" t="s">
        <v>395</v>
      </c>
      <c r="AS106" s="88" t="s">
        <v>395</v>
      </c>
      <c r="AT106" s="88" t="s">
        <v>395</v>
      </c>
      <c r="AU106" s="88" t="s">
        <v>395</v>
      </c>
      <c r="AV106" s="88" t="s">
        <v>395</v>
      </c>
      <c r="AW106" s="88" t="s">
        <v>395</v>
      </c>
      <c r="AX106" s="88" t="s">
        <v>395</v>
      </c>
      <c r="AY106" s="88" t="s">
        <v>395</v>
      </c>
      <c r="AZ106" s="86" t="s">
        <v>638</v>
      </c>
      <c r="BA106" s="84" t="s">
        <v>639</v>
      </c>
      <c r="BB106" s="80"/>
    </row>
    <row r="107" spans="1:54" ht="315" x14ac:dyDescent="0.25">
      <c r="A107" s="84" t="s">
        <v>49</v>
      </c>
      <c r="B107" s="84" t="s">
        <v>626</v>
      </c>
      <c r="C107" s="84" t="s">
        <v>1229</v>
      </c>
      <c r="D107" s="84" t="s">
        <v>1230</v>
      </c>
      <c r="E107" s="84">
        <v>0.25</v>
      </c>
      <c r="F107" s="84" t="s">
        <v>1203</v>
      </c>
      <c r="G107" s="84" t="s">
        <v>1231</v>
      </c>
      <c r="H107" s="84" t="s">
        <v>1232</v>
      </c>
      <c r="I107" s="84" t="s">
        <v>1233</v>
      </c>
      <c r="J107" s="105">
        <v>0.25</v>
      </c>
      <c r="K107" s="105" t="s">
        <v>323</v>
      </c>
      <c r="L107" s="105">
        <v>1</v>
      </c>
      <c r="M107" s="105">
        <v>0.25</v>
      </c>
      <c r="N107" s="84" t="s">
        <v>1233</v>
      </c>
      <c r="O107" s="105">
        <v>0.25</v>
      </c>
      <c r="P107" s="85">
        <v>18375</v>
      </c>
      <c r="Q107" s="85"/>
      <c r="R107" s="85"/>
      <c r="S107" s="85"/>
      <c r="T107" s="85"/>
      <c r="U107" s="85">
        <v>18375</v>
      </c>
      <c r="V107" s="85"/>
      <c r="W107" s="85"/>
      <c r="X107" s="85"/>
      <c r="Y107" s="85"/>
      <c r="Z107" s="85"/>
      <c r="AA107" s="85"/>
      <c r="AB107" s="85"/>
      <c r="AC107" s="85"/>
      <c r="AD107" s="85"/>
      <c r="AE107" s="85"/>
      <c r="AF107" s="85"/>
      <c r="AG107" s="85">
        <f t="shared" si="1"/>
        <v>18375</v>
      </c>
      <c r="AH107" s="86" t="s">
        <v>1207</v>
      </c>
      <c r="AI107" s="101" t="s">
        <v>634</v>
      </c>
      <c r="AJ107" s="84">
        <v>42</v>
      </c>
      <c r="AK107" s="84" t="s">
        <v>644</v>
      </c>
      <c r="AL107" s="84" t="s">
        <v>662</v>
      </c>
      <c r="AM107" s="86" t="s">
        <v>1234</v>
      </c>
      <c r="AN107" s="88"/>
      <c r="AO107" s="88"/>
      <c r="AP107" s="88" t="s">
        <v>395</v>
      </c>
      <c r="AQ107" s="88" t="s">
        <v>395</v>
      </c>
      <c r="AR107" s="88" t="s">
        <v>395</v>
      </c>
      <c r="AS107" s="88" t="s">
        <v>395</v>
      </c>
      <c r="AT107" s="88" t="s">
        <v>395</v>
      </c>
      <c r="AU107" s="88" t="s">
        <v>395</v>
      </c>
      <c r="AV107" s="88" t="s">
        <v>395</v>
      </c>
      <c r="AW107" s="88" t="s">
        <v>395</v>
      </c>
      <c r="AX107" s="88" t="s">
        <v>395</v>
      </c>
      <c r="AY107" s="88" t="s">
        <v>395</v>
      </c>
      <c r="AZ107" s="86" t="s">
        <v>638</v>
      </c>
      <c r="BA107" s="91" t="s">
        <v>646</v>
      </c>
      <c r="BB107" s="80"/>
    </row>
    <row r="108" spans="1:54" ht="409.5" x14ac:dyDescent="0.25">
      <c r="A108" s="84" t="s">
        <v>49</v>
      </c>
      <c r="B108" s="84" t="s">
        <v>626</v>
      </c>
      <c r="C108" s="84" t="s">
        <v>1235</v>
      </c>
      <c r="D108" s="84" t="s">
        <v>1236</v>
      </c>
      <c r="E108" s="84">
        <v>0.4</v>
      </c>
      <c r="F108" s="84" t="s">
        <v>1237</v>
      </c>
      <c r="G108" s="816" t="s">
        <v>1238</v>
      </c>
      <c r="H108" s="84" t="s">
        <v>1239</v>
      </c>
      <c r="I108" s="84" t="s">
        <v>1240</v>
      </c>
      <c r="J108" s="105">
        <v>0.1</v>
      </c>
      <c r="K108" s="105" t="s">
        <v>323</v>
      </c>
      <c r="L108" s="105">
        <v>1</v>
      </c>
      <c r="M108" s="105">
        <v>0.25</v>
      </c>
      <c r="N108" s="84" t="s">
        <v>1240</v>
      </c>
      <c r="O108" s="105">
        <v>0.1</v>
      </c>
      <c r="P108" s="85">
        <v>74512.2</v>
      </c>
      <c r="Q108" s="85"/>
      <c r="R108" s="85"/>
      <c r="S108" s="85"/>
      <c r="T108" s="85"/>
      <c r="U108" s="85">
        <v>74512.2</v>
      </c>
      <c r="V108" s="85"/>
      <c r="W108" s="85"/>
      <c r="X108" s="85"/>
      <c r="Y108" s="85"/>
      <c r="Z108" s="85"/>
      <c r="AA108" s="85"/>
      <c r="AB108" s="85"/>
      <c r="AC108" s="85"/>
      <c r="AD108" s="85"/>
      <c r="AE108" s="85"/>
      <c r="AF108" s="85"/>
      <c r="AG108" s="85">
        <f t="shared" si="1"/>
        <v>74512.2</v>
      </c>
      <c r="AH108" s="86" t="s">
        <v>1237</v>
      </c>
      <c r="AI108" s="101" t="s">
        <v>1241</v>
      </c>
      <c r="AJ108" s="84">
        <v>42</v>
      </c>
      <c r="AK108" s="84" t="s">
        <v>644</v>
      </c>
      <c r="AL108" s="91" t="s">
        <v>662</v>
      </c>
      <c r="AM108" s="84" t="s">
        <v>1242</v>
      </c>
      <c r="AN108" s="84" t="s">
        <v>395</v>
      </c>
      <c r="AO108" s="84" t="s">
        <v>395</v>
      </c>
      <c r="AP108" s="84" t="s">
        <v>395</v>
      </c>
      <c r="AQ108" s="84" t="s">
        <v>395</v>
      </c>
      <c r="AR108" s="84" t="s">
        <v>395</v>
      </c>
      <c r="AS108" s="84" t="s">
        <v>395</v>
      </c>
      <c r="AT108" s="84" t="s">
        <v>395</v>
      </c>
      <c r="AU108" s="84" t="s">
        <v>395</v>
      </c>
      <c r="AV108" s="84" t="s">
        <v>395</v>
      </c>
      <c r="AW108" s="84" t="s">
        <v>395</v>
      </c>
      <c r="AX108" s="84" t="s">
        <v>395</v>
      </c>
      <c r="AY108" s="84" t="s">
        <v>395</v>
      </c>
      <c r="AZ108" s="84" t="s">
        <v>1243</v>
      </c>
      <c r="BA108" s="91" t="s">
        <v>646</v>
      </c>
      <c r="BB108" s="80"/>
    </row>
    <row r="109" spans="1:54" ht="409.5" x14ac:dyDescent="0.25">
      <c r="A109" s="84" t="s">
        <v>49</v>
      </c>
      <c r="B109" s="84" t="s">
        <v>626</v>
      </c>
      <c r="C109" s="84" t="s">
        <v>1244</v>
      </c>
      <c r="D109" s="84" t="s">
        <v>1245</v>
      </c>
      <c r="E109" s="84">
        <v>0.35</v>
      </c>
      <c r="F109" s="84" t="s">
        <v>1237</v>
      </c>
      <c r="G109" s="816"/>
      <c r="H109" s="84" t="s">
        <v>1246</v>
      </c>
      <c r="I109" s="84" t="s">
        <v>1247</v>
      </c>
      <c r="J109" s="105">
        <v>0.35</v>
      </c>
      <c r="K109" s="105" t="s">
        <v>323</v>
      </c>
      <c r="L109" s="105">
        <v>1</v>
      </c>
      <c r="M109" s="105">
        <v>0.25</v>
      </c>
      <c r="N109" s="84" t="s">
        <v>1247</v>
      </c>
      <c r="O109" s="105">
        <v>0.35</v>
      </c>
      <c r="P109" s="85">
        <v>21000</v>
      </c>
      <c r="Q109" s="85"/>
      <c r="R109" s="85"/>
      <c r="S109" s="85"/>
      <c r="T109" s="85"/>
      <c r="U109" s="85">
        <v>21000</v>
      </c>
      <c r="V109" s="85"/>
      <c r="W109" s="85"/>
      <c r="X109" s="85"/>
      <c r="Y109" s="85"/>
      <c r="Z109" s="85"/>
      <c r="AA109" s="85"/>
      <c r="AB109" s="85"/>
      <c r="AC109" s="85"/>
      <c r="AD109" s="85"/>
      <c r="AE109" s="85"/>
      <c r="AF109" s="85"/>
      <c r="AG109" s="85">
        <f t="shared" si="1"/>
        <v>21000</v>
      </c>
      <c r="AH109" s="86" t="s">
        <v>1237</v>
      </c>
      <c r="AI109" s="101" t="s">
        <v>1241</v>
      </c>
      <c r="AJ109" s="84">
        <v>42</v>
      </c>
      <c r="AK109" s="84" t="s">
        <v>644</v>
      </c>
      <c r="AL109" s="91" t="s">
        <v>662</v>
      </c>
      <c r="AM109" s="84" t="s">
        <v>1248</v>
      </c>
      <c r="AN109" s="84" t="s">
        <v>395</v>
      </c>
      <c r="AO109" s="84" t="s">
        <v>395</v>
      </c>
      <c r="AP109" s="84" t="s">
        <v>395</v>
      </c>
      <c r="AQ109" s="84" t="s">
        <v>395</v>
      </c>
      <c r="AR109" s="84" t="s">
        <v>395</v>
      </c>
      <c r="AS109" s="84" t="s">
        <v>395</v>
      </c>
      <c r="AT109" s="84" t="s">
        <v>395</v>
      </c>
      <c r="AU109" s="84" t="s">
        <v>395</v>
      </c>
      <c r="AV109" s="84" t="s">
        <v>395</v>
      </c>
      <c r="AW109" s="84" t="s">
        <v>395</v>
      </c>
      <c r="AX109" s="84" t="s">
        <v>395</v>
      </c>
      <c r="AY109" s="84" t="s">
        <v>395</v>
      </c>
      <c r="AZ109" s="84" t="s">
        <v>1243</v>
      </c>
      <c r="BA109" s="91" t="s">
        <v>646</v>
      </c>
      <c r="BB109" s="80"/>
    </row>
    <row r="110" spans="1:54" ht="270" x14ac:dyDescent="0.25">
      <c r="A110" s="84" t="s">
        <v>49</v>
      </c>
      <c r="B110" s="84" t="s">
        <v>626</v>
      </c>
      <c r="C110" s="84" t="s">
        <v>1249</v>
      </c>
      <c r="D110" s="84" t="s">
        <v>1250</v>
      </c>
      <c r="E110" s="84">
        <v>0</v>
      </c>
      <c r="F110" s="84" t="s">
        <v>1237</v>
      </c>
      <c r="G110" s="816"/>
      <c r="H110" s="84" t="s">
        <v>1251</v>
      </c>
      <c r="I110" s="84" t="s">
        <v>1252</v>
      </c>
      <c r="J110" s="105">
        <v>0</v>
      </c>
      <c r="K110" s="105" t="s">
        <v>323</v>
      </c>
      <c r="L110" s="105">
        <v>1</v>
      </c>
      <c r="M110" s="105">
        <v>0</v>
      </c>
      <c r="N110" s="84" t="s">
        <v>1252</v>
      </c>
      <c r="O110" s="105">
        <v>0</v>
      </c>
      <c r="P110" s="85">
        <v>0</v>
      </c>
      <c r="Q110" s="85"/>
      <c r="R110" s="85"/>
      <c r="S110" s="85"/>
      <c r="T110" s="85"/>
      <c r="U110" s="85">
        <v>0</v>
      </c>
      <c r="V110" s="85"/>
      <c r="W110" s="85"/>
      <c r="X110" s="85"/>
      <c r="Y110" s="85"/>
      <c r="Z110" s="85"/>
      <c r="AA110" s="85"/>
      <c r="AB110" s="85"/>
      <c r="AC110" s="85"/>
      <c r="AD110" s="85"/>
      <c r="AE110" s="85"/>
      <c r="AF110" s="85"/>
      <c r="AG110" s="85">
        <f t="shared" si="1"/>
        <v>0</v>
      </c>
      <c r="AH110" s="86" t="s">
        <v>1237</v>
      </c>
      <c r="AI110" s="84" t="s">
        <v>1253</v>
      </c>
      <c r="AJ110" s="84">
        <v>42</v>
      </c>
      <c r="AK110" s="84" t="s">
        <v>644</v>
      </c>
      <c r="AL110" s="91" t="s">
        <v>662</v>
      </c>
      <c r="AM110" s="84" t="s">
        <v>1254</v>
      </c>
      <c r="AN110" s="84"/>
      <c r="AO110" s="84"/>
      <c r="AP110" s="84"/>
      <c r="AQ110" s="84"/>
      <c r="AR110" s="84"/>
      <c r="AS110" s="84"/>
      <c r="AT110" s="84"/>
      <c r="AU110" s="84"/>
      <c r="AV110" s="84"/>
      <c r="AW110" s="84"/>
      <c r="AX110" s="84"/>
      <c r="AY110" s="84"/>
      <c r="AZ110" s="84" t="s">
        <v>1243</v>
      </c>
      <c r="BA110" s="91" t="s">
        <v>646</v>
      </c>
      <c r="BB110" s="80"/>
    </row>
    <row r="111" spans="1:54" ht="409.5" x14ac:dyDescent="0.25">
      <c r="A111" s="84" t="s">
        <v>49</v>
      </c>
      <c r="B111" s="84" t="s">
        <v>626</v>
      </c>
      <c r="C111" s="84" t="s">
        <v>1255</v>
      </c>
      <c r="D111" s="84" t="s">
        <v>1256</v>
      </c>
      <c r="E111" s="84">
        <v>0</v>
      </c>
      <c r="F111" s="84" t="s">
        <v>1237</v>
      </c>
      <c r="G111" s="816"/>
      <c r="H111" s="84" t="s">
        <v>1257</v>
      </c>
      <c r="I111" s="84" t="s">
        <v>1258</v>
      </c>
      <c r="J111" s="105">
        <v>0</v>
      </c>
      <c r="K111" s="105" t="s">
        <v>323</v>
      </c>
      <c r="L111" s="105">
        <v>0.5</v>
      </c>
      <c r="M111" s="105" t="s">
        <v>611</v>
      </c>
      <c r="N111" s="84" t="s">
        <v>1258</v>
      </c>
      <c r="O111" s="105">
        <v>0</v>
      </c>
      <c r="P111" s="85">
        <v>559432.65</v>
      </c>
      <c r="Q111" s="85"/>
      <c r="R111" s="85"/>
      <c r="S111" s="85"/>
      <c r="T111" s="85"/>
      <c r="U111" s="85">
        <v>559432.65</v>
      </c>
      <c r="V111" s="85"/>
      <c r="W111" s="85"/>
      <c r="X111" s="85"/>
      <c r="Y111" s="85"/>
      <c r="Z111" s="85"/>
      <c r="AA111" s="85"/>
      <c r="AB111" s="85"/>
      <c r="AC111" s="85"/>
      <c r="AD111" s="85"/>
      <c r="AE111" s="85"/>
      <c r="AF111" s="85"/>
      <c r="AG111" s="85">
        <f t="shared" si="1"/>
        <v>559432.65</v>
      </c>
      <c r="AH111" s="86" t="s">
        <v>1237</v>
      </c>
      <c r="AI111" s="101" t="s">
        <v>1241</v>
      </c>
      <c r="AJ111" s="84">
        <v>42</v>
      </c>
      <c r="AK111" s="84" t="s">
        <v>644</v>
      </c>
      <c r="AL111" s="91" t="s">
        <v>662</v>
      </c>
      <c r="AM111" s="84" t="s">
        <v>1259</v>
      </c>
      <c r="AN111" s="84" t="s">
        <v>395</v>
      </c>
      <c r="AO111" s="84" t="s">
        <v>395</v>
      </c>
      <c r="AP111" s="84" t="s">
        <v>395</v>
      </c>
      <c r="AQ111" s="84" t="s">
        <v>395</v>
      </c>
      <c r="AR111" s="84" t="s">
        <v>395</v>
      </c>
      <c r="AS111" s="84" t="s">
        <v>395</v>
      </c>
      <c r="AT111" s="84" t="s">
        <v>395</v>
      </c>
      <c r="AU111" s="84" t="s">
        <v>395</v>
      </c>
      <c r="AV111" s="84" t="s">
        <v>395</v>
      </c>
      <c r="AW111" s="84" t="s">
        <v>395</v>
      </c>
      <c r="AX111" s="84" t="s">
        <v>395</v>
      </c>
      <c r="AY111" s="84" t="s">
        <v>395</v>
      </c>
      <c r="AZ111" s="84" t="s">
        <v>1243</v>
      </c>
      <c r="BA111" s="91" t="s">
        <v>646</v>
      </c>
      <c r="BB111" s="80"/>
    </row>
    <row r="112" spans="1:54" ht="409.5" x14ac:dyDescent="0.25">
      <c r="A112" s="84" t="s">
        <v>49</v>
      </c>
      <c r="B112" s="84" t="s">
        <v>626</v>
      </c>
      <c r="C112" s="84" t="s">
        <v>1260</v>
      </c>
      <c r="D112" s="84" t="s">
        <v>1261</v>
      </c>
      <c r="E112" s="84" t="s">
        <v>1262</v>
      </c>
      <c r="F112" s="84" t="s">
        <v>1263</v>
      </c>
      <c r="G112" s="816" t="s">
        <v>1264</v>
      </c>
      <c r="H112" s="84" t="s">
        <v>1265</v>
      </c>
      <c r="I112" s="84" t="s">
        <v>1266</v>
      </c>
      <c r="J112" s="84" t="s">
        <v>1262</v>
      </c>
      <c r="K112" s="84" t="s">
        <v>322</v>
      </c>
      <c r="L112" s="89">
        <v>1</v>
      </c>
      <c r="M112" s="89">
        <v>1</v>
      </c>
      <c r="N112" s="84" t="s">
        <v>1266</v>
      </c>
      <c r="O112" s="84" t="s">
        <v>1262</v>
      </c>
      <c r="P112" s="85">
        <v>231299.25</v>
      </c>
      <c r="Q112" s="85"/>
      <c r="R112" s="85"/>
      <c r="S112" s="85"/>
      <c r="T112" s="85"/>
      <c r="U112" s="85">
        <v>231299.25</v>
      </c>
      <c r="V112" s="85"/>
      <c r="W112" s="85"/>
      <c r="X112" s="85"/>
      <c r="Y112" s="85"/>
      <c r="Z112" s="85"/>
      <c r="AA112" s="85"/>
      <c r="AB112" s="85"/>
      <c r="AC112" s="85"/>
      <c r="AD112" s="85"/>
      <c r="AE112" s="85"/>
      <c r="AF112" s="85"/>
      <c r="AG112" s="85">
        <f t="shared" si="1"/>
        <v>231299.25</v>
      </c>
      <c r="AH112" s="86" t="s">
        <v>1263</v>
      </c>
      <c r="AI112" s="101" t="s">
        <v>1241</v>
      </c>
      <c r="AJ112" s="84">
        <v>42</v>
      </c>
      <c r="AK112" s="84" t="s">
        <v>1267</v>
      </c>
      <c r="AL112" s="91" t="s">
        <v>662</v>
      </c>
      <c r="AM112" s="84" t="s">
        <v>1268</v>
      </c>
      <c r="AN112" s="110" t="s">
        <v>395</v>
      </c>
      <c r="AO112" s="110" t="s">
        <v>395</v>
      </c>
      <c r="AP112" s="110" t="s">
        <v>395</v>
      </c>
      <c r="AQ112" s="110" t="s">
        <v>395</v>
      </c>
      <c r="AR112" s="110" t="s">
        <v>395</v>
      </c>
      <c r="AS112" s="110" t="s">
        <v>395</v>
      </c>
      <c r="AT112" s="110" t="s">
        <v>395</v>
      </c>
      <c r="AU112" s="110" t="s">
        <v>395</v>
      </c>
      <c r="AV112" s="110" t="s">
        <v>395</v>
      </c>
      <c r="AW112" s="110" t="s">
        <v>395</v>
      </c>
      <c r="AX112" s="110" t="s">
        <v>395</v>
      </c>
      <c r="AY112" s="110" t="s">
        <v>395</v>
      </c>
      <c r="AZ112" s="111" t="s">
        <v>1269</v>
      </c>
      <c r="BA112" s="91" t="s">
        <v>646</v>
      </c>
      <c r="BB112" s="80"/>
    </row>
    <row r="113" spans="1:54" ht="270" x14ac:dyDescent="0.25">
      <c r="A113" s="84" t="s">
        <v>49</v>
      </c>
      <c r="B113" s="84" t="s">
        <v>626</v>
      </c>
      <c r="C113" s="84" t="s">
        <v>1270</v>
      </c>
      <c r="D113" s="84" t="s">
        <v>1271</v>
      </c>
      <c r="E113" s="84" t="s">
        <v>1262</v>
      </c>
      <c r="F113" s="84" t="s">
        <v>1263</v>
      </c>
      <c r="G113" s="816"/>
      <c r="H113" s="84" t="s">
        <v>1272</v>
      </c>
      <c r="I113" s="84" t="s">
        <v>1273</v>
      </c>
      <c r="J113" s="84" t="s">
        <v>1262</v>
      </c>
      <c r="K113" s="84" t="s">
        <v>322</v>
      </c>
      <c r="L113" s="89">
        <v>0.95</v>
      </c>
      <c r="M113" s="89">
        <v>0.95</v>
      </c>
      <c r="N113" s="84" t="s">
        <v>1273</v>
      </c>
      <c r="O113" s="84" t="s">
        <v>1262</v>
      </c>
      <c r="P113" s="85">
        <v>236224.8</v>
      </c>
      <c r="Q113" s="85"/>
      <c r="R113" s="85"/>
      <c r="S113" s="85"/>
      <c r="T113" s="85"/>
      <c r="U113" s="85">
        <v>236224.8</v>
      </c>
      <c r="V113" s="85"/>
      <c r="W113" s="85"/>
      <c r="X113" s="85"/>
      <c r="Y113" s="85"/>
      <c r="Z113" s="85"/>
      <c r="AA113" s="85"/>
      <c r="AB113" s="85"/>
      <c r="AC113" s="85"/>
      <c r="AD113" s="85"/>
      <c r="AE113" s="85"/>
      <c r="AF113" s="85"/>
      <c r="AG113" s="85">
        <f t="shared" si="1"/>
        <v>236224.8</v>
      </c>
      <c r="AH113" s="86" t="s">
        <v>1263</v>
      </c>
      <c r="AI113" s="101" t="s">
        <v>1241</v>
      </c>
      <c r="AJ113" s="84">
        <v>42</v>
      </c>
      <c r="AK113" s="84" t="s">
        <v>1267</v>
      </c>
      <c r="AL113" s="91" t="s">
        <v>662</v>
      </c>
      <c r="AM113" s="84" t="s">
        <v>1274</v>
      </c>
      <c r="AN113" s="110" t="s">
        <v>395</v>
      </c>
      <c r="AO113" s="110" t="s">
        <v>395</v>
      </c>
      <c r="AP113" s="110" t="s">
        <v>395</v>
      </c>
      <c r="AQ113" s="110" t="s">
        <v>395</v>
      </c>
      <c r="AR113" s="110" t="s">
        <v>395</v>
      </c>
      <c r="AS113" s="110" t="s">
        <v>395</v>
      </c>
      <c r="AT113" s="110" t="s">
        <v>395</v>
      </c>
      <c r="AU113" s="110" t="s">
        <v>395</v>
      </c>
      <c r="AV113" s="110" t="s">
        <v>395</v>
      </c>
      <c r="AW113" s="110" t="s">
        <v>395</v>
      </c>
      <c r="AX113" s="110" t="s">
        <v>395</v>
      </c>
      <c r="AY113" s="110" t="s">
        <v>395</v>
      </c>
      <c r="AZ113" s="111" t="s">
        <v>1269</v>
      </c>
      <c r="BA113" s="91" t="s">
        <v>646</v>
      </c>
      <c r="BB113" s="80"/>
    </row>
    <row r="114" spans="1:54" ht="393.75" x14ac:dyDescent="0.25">
      <c r="A114" s="92" t="s">
        <v>49</v>
      </c>
      <c r="B114" s="92" t="s">
        <v>626</v>
      </c>
      <c r="C114" s="816" t="s">
        <v>1275</v>
      </c>
      <c r="D114" s="816" t="s">
        <v>1276</v>
      </c>
      <c r="E114" s="816">
        <v>1</v>
      </c>
      <c r="F114" s="92" t="s">
        <v>1277</v>
      </c>
      <c r="G114" s="816" t="s">
        <v>1278</v>
      </c>
      <c r="H114" s="92" t="s">
        <v>1279</v>
      </c>
      <c r="I114" s="92" t="s">
        <v>1280</v>
      </c>
      <c r="J114" s="112">
        <v>1</v>
      </c>
      <c r="K114" s="92" t="s">
        <v>322</v>
      </c>
      <c r="L114" s="112">
        <v>1</v>
      </c>
      <c r="M114" s="112">
        <v>1</v>
      </c>
      <c r="N114" s="92" t="s">
        <v>1280</v>
      </c>
      <c r="O114" s="112">
        <v>1</v>
      </c>
      <c r="P114" s="93">
        <v>21852806</v>
      </c>
      <c r="Q114" s="93"/>
      <c r="R114" s="93">
        <v>21852806</v>
      </c>
      <c r="S114" s="93"/>
      <c r="T114" s="93"/>
      <c r="U114" s="93"/>
      <c r="V114" s="93"/>
      <c r="W114" s="93"/>
      <c r="X114" s="93"/>
      <c r="Y114" s="93"/>
      <c r="Z114" s="93"/>
      <c r="AA114" s="93"/>
      <c r="AB114" s="93"/>
      <c r="AC114" s="93"/>
      <c r="AD114" s="93"/>
      <c r="AE114" s="93"/>
      <c r="AF114" s="93"/>
      <c r="AG114" s="93">
        <f t="shared" si="1"/>
        <v>21852806</v>
      </c>
      <c r="AH114" s="96" t="s">
        <v>1277</v>
      </c>
      <c r="AI114" s="113" t="s">
        <v>1241</v>
      </c>
      <c r="AJ114" s="114" t="s">
        <v>1281</v>
      </c>
      <c r="AK114" s="114" t="s">
        <v>1282</v>
      </c>
      <c r="AL114" s="93" t="s">
        <v>662</v>
      </c>
      <c r="AM114" s="114" t="s">
        <v>1283</v>
      </c>
      <c r="AN114" s="92" t="s">
        <v>751</v>
      </c>
      <c r="AO114" s="92" t="s">
        <v>751</v>
      </c>
      <c r="AP114" s="92" t="s">
        <v>751</v>
      </c>
      <c r="AQ114" s="92" t="s">
        <v>751</v>
      </c>
      <c r="AR114" s="92" t="s">
        <v>751</v>
      </c>
      <c r="AS114" s="92" t="s">
        <v>751</v>
      </c>
      <c r="AT114" s="92" t="s">
        <v>751</v>
      </c>
      <c r="AU114" s="92" t="s">
        <v>751</v>
      </c>
      <c r="AV114" s="92" t="s">
        <v>751</v>
      </c>
      <c r="AW114" s="92" t="s">
        <v>751</v>
      </c>
      <c r="AX114" s="92" t="s">
        <v>751</v>
      </c>
      <c r="AY114" s="92" t="s">
        <v>751</v>
      </c>
      <c r="AZ114" s="92" t="s">
        <v>1284</v>
      </c>
      <c r="BA114" s="115" t="s">
        <v>646</v>
      </c>
      <c r="BB114" s="95"/>
    </row>
    <row r="115" spans="1:54" ht="393.75" x14ac:dyDescent="0.25">
      <c r="A115" s="84" t="s">
        <v>49</v>
      </c>
      <c r="B115" s="84" t="s">
        <v>626</v>
      </c>
      <c r="C115" s="816"/>
      <c r="D115" s="816"/>
      <c r="E115" s="816"/>
      <c r="F115" s="84" t="s">
        <v>1277</v>
      </c>
      <c r="G115" s="816"/>
      <c r="H115" s="84" t="s">
        <v>1285</v>
      </c>
      <c r="I115" s="84" t="s">
        <v>1286</v>
      </c>
      <c r="J115" s="105">
        <v>1</v>
      </c>
      <c r="K115" s="84" t="s">
        <v>322</v>
      </c>
      <c r="L115" s="105">
        <v>1</v>
      </c>
      <c r="M115" s="105">
        <v>1</v>
      </c>
      <c r="N115" s="84" t="s">
        <v>1286</v>
      </c>
      <c r="O115" s="105">
        <v>1</v>
      </c>
      <c r="P115" s="85">
        <v>150600</v>
      </c>
      <c r="Q115" s="85"/>
      <c r="R115" s="85">
        <v>150600</v>
      </c>
      <c r="S115" s="85"/>
      <c r="T115" s="85"/>
      <c r="U115" s="85"/>
      <c r="V115" s="85"/>
      <c r="W115" s="85"/>
      <c r="X115" s="85"/>
      <c r="Y115" s="85"/>
      <c r="Z115" s="85"/>
      <c r="AA115" s="85"/>
      <c r="AB115" s="85"/>
      <c r="AC115" s="85"/>
      <c r="AD115" s="85"/>
      <c r="AE115" s="85"/>
      <c r="AF115" s="85"/>
      <c r="AG115" s="85">
        <f t="shared" si="1"/>
        <v>150600</v>
      </c>
      <c r="AH115" s="86" t="s">
        <v>1277</v>
      </c>
      <c r="AI115" s="101" t="s">
        <v>1241</v>
      </c>
      <c r="AJ115" s="116" t="s">
        <v>1281</v>
      </c>
      <c r="AK115" s="116" t="s">
        <v>1282</v>
      </c>
      <c r="AL115" s="85" t="s">
        <v>662</v>
      </c>
      <c r="AM115" s="116" t="s">
        <v>1287</v>
      </c>
      <c r="AN115" s="84" t="s">
        <v>751</v>
      </c>
      <c r="AO115" s="84" t="s">
        <v>751</v>
      </c>
      <c r="AP115" s="84" t="s">
        <v>751</v>
      </c>
      <c r="AQ115" s="84" t="s">
        <v>751</v>
      </c>
      <c r="AR115" s="84" t="s">
        <v>751</v>
      </c>
      <c r="AS115" s="84" t="s">
        <v>751</v>
      </c>
      <c r="AT115" s="84" t="s">
        <v>751</v>
      </c>
      <c r="AU115" s="84" t="s">
        <v>751</v>
      </c>
      <c r="AV115" s="84" t="s">
        <v>751</v>
      </c>
      <c r="AW115" s="84" t="s">
        <v>751</v>
      </c>
      <c r="AX115" s="84" t="s">
        <v>751</v>
      </c>
      <c r="AY115" s="84" t="s">
        <v>751</v>
      </c>
      <c r="AZ115" s="84" t="s">
        <v>1284</v>
      </c>
      <c r="BA115" s="91" t="s">
        <v>646</v>
      </c>
      <c r="BB115" s="80"/>
    </row>
    <row r="116" spans="1:54" ht="409.5" x14ac:dyDescent="0.25">
      <c r="A116" s="84" t="s">
        <v>49</v>
      </c>
      <c r="B116" s="84" t="s">
        <v>626</v>
      </c>
      <c r="C116" s="816"/>
      <c r="D116" s="816"/>
      <c r="E116" s="816"/>
      <c r="F116" s="84" t="s">
        <v>1277</v>
      </c>
      <c r="G116" s="816"/>
      <c r="H116" s="84" t="s">
        <v>1288</v>
      </c>
      <c r="I116" s="84" t="s">
        <v>1289</v>
      </c>
      <c r="J116" s="105">
        <v>1</v>
      </c>
      <c r="K116" s="84" t="s">
        <v>322</v>
      </c>
      <c r="L116" s="105">
        <v>1</v>
      </c>
      <c r="M116" s="105">
        <v>1</v>
      </c>
      <c r="N116" s="84" t="s">
        <v>1289</v>
      </c>
      <c r="O116" s="105">
        <v>1</v>
      </c>
      <c r="P116" s="85">
        <v>231000</v>
      </c>
      <c r="Q116" s="85"/>
      <c r="R116" s="85">
        <v>231000</v>
      </c>
      <c r="S116" s="85"/>
      <c r="T116" s="85"/>
      <c r="U116" s="85"/>
      <c r="V116" s="85"/>
      <c r="W116" s="85"/>
      <c r="X116" s="85"/>
      <c r="Y116" s="85"/>
      <c r="Z116" s="85"/>
      <c r="AA116" s="85"/>
      <c r="AB116" s="85"/>
      <c r="AC116" s="85"/>
      <c r="AD116" s="85"/>
      <c r="AE116" s="85"/>
      <c r="AF116" s="85"/>
      <c r="AG116" s="85">
        <f t="shared" si="1"/>
        <v>231000</v>
      </c>
      <c r="AH116" s="86" t="s">
        <v>1277</v>
      </c>
      <c r="AI116" s="101" t="s">
        <v>1241</v>
      </c>
      <c r="AJ116" s="116" t="s">
        <v>1281</v>
      </c>
      <c r="AK116" s="116" t="s">
        <v>1282</v>
      </c>
      <c r="AL116" s="85" t="s">
        <v>662</v>
      </c>
      <c r="AM116" s="116" t="s">
        <v>1290</v>
      </c>
      <c r="AN116" s="84" t="s">
        <v>751</v>
      </c>
      <c r="AO116" s="84" t="s">
        <v>751</v>
      </c>
      <c r="AP116" s="84" t="s">
        <v>751</v>
      </c>
      <c r="AQ116" s="84" t="s">
        <v>751</v>
      </c>
      <c r="AR116" s="84" t="s">
        <v>751</v>
      </c>
      <c r="AS116" s="84" t="s">
        <v>751</v>
      </c>
      <c r="AT116" s="84" t="s">
        <v>751</v>
      </c>
      <c r="AU116" s="84" t="s">
        <v>751</v>
      </c>
      <c r="AV116" s="84" t="s">
        <v>751</v>
      </c>
      <c r="AW116" s="84" t="s">
        <v>751</v>
      </c>
      <c r="AX116" s="84" t="s">
        <v>751</v>
      </c>
      <c r="AY116" s="84" t="s">
        <v>751</v>
      </c>
      <c r="AZ116" s="84" t="s">
        <v>1284</v>
      </c>
      <c r="BA116" s="91" t="s">
        <v>646</v>
      </c>
      <c r="BB116" s="80"/>
    </row>
    <row r="117" spans="1:54" ht="225" x14ac:dyDescent="0.25">
      <c r="A117" s="92" t="s">
        <v>49</v>
      </c>
      <c r="B117" s="92" t="s">
        <v>626</v>
      </c>
      <c r="C117" s="816" t="s">
        <v>1291</v>
      </c>
      <c r="D117" s="816" t="s">
        <v>1292</v>
      </c>
      <c r="E117" s="816">
        <v>1</v>
      </c>
      <c r="F117" s="92" t="s">
        <v>1293</v>
      </c>
      <c r="G117" s="816" t="s">
        <v>1294</v>
      </c>
      <c r="H117" s="92" t="s">
        <v>1295</v>
      </c>
      <c r="I117" s="92" t="s">
        <v>1296</v>
      </c>
      <c r="J117" s="92">
        <v>1</v>
      </c>
      <c r="K117" s="92" t="s">
        <v>322</v>
      </c>
      <c r="L117" s="117">
        <v>1</v>
      </c>
      <c r="M117" s="117">
        <v>1</v>
      </c>
      <c r="N117" s="92" t="s">
        <v>1296</v>
      </c>
      <c r="O117" s="118">
        <v>1</v>
      </c>
      <c r="P117" s="93">
        <v>20978855</v>
      </c>
      <c r="Q117" s="93"/>
      <c r="R117" s="93">
        <v>10369874</v>
      </c>
      <c r="S117" s="93"/>
      <c r="T117" s="93"/>
      <c r="U117" s="93">
        <v>10608981</v>
      </c>
      <c r="V117" s="93"/>
      <c r="W117" s="93"/>
      <c r="X117" s="93"/>
      <c r="Y117" s="93"/>
      <c r="Z117" s="93"/>
      <c r="AA117" s="93"/>
      <c r="AB117" s="93"/>
      <c r="AC117" s="93"/>
      <c r="AD117" s="93"/>
      <c r="AE117" s="93"/>
      <c r="AF117" s="93"/>
      <c r="AG117" s="93">
        <f>SUM(Q117:AF117)</f>
        <v>20978855</v>
      </c>
      <c r="AH117" s="96" t="s">
        <v>1293</v>
      </c>
      <c r="AI117" s="113" t="s">
        <v>634</v>
      </c>
      <c r="AJ117" s="92">
        <v>42</v>
      </c>
      <c r="AK117" s="92" t="s">
        <v>1297</v>
      </c>
      <c r="AL117" s="119">
        <v>964244</v>
      </c>
      <c r="AM117" s="120" t="s">
        <v>1298</v>
      </c>
      <c r="AN117" s="92" t="s">
        <v>751</v>
      </c>
      <c r="AO117" s="92" t="s">
        <v>751</v>
      </c>
      <c r="AP117" s="92" t="s">
        <v>751</v>
      </c>
      <c r="AQ117" s="92" t="s">
        <v>751</v>
      </c>
      <c r="AR117" s="92" t="s">
        <v>751</v>
      </c>
      <c r="AS117" s="92" t="s">
        <v>751</v>
      </c>
      <c r="AT117" s="92" t="s">
        <v>751</v>
      </c>
      <c r="AU117" s="92" t="s">
        <v>751</v>
      </c>
      <c r="AV117" s="92" t="s">
        <v>751</v>
      </c>
      <c r="AW117" s="92" t="s">
        <v>751</v>
      </c>
      <c r="AX117" s="92" t="s">
        <v>751</v>
      </c>
      <c r="AY117" s="92" t="s">
        <v>751</v>
      </c>
      <c r="AZ117" s="92" t="s">
        <v>1299</v>
      </c>
      <c r="BA117" s="92" t="s">
        <v>1300</v>
      </c>
      <c r="BB117" s="95"/>
    </row>
    <row r="118" spans="1:54" ht="195" x14ac:dyDescent="0.25">
      <c r="A118" s="92" t="s">
        <v>49</v>
      </c>
      <c r="B118" s="92" t="s">
        <v>626</v>
      </c>
      <c r="C118" s="816"/>
      <c r="D118" s="816"/>
      <c r="E118" s="816"/>
      <c r="F118" s="92" t="s">
        <v>1293</v>
      </c>
      <c r="G118" s="816"/>
      <c r="H118" s="92" t="s">
        <v>1301</v>
      </c>
      <c r="I118" s="92" t="s">
        <v>1302</v>
      </c>
      <c r="J118" s="92">
        <v>1</v>
      </c>
      <c r="K118" s="92" t="s">
        <v>322</v>
      </c>
      <c r="L118" s="117">
        <v>1</v>
      </c>
      <c r="M118" s="117">
        <v>1</v>
      </c>
      <c r="N118" s="92" t="s">
        <v>1302</v>
      </c>
      <c r="O118" s="118">
        <v>1</v>
      </c>
      <c r="P118" s="93">
        <v>9115105</v>
      </c>
      <c r="Q118" s="93"/>
      <c r="R118" s="93">
        <v>0</v>
      </c>
      <c r="S118" s="93"/>
      <c r="T118" s="93"/>
      <c r="U118" s="93">
        <v>9115105</v>
      </c>
      <c r="V118" s="93"/>
      <c r="W118" s="93"/>
      <c r="X118" s="93"/>
      <c r="Y118" s="93"/>
      <c r="Z118" s="93"/>
      <c r="AA118" s="93"/>
      <c r="AB118" s="93"/>
      <c r="AC118" s="93"/>
      <c r="AD118" s="93"/>
      <c r="AE118" s="93"/>
      <c r="AF118" s="93"/>
      <c r="AG118" s="93">
        <f t="shared" si="1"/>
        <v>9115105</v>
      </c>
      <c r="AH118" s="96" t="s">
        <v>1293</v>
      </c>
      <c r="AI118" s="113" t="s">
        <v>634</v>
      </c>
      <c r="AJ118" s="92">
        <v>42</v>
      </c>
      <c r="AK118" s="92" t="s">
        <v>1303</v>
      </c>
      <c r="AL118" s="119">
        <v>17134</v>
      </c>
      <c r="AM118" s="92" t="s">
        <v>1304</v>
      </c>
      <c r="AN118" s="92" t="s">
        <v>751</v>
      </c>
      <c r="AO118" s="92" t="s">
        <v>751</v>
      </c>
      <c r="AP118" s="92" t="s">
        <v>751</v>
      </c>
      <c r="AQ118" s="92" t="s">
        <v>751</v>
      </c>
      <c r="AR118" s="92" t="s">
        <v>751</v>
      </c>
      <c r="AS118" s="92" t="s">
        <v>751</v>
      </c>
      <c r="AT118" s="92" t="s">
        <v>751</v>
      </c>
      <c r="AU118" s="92" t="s">
        <v>751</v>
      </c>
      <c r="AV118" s="92" t="s">
        <v>751</v>
      </c>
      <c r="AW118" s="92" t="s">
        <v>751</v>
      </c>
      <c r="AX118" s="92" t="s">
        <v>751</v>
      </c>
      <c r="AY118" s="92" t="s">
        <v>751</v>
      </c>
      <c r="AZ118" s="92" t="s">
        <v>1299</v>
      </c>
      <c r="BA118" s="92" t="s">
        <v>1305</v>
      </c>
      <c r="BB118" s="95"/>
    </row>
    <row r="119" spans="1:54" ht="315" x14ac:dyDescent="0.25">
      <c r="A119" s="84" t="s">
        <v>49</v>
      </c>
      <c r="B119" s="84" t="s">
        <v>626</v>
      </c>
      <c r="C119" s="816"/>
      <c r="D119" s="816"/>
      <c r="E119" s="816"/>
      <c r="F119" s="84" t="s">
        <v>1293</v>
      </c>
      <c r="G119" s="816"/>
      <c r="H119" s="84" t="s">
        <v>1306</v>
      </c>
      <c r="I119" s="84" t="s">
        <v>1307</v>
      </c>
      <c r="J119" s="84">
        <v>1</v>
      </c>
      <c r="K119" s="84" t="s">
        <v>322</v>
      </c>
      <c r="L119" s="89">
        <v>1</v>
      </c>
      <c r="M119" s="89">
        <v>1</v>
      </c>
      <c r="N119" s="84" t="s">
        <v>1307</v>
      </c>
      <c r="O119" s="90">
        <v>1</v>
      </c>
      <c r="P119" s="85">
        <v>523656</v>
      </c>
      <c r="Q119" s="85"/>
      <c r="R119" s="85">
        <v>523656</v>
      </c>
      <c r="S119" s="85"/>
      <c r="T119" s="85"/>
      <c r="U119" s="85"/>
      <c r="V119" s="85"/>
      <c r="W119" s="85"/>
      <c r="X119" s="85"/>
      <c r="Y119" s="85"/>
      <c r="Z119" s="85"/>
      <c r="AA119" s="85"/>
      <c r="AB119" s="85"/>
      <c r="AC119" s="85"/>
      <c r="AD119" s="85"/>
      <c r="AE119" s="85"/>
      <c r="AF119" s="85"/>
      <c r="AG119" s="85">
        <f t="shared" si="1"/>
        <v>523656</v>
      </c>
      <c r="AH119" s="86" t="s">
        <v>1293</v>
      </c>
      <c r="AI119" s="101" t="s">
        <v>634</v>
      </c>
      <c r="AJ119" s="84">
        <v>42</v>
      </c>
      <c r="AK119" s="84" t="s">
        <v>1303</v>
      </c>
      <c r="AL119" s="108">
        <v>17134</v>
      </c>
      <c r="AM119" s="84" t="s">
        <v>1308</v>
      </c>
      <c r="AN119" s="84" t="s">
        <v>751</v>
      </c>
      <c r="AO119" s="84" t="s">
        <v>751</v>
      </c>
      <c r="AP119" s="84" t="s">
        <v>751</v>
      </c>
      <c r="AQ119" s="84" t="s">
        <v>751</v>
      </c>
      <c r="AR119" s="84" t="s">
        <v>751</v>
      </c>
      <c r="AS119" s="84" t="s">
        <v>751</v>
      </c>
      <c r="AT119" s="84" t="s">
        <v>751</v>
      </c>
      <c r="AU119" s="84" t="s">
        <v>751</v>
      </c>
      <c r="AV119" s="84" t="s">
        <v>751</v>
      </c>
      <c r="AW119" s="84" t="s">
        <v>751</v>
      </c>
      <c r="AX119" s="84" t="s">
        <v>751</v>
      </c>
      <c r="AY119" s="84" t="s">
        <v>751</v>
      </c>
      <c r="AZ119" s="84" t="s">
        <v>1299</v>
      </c>
      <c r="BA119" s="84" t="s">
        <v>1309</v>
      </c>
      <c r="BB119" s="80"/>
    </row>
    <row r="120" spans="1:54" ht="255" x14ac:dyDescent="0.25">
      <c r="A120" s="84" t="s">
        <v>49</v>
      </c>
      <c r="B120" s="84" t="s">
        <v>626</v>
      </c>
      <c r="C120" s="816"/>
      <c r="D120" s="816"/>
      <c r="E120" s="816"/>
      <c r="F120" s="84" t="s">
        <v>1293</v>
      </c>
      <c r="G120" s="816"/>
      <c r="H120" s="84" t="s">
        <v>1310</v>
      </c>
      <c r="I120" s="84" t="s">
        <v>1311</v>
      </c>
      <c r="J120" s="84">
        <v>1</v>
      </c>
      <c r="K120" s="84" t="s">
        <v>322</v>
      </c>
      <c r="L120" s="89">
        <v>1</v>
      </c>
      <c r="M120" s="89">
        <v>1</v>
      </c>
      <c r="N120" s="84" t="s">
        <v>1311</v>
      </c>
      <c r="O120" s="90">
        <v>1</v>
      </c>
      <c r="P120" s="85">
        <v>1316700</v>
      </c>
      <c r="Q120" s="85"/>
      <c r="R120" s="85">
        <v>1316700</v>
      </c>
      <c r="S120" s="85"/>
      <c r="T120" s="85"/>
      <c r="U120" s="85"/>
      <c r="V120" s="85"/>
      <c r="W120" s="85"/>
      <c r="X120" s="85"/>
      <c r="Y120" s="85"/>
      <c r="Z120" s="85"/>
      <c r="AA120" s="85"/>
      <c r="AB120" s="85"/>
      <c r="AC120" s="85"/>
      <c r="AD120" s="85"/>
      <c r="AE120" s="85"/>
      <c r="AF120" s="85"/>
      <c r="AG120" s="85">
        <f t="shared" si="1"/>
        <v>1316700</v>
      </c>
      <c r="AH120" s="86" t="s">
        <v>1293</v>
      </c>
      <c r="AI120" s="101" t="s">
        <v>634</v>
      </c>
      <c r="AJ120" s="84">
        <v>42</v>
      </c>
      <c r="AK120" s="84" t="s">
        <v>1303</v>
      </c>
      <c r="AL120" s="108">
        <v>17134</v>
      </c>
      <c r="AM120" s="84" t="s">
        <v>1312</v>
      </c>
      <c r="AN120" s="84" t="s">
        <v>751</v>
      </c>
      <c r="AO120" s="84" t="s">
        <v>751</v>
      </c>
      <c r="AP120" s="84" t="s">
        <v>751</v>
      </c>
      <c r="AQ120" s="84" t="s">
        <v>751</v>
      </c>
      <c r="AR120" s="84" t="s">
        <v>751</v>
      </c>
      <c r="AS120" s="84" t="s">
        <v>751</v>
      </c>
      <c r="AT120" s="84" t="s">
        <v>751</v>
      </c>
      <c r="AU120" s="84" t="s">
        <v>751</v>
      </c>
      <c r="AV120" s="84" t="s">
        <v>751</v>
      </c>
      <c r="AW120" s="84" t="s">
        <v>751</v>
      </c>
      <c r="AX120" s="84" t="s">
        <v>751</v>
      </c>
      <c r="AY120" s="84" t="s">
        <v>751</v>
      </c>
      <c r="AZ120" s="84" t="s">
        <v>1299</v>
      </c>
      <c r="BA120" s="84" t="s">
        <v>1313</v>
      </c>
      <c r="BB120" s="80"/>
    </row>
    <row r="121" spans="1:54" ht="360" x14ac:dyDescent="0.25">
      <c r="A121" s="84" t="s">
        <v>49</v>
      </c>
      <c r="B121" s="84" t="s">
        <v>626</v>
      </c>
      <c r="C121" s="84" t="s">
        <v>1314</v>
      </c>
      <c r="D121" s="84" t="s">
        <v>1315</v>
      </c>
      <c r="E121" s="84">
        <v>0</v>
      </c>
      <c r="F121" s="84" t="s">
        <v>1316</v>
      </c>
      <c r="G121" s="816" t="s">
        <v>1317</v>
      </c>
      <c r="H121" s="84" t="s">
        <v>1318</v>
      </c>
      <c r="I121" s="84" t="s">
        <v>1319</v>
      </c>
      <c r="J121" s="105">
        <v>0</v>
      </c>
      <c r="K121" s="105" t="s">
        <v>323</v>
      </c>
      <c r="L121" s="106">
        <v>4</v>
      </c>
      <c r="M121" s="107">
        <v>1</v>
      </c>
      <c r="N121" s="84" t="s">
        <v>1319</v>
      </c>
      <c r="O121" s="109">
        <v>0</v>
      </c>
      <c r="P121" s="85">
        <v>500000</v>
      </c>
      <c r="Q121" s="85">
        <v>0</v>
      </c>
      <c r="R121" s="85">
        <v>0</v>
      </c>
      <c r="S121" s="85"/>
      <c r="T121" s="85"/>
      <c r="U121" s="85"/>
      <c r="V121" s="85">
        <v>500000</v>
      </c>
      <c r="W121" s="85"/>
      <c r="X121" s="85"/>
      <c r="Y121" s="85"/>
      <c r="Z121" s="85"/>
      <c r="AA121" s="85"/>
      <c r="AB121" s="85"/>
      <c r="AC121" s="85"/>
      <c r="AD121" s="85"/>
      <c r="AE121" s="85"/>
      <c r="AF121" s="85">
        <v>0</v>
      </c>
      <c r="AG121" s="85">
        <f t="shared" si="1"/>
        <v>500000</v>
      </c>
      <c r="AH121" s="84" t="s">
        <v>1316</v>
      </c>
      <c r="AI121" s="84" t="s">
        <v>1320</v>
      </c>
      <c r="AJ121" s="121" t="s">
        <v>1321</v>
      </c>
      <c r="AK121" s="84" t="s">
        <v>1322</v>
      </c>
      <c r="AL121" s="85">
        <v>190350</v>
      </c>
      <c r="AM121" s="84" t="s">
        <v>1323</v>
      </c>
      <c r="AN121" s="84" t="s">
        <v>395</v>
      </c>
      <c r="AO121" s="84" t="s">
        <v>395</v>
      </c>
      <c r="AP121" s="84" t="s">
        <v>395</v>
      </c>
      <c r="AQ121" s="84" t="s">
        <v>395</v>
      </c>
      <c r="AR121" s="84" t="s">
        <v>395</v>
      </c>
      <c r="AS121" s="84" t="s">
        <v>395</v>
      </c>
      <c r="AT121" s="84" t="s">
        <v>395</v>
      </c>
      <c r="AU121" s="84" t="s">
        <v>395</v>
      </c>
      <c r="AV121" s="84" t="s">
        <v>395</v>
      </c>
      <c r="AW121" s="84" t="s">
        <v>395</v>
      </c>
      <c r="AX121" s="84" t="s">
        <v>395</v>
      </c>
      <c r="AY121" s="84" t="s">
        <v>395</v>
      </c>
      <c r="AZ121" s="84" t="s">
        <v>1324</v>
      </c>
      <c r="BA121" s="84" t="s">
        <v>1325</v>
      </c>
      <c r="BB121" s="80"/>
    </row>
    <row r="122" spans="1:54" ht="315" x14ac:dyDescent="0.25">
      <c r="A122" s="84" t="s">
        <v>49</v>
      </c>
      <c r="B122" s="84" t="s">
        <v>626</v>
      </c>
      <c r="C122" s="84" t="s">
        <v>1326</v>
      </c>
      <c r="D122" s="84" t="s">
        <v>1327</v>
      </c>
      <c r="E122" s="84">
        <v>0.5</v>
      </c>
      <c r="F122" s="84" t="s">
        <v>1316</v>
      </c>
      <c r="G122" s="816"/>
      <c r="H122" s="84" t="s">
        <v>1328</v>
      </c>
      <c r="I122" s="84" t="s">
        <v>1329</v>
      </c>
      <c r="J122" s="105">
        <v>0.5</v>
      </c>
      <c r="K122" s="105" t="s">
        <v>322</v>
      </c>
      <c r="L122" s="105">
        <v>1</v>
      </c>
      <c r="M122" s="105">
        <v>1</v>
      </c>
      <c r="N122" s="84" t="s">
        <v>1329</v>
      </c>
      <c r="O122" s="105">
        <v>0.5</v>
      </c>
      <c r="P122" s="85">
        <v>65100</v>
      </c>
      <c r="Q122" s="85">
        <v>0</v>
      </c>
      <c r="R122" s="85">
        <v>65100</v>
      </c>
      <c r="S122" s="85"/>
      <c r="T122" s="85"/>
      <c r="U122" s="85"/>
      <c r="V122" s="85">
        <v>0</v>
      </c>
      <c r="W122" s="85"/>
      <c r="X122" s="85"/>
      <c r="Y122" s="85"/>
      <c r="Z122" s="85"/>
      <c r="AA122" s="85"/>
      <c r="AB122" s="85"/>
      <c r="AC122" s="85"/>
      <c r="AD122" s="85"/>
      <c r="AE122" s="85"/>
      <c r="AF122" s="85">
        <v>0</v>
      </c>
      <c r="AG122" s="85">
        <f t="shared" si="1"/>
        <v>65100</v>
      </c>
      <c r="AH122" s="84" t="s">
        <v>1316</v>
      </c>
      <c r="AI122" s="101" t="s">
        <v>1241</v>
      </c>
      <c r="AJ122" s="84" t="s">
        <v>1330</v>
      </c>
      <c r="AK122" s="84" t="s">
        <v>1331</v>
      </c>
      <c r="AL122" s="85">
        <v>79360</v>
      </c>
      <c r="AM122" s="84" t="s">
        <v>1332</v>
      </c>
      <c r="AN122" s="84" t="s">
        <v>395</v>
      </c>
      <c r="AO122" s="84" t="s">
        <v>395</v>
      </c>
      <c r="AP122" s="84" t="s">
        <v>395</v>
      </c>
      <c r="AQ122" s="84" t="s">
        <v>395</v>
      </c>
      <c r="AR122" s="84" t="s">
        <v>395</v>
      </c>
      <c r="AS122" s="84" t="s">
        <v>395</v>
      </c>
      <c r="AT122" s="84" t="s">
        <v>395</v>
      </c>
      <c r="AU122" s="84" t="s">
        <v>395</v>
      </c>
      <c r="AV122" s="84" t="s">
        <v>395</v>
      </c>
      <c r="AW122" s="84" t="s">
        <v>395</v>
      </c>
      <c r="AX122" s="84" t="s">
        <v>395</v>
      </c>
      <c r="AY122" s="84" t="s">
        <v>395</v>
      </c>
      <c r="AZ122" s="84" t="s">
        <v>1324</v>
      </c>
      <c r="BA122" s="84" t="s">
        <v>1333</v>
      </c>
      <c r="BB122" s="80"/>
    </row>
    <row r="123" spans="1:54" ht="270" x14ac:dyDescent="0.25">
      <c r="A123" s="84" t="s">
        <v>49</v>
      </c>
      <c r="B123" s="84" t="s">
        <v>626</v>
      </c>
      <c r="C123" s="817" t="s">
        <v>1334</v>
      </c>
      <c r="D123" s="817" t="s">
        <v>1335</v>
      </c>
      <c r="E123" s="817">
        <v>0.25</v>
      </c>
      <c r="F123" s="84" t="s">
        <v>1316</v>
      </c>
      <c r="G123" s="816"/>
      <c r="H123" s="84" t="s">
        <v>1336</v>
      </c>
      <c r="I123" s="84" t="s">
        <v>1337</v>
      </c>
      <c r="J123" s="105">
        <v>0.3</v>
      </c>
      <c r="K123" s="105" t="s">
        <v>322</v>
      </c>
      <c r="L123" s="105">
        <v>1</v>
      </c>
      <c r="M123" s="105">
        <v>1</v>
      </c>
      <c r="N123" s="84" t="s">
        <v>1337</v>
      </c>
      <c r="O123" s="105">
        <v>0.3</v>
      </c>
      <c r="P123" s="85">
        <v>65100</v>
      </c>
      <c r="Q123" s="85">
        <v>0</v>
      </c>
      <c r="R123" s="85">
        <v>65100</v>
      </c>
      <c r="S123" s="85"/>
      <c r="T123" s="85"/>
      <c r="U123" s="85"/>
      <c r="V123" s="85">
        <v>0</v>
      </c>
      <c r="W123" s="85"/>
      <c r="X123" s="85"/>
      <c r="Y123" s="85"/>
      <c r="Z123" s="85"/>
      <c r="AA123" s="85"/>
      <c r="AB123" s="85"/>
      <c r="AC123" s="85"/>
      <c r="AD123" s="85"/>
      <c r="AE123" s="85"/>
      <c r="AF123" s="85">
        <v>0</v>
      </c>
      <c r="AG123" s="85">
        <f t="shared" si="1"/>
        <v>65100</v>
      </c>
      <c r="AH123" s="84" t="s">
        <v>1316</v>
      </c>
      <c r="AI123" s="101" t="s">
        <v>1241</v>
      </c>
      <c r="AJ123" s="84">
        <v>42</v>
      </c>
      <c r="AK123" s="84" t="s">
        <v>644</v>
      </c>
      <c r="AL123" s="101" t="s">
        <v>662</v>
      </c>
      <c r="AM123" s="84" t="s">
        <v>1338</v>
      </c>
      <c r="AN123" s="84"/>
      <c r="AO123" s="84"/>
      <c r="AP123" s="84" t="s">
        <v>395</v>
      </c>
      <c r="AQ123" s="84" t="s">
        <v>395</v>
      </c>
      <c r="AR123" s="84" t="s">
        <v>395</v>
      </c>
      <c r="AS123" s="84" t="s">
        <v>395</v>
      </c>
      <c r="AT123" s="84" t="s">
        <v>395</v>
      </c>
      <c r="AU123" s="84" t="s">
        <v>395</v>
      </c>
      <c r="AV123" s="84" t="s">
        <v>395</v>
      </c>
      <c r="AW123" s="84" t="s">
        <v>395</v>
      </c>
      <c r="AX123" s="84" t="s">
        <v>395</v>
      </c>
      <c r="AY123" s="84" t="s">
        <v>395</v>
      </c>
      <c r="AZ123" s="84" t="s">
        <v>1339</v>
      </c>
      <c r="BA123" s="91" t="s">
        <v>646</v>
      </c>
      <c r="BB123" s="80"/>
    </row>
    <row r="124" spans="1:54" ht="270" x14ac:dyDescent="0.25">
      <c r="A124" s="84" t="s">
        <v>49</v>
      </c>
      <c r="B124" s="84" t="s">
        <v>626</v>
      </c>
      <c r="C124" s="818"/>
      <c r="D124" s="818"/>
      <c r="E124" s="818"/>
      <c r="F124" s="84" t="s">
        <v>1316</v>
      </c>
      <c r="G124" s="816"/>
      <c r="H124" s="84" t="s">
        <v>1340</v>
      </c>
      <c r="I124" s="84" t="s">
        <v>1341</v>
      </c>
      <c r="J124" s="105">
        <v>0.85</v>
      </c>
      <c r="K124" s="105" t="s">
        <v>322</v>
      </c>
      <c r="L124" s="105">
        <v>1</v>
      </c>
      <c r="M124" s="105">
        <v>1</v>
      </c>
      <c r="N124" s="84" t="s">
        <v>1341</v>
      </c>
      <c r="O124" s="105">
        <v>0.85</v>
      </c>
      <c r="P124" s="85">
        <v>65100</v>
      </c>
      <c r="Q124" s="85">
        <v>0</v>
      </c>
      <c r="R124" s="85">
        <v>65100</v>
      </c>
      <c r="S124" s="85"/>
      <c r="T124" s="85"/>
      <c r="U124" s="85"/>
      <c r="V124" s="85">
        <v>0</v>
      </c>
      <c r="W124" s="85"/>
      <c r="X124" s="85"/>
      <c r="Y124" s="85"/>
      <c r="Z124" s="85"/>
      <c r="AA124" s="85"/>
      <c r="AB124" s="85"/>
      <c r="AC124" s="85"/>
      <c r="AD124" s="85"/>
      <c r="AE124" s="85"/>
      <c r="AF124" s="85">
        <v>0</v>
      </c>
      <c r="AG124" s="85">
        <f t="shared" si="1"/>
        <v>65100</v>
      </c>
      <c r="AH124" s="84" t="s">
        <v>1316</v>
      </c>
      <c r="AI124" s="101" t="s">
        <v>1241</v>
      </c>
      <c r="AJ124" s="84">
        <v>42</v>
      </c>
      <c r="AK124" s="84" t="s">
        <v>644</v>
      </c>
      <c r="AL124" s="101" t="s">
        <v>662</v>
      </c>
      <c r="AM124" s="84" t="s">
        <v>1342</v>
      </c>
      <c r="AN124" s="84"/>
      <c r="AO124" s="84"/>
      <c r="AP124" s="84" t="s">
        <v>395</v>
      </c>
      <c r="AQ124" s="84" t="s">
        <v>395</v>
      </c>
      <c r="AR124" s="84" t="s">
        <v>395</v>
      </c>
      <c r="AS124" s="84" t="s">
        <v>395</v>
      </c>
      <c r="AT124" s="84" t="s">
        <v>395</v>
      </c>
      <c r="AU124" s="84" t="s">
        <v>395</v>
      </c>
      <c r="AV124" s="84" t="s">
        <v>395</v>
      </c>
      <c r="AW124" s="84" t="s">
        <v>395</v>
      </c>
      <c r="AX124" s="84" t="s">
        <v>395</v>
      </c>
      <c r="AY124" s="84" t="s">
        <v>395</v>
      </c>
      <c r="AZ124" s="84" t="s">
        <v>1339</v>
      </c>
      <c r="BA124" s="91" t="s">
        <v>646</v>
      </c>
      <c r="BB124" s="80"/>
    </row>
    <row r="125" spans="1:54" ht="300" x14ac:dyDescent="0.25">
      <c r="A125" s="84" t="s">
        <v>49</v>
      </c>
      <c r="B125" s="84" t="s">
        <v>626</v>
      </c>
      <c r="C125" s="818"/>
      <c r="D125" s="818"/>
      <c r="E125" s="818"/>
      <c r="F125" s="84" t="s">
        <v>1316</v>
      </c>
      <c r="G125" s="816"/>
      <c r="H125" s="84" t="s">
        <v>1343</v>
      </c>
      <c r="I125" s="84" t="s">
        <v>1344</v>
      </c>
      <c r="J125" s="105">
        <v>0.9</v>
      </c>
      <c r="K125" s="105" t="s">
        <v>323</v>
      </c>
      <c r="L125" s="105">
        <v>1</v>
      </c>
      <c r="M125" s="105">
        <v>0.25</v>
      </c>
      <c r="N125" s="84" t="s">
        <v>1344</v>
      </c>
      <c r="O125" s="105">
        <v>0.9</v>
      </c>
      <c r="P125" s="85">
        <v>31338</v>
      </c>
      <c r="Q125" s="85">
        <v>0</v>
      </c>
      <c r="R125" s="85">
        <v>0</v>
      </c>
      <c r="S125" s="85"/>
      <c r="T125" s="85"/>
      <c r="U125" s="85"/>
      <c r="V125" s="85">
        <v>0</v>
      </c>
      <c r="W125" s="85"/>
      <c r="X125" s="85"/>
      <c r="Y125" s="85"/>
      <c r="Z125" s="85"/>
      <c r="AA125" s="85">
        <v>31338</v>
      </c>
      <c r="AB125" s="85"/>
      <c r="AC125" s="85"/>
      <c r="AD125" s="85"/>
      <c r="AE125" s="85"/>
      <c r="AF125" s="85">
        <v>0</v>
      </c>
      <c r="AG125" s="85">
        <v>31338</v>
      </c>
      <c r="AH125" s="84" t="s">
        <v>1316</v>
      </c>
      <c r="AI125" s="101" t="s">
        <v>1241</v>
      </c>
      <c r="AJ125" s="84">
        <v>42</v>
      </c>
      <c r="AK125" s="84" t="s">
        <v>644</v>
      </c>
      <c r="AL125" s="101" t="s">
        <v>662</v>
      </c>
      <c r="AM125" s="84" t="s">
        <v>1345</v>
      </c>
      <c r="AN125" s="84"/>
      <c r="AO125" s="84"/>
      <c r="AP125" s="84" t="s">
        <v>395</v>
      </c>
      <c r="AQ125" s="84" t="s">
        <v>395</v>
      </c>
      <c r="AR125" s="84" t="s">
        <v>395</v>
      </c>
      <c r="AS125" s="84" t="s">
        <v>395</v>
      </c>
      <c r="AT125" s="84" t="s">
        <v>395</v>
      </c>
      <c r="AU125" s="84" t="s">
        <v>395</v>
      </c>
      <c r="AV125" s="84" t="s">
        <v>395</v>
      </c>
      <c r="AW125" s="84" t="s">
        <v>395</v>
      </c>
      <c r="AX125" s="84" t="s">
        <v>395</v>
      </c>
      <c r="AY125" s="84" t="s">
        <v>395</v>
      </c>
      <c r="AZ125" s="84" t="s">
        <v>1339</v>
      </c>
      <c r="BA125" s="91" t="s">
        <v>646</v>
      </c>
      <c r="BB125" s="80"/>
    </row>
    <row r="126" spans="1:54" ht="270" x14ac:dyDescent="0.25">
      <c r="A126" s="92" t="s">
        <v>49</v>
      </c>
      <c r="B126" s="92" t="s">
        <v>626</v>
      </c>
      <c r="C126" s="819"/>
      <c r="D126" s="819"/>
      <c r="E126" s="818"/>
      <c r="F126" s="92" t="s">
        <v>1316</v>
      </c>
      <c r="G126" s="816"/>
      <c r="H126" s="92" t="s">
        <v>1346</v>
      </c>
      <c r="I126" s="92" t="s">
        <v>1347</v>
      </c>
      <c r="J126" s="112">
        <v>0.2</v>
      </c>
      <c r="K126" s="112" t="s">
        <v>323</v>
      </c>
      <c r="L126" s="112">
        <v>0.1</v>
      </c>
      <c r="M126" s="112">
        <v>0.03</v>
      </c>
      <c r="N126" s="92" t="s">
        <v>1347</v>
      </c>
      <c r="O126" s="112">
        <v>0.2</v>
      </c>
      <c r="P126" s="93">
        <v>13381230</v>
      </c>
      <c r="Q126" s="93">
        <v>1500000</v>
      </c>
      <c r="R126" s="93"/>
      <c r="S126" s="93"/>
      <c r="T126" s="93"/>
      <c r="U126" s="93"/>
      <c r="V126" s="93">
        <v>2758390</v>
      </c>
      <c r="W126" s="93"/>
      <c r="X126" s="93"/>
      <c r="Y126" s="93"/>
      <c r="Z126" s="93"/>
      <c r="AA126" s="93"/>
      <c r="AB126" s="93"/>
      <c r="AC126" s="93"/>
      <c r="AD126" s="93">
        <v>414340</v>
      </c>
      <c r="AE126" s="93"/>
      <c r="AF126" s="93">
        <v>8708500</v>
      </c>
      <c r="AG126" s="93">
        <v>13381230</v>
      </c>
      <c r="AH126" s="92" t="s">
        <v>1316</v>
      </c>
      <c r="AI126" s="113" t="s">
        <v>1348</v>
      </c>
      <c r="AJ126" s="92">
        <v>42</v>
      </c>
      <c r="AK126" s="92" t="s">
        <v>644</v>
      </c>
      <c r="AL126" s="113" t="s">
        <v>662</v>
      </c>
      <c r="AM126" s="92" t="s">
        <v>1349</v>
      </c>
      <c r="AN126" s="92"/>
      <c r="AO126" s="92"/>
      <c r="AP126" s="92"/>
      <c r="AQ126" s="92" t="s">
        <v>395</v>
      </c>
      <c r="AR126" s="92" t="s">
        <v>395</v>
      </c>
      <c r="AS126" s="92" t="s">
        <v>395</v>
      </c>
      <c r="AT126" s="92" t="s">
        <v>395</v>
      </c>
      <c r="AU126" s="92" t="s">
        <v>395</v>
      </c>
      <c r="AV126" s="92" t="s">
        <v>395</v>
      </c>
      <c r="AW126" s="92" t="s">
        <v>395</v>
      </c>
      <c r="AX126" s="92" t="s">
        <v>395</v>
      </c>
      <c r="AY126" s="92" t="s">
        <v>395</v>
      </c>
      <c r="AZ126" s="92" t="s">
        <v>1339</v>
      </c>
      <c r="BA126" s="115" t="s">
        <v>646</v>
      </c>
      <c r="BB126" s="95"/>
    </row>
    <row r="127" spans="1:54" ht="270" x14ac:dyDescent="0.25">
      <c r="A127" s="84" t="s">
        <v>49</v>
      </c>
      <c r="B127" s="84" t="s">
        <v>626</v>
      </c>
      <c r="C127" s="816" t="s">
        <v>1350</v>
      </c>
      <c r="D127" s="816" t="s">
        <v>1351</v>
      </c>
      <c r="E127" s="818"/>
      <c r="F127" s="84" t="s">
        <v>1316</v>
      </c>
      <c r="G127" s="816"/>
      <c r="H127" s="84" t="s">
        <v>1352</v>
      </c>
      <c r="I127" s="84" t="s">
        <v>1353</v>
      </c>
      <c r="J127" s="105">
        <v>0.75</v>
      </c>
      <c r="K127" s="105" t="s">
        <v>322</v>
      </c>
      <c r="L127" s="105">
        <v>1</v>
      </c>
      <c r="M127" s="105">
        <v>1</v>
      </c>
      <c r="N127" s="84" t="s">
        <v>1353</v>
      </c>
      <c r="O127" s="105">
        <v>0.75</v>
      </c>
      <c r="P127" s="85">
        <v>65100</v>
      </c>
      <c r="Q127" s="85">
        <v>0</v>
      </c>
      <c r="R127" s="85">
        <v>65100</v>
      </c>
      <c r="S127" s="85"/>
      <c r="T127" s="85"/>
      <c r="U127" s="85"/>
      <c r="V127" s="85">
        <v>0</v>
      </c>
      <c r="W127" s="85"/>
      <c r="X127" s="85"/>
      <c r="Y127" s="85"/>
      <c r="Z127" s="85"/>
      <c r="AA127" s="85"/>
      <c r="AB127" s="85"/>
      <c r="AC127" s="85"/>
      <c r="AD127" s="85"/>
      <c r="AE127" s="85"/>
      <c r="AF127" s="85">
        <v>0</v>
      </c>
      <c r="AG127" s="85">
        <f t="shared" si="1"/>
        <v>65100</v>
      </c>
      <c r="AH127" s="84" t="s">
        <v>1316</v>
      </c>
      <c r="AI127" s="101" t="s">
        <v>1241</v>
      </c>
      <c r="AJ127" s="84">
        <v>42</v>
      </c>
      <c r="AK127" s="84" t="s">
        <v>644</v>
      </c>
      <c r="AL127" s="101" t="s">
        <v>662</v>
      </c>
      <c r="AM127" s="84" t="s">
        <v>1354</v>
      </c>
      <c r="AN127" s="84" t="s">
        <v>395</v>
      </c>
      <c r="AO127" s="84" t="s">
        <v>395</v>
      </c>
      <c r="AP127" s="84" t="s">
        <v>395</v>
      </c>
      <c r="AQ127" s="84" t="s">
        <v>395</v>
      </c>
      <c r="AR127" s="84" t="s">
        <v>395</v>
      </c>
      <c r="AS127" s="84" t="s">
        <v>395</v>
      </c>
      <c r="AT127" s="84" t="s">
        <v>395</v>
      </c>
      <c r="AU127" s="84" t="s">
        <v>395</v>
      </c>
      <c r="AV127" s="84" t="s">
        <v>395</v>
      </c>
      <c r="AW127" s="84" t="s">
        <v>395</v>
      </c>
      <c r="AX127" s="84" t="s">
        <v>395</v>
      </c>
      <c r="AY127" s="84" t="s">
        <v>395</v>
      </c>
      <c r="AZ127" s="84" t="s">
        <v>1355</v>
      </c>
      <c r="BA127" s="91" t="s">
        <v>646</v>
      </c>
      <c r="BB127" s="80"/>
    </row>
    <row r="128" spans="1:54" ht="270" x14ac:dyDescent="0.25">
      <c r="A128" s="84" t="s">
        <v>49</v>
      </c>
      <c r="B128" s="84" t="s">
        <v>626</v>
      </c>
      <c r="C128" s="816"/>
      <c r="D128" s="816"/>
      <c r="E128" s="819"/>
      <c r="F128" s="84" t="s">
        <v>1316</v>
      </c>
      <c r="G128" s="816"/>
      <c r="H128" s="84" t="s">
        <v>1356</v>
      </c>
      <c r="I128" s="84" t="s">
        <v>1357</v>
      </c>
      <c r="J128" s="105">
        <v>0.15</v>
      </c>
      <c r="K128" s="105" t="s">
        <v>323</v>
      </c>
      <c r="L128" s="105">
        <v>0.25</v>
      </c>
      <c r="M128" s="105">
        <v>0.06</v>
      </c>
      <c r="N128" s="84" t="s">
        <v>1357</v>
      </c>
      <c r="O128" s="105">
        <v>0.15</v>
      </c>
      <c r="P128" s="85">
        <v>65100</v>
      </c>
      <c r="Q128" s="85">
        <v>0</v>
      </c>
      <c r="R128" s="85">
        <v>65100</v>
      </c>
      <c r="S128" s="85"/>
      <c r="T128" s="85"/>
      <c r="U128" s="85"/>
      <c r="V128" s="85">
        <v>0</v>
      </c>
      <c r="W128" s="85"/>
      <c r="X128" s="85"/>
      <c r="Y128" s="85"/>
      <c r="Z128" s="85"/>
      <c r="AA128" s="85"/>
      <c r="AB128" s="85"/>
      <c r="AC128" s="85"/>
      <c r="AD128" s="85"/>
      <c r="AE128" s="85"/>
      <c r="AF128" s="85">
        <v>0</v>
      </c>
      <c r="AG128" s="85">
        <f t="shared" si="1"/>
        <v>65100</v>
      </c>
      <c r="AH128" s="84" t="s">
        <v>1316</v>
      </c>
      <c r="AI128" s="101" t="s">
        <v>1241</v>
      </c>
      <c r="AJ128" s="84">
        <v>42</v>
      </c>
      <c r="AK128" s="84" t="s">
        <v>644</v>
      </c>
      <c r="AL128" s="101" t="s">
        <v>662</v>
      </c>
      <c r="AM128" s="84" t="s">
        <v>1358</v>
      </c>
      <c r="AN128" s="84" t="s">
        <v>395</v>
      </c>
      <c r="AO128" s="84" t="s">
        <v>395</v>
      </c>
      <c r="AP128" s="84" t="s">
        <v>395</v>
      </c>
      <c r="AQ128" s="84" t="s">
        <v>395</v>
      </c>
      <c r="AR128" s="84" t="s">
        <v>395</v>
      </c>
      <c r="AS128" s="84" t="s">
        <v>395</v>
      </c>
      <c r="AT128" s="84" t="s">
        <v>395</v>
      </c>
      <c r="AU128" s="84" t="s">
        <v>395</v>
      </c>
      <c r="AV128" s="84" t="s">
        <v>395</v>
      </c>
      <c r="AW128" s="84" t="s">
        <v>395</v>
      </c>
      <c r="AX128" s="84" t="s">
        <v>395</v>
      </c>
      <c r="AY128" s="84" t="s">
        <v>395</v>
      </c>
      <c r="AZ128" s="84" t="s">
        <v>1355</v>
      </c>
      <c r="BA128" s="91" t="s">
        <v>646</v>
      </c>
      <c r="BB128" s="80"/>
    </row>
    <row r="129" spans="1:54" ht="315" x14ac:dyDescent="0.25">
      <c r="A129" s="84" t="s">
        <v>49</v>
      </c>
      <c r="B129" s="84" t="s">
        <v>626</v>
      </c>
      <c r="C129" s="816" t="s">
        <v>1359</v>
      </c>
      <c r="D129" s="816" t="s">
        <v>1360</v>
      </c>
      <c r="E129" s="816">
        <v>0.4</v>
      </c>
      <c r="F129" s="84" t="s">
        <v>1316</v>
      </c>
      <c r="G129" s="816"/>
      <c r="H129" s="84" t="s">
        <v>1361</v>
      </c>
      <c r="I129" s="84" t="s">
        <v>1362</v>
      </c>
      <c r="J129" s="105">
        <v>1</v>
      </c>
      <c r="K129" s="105" t="s">
        <v>322</v>
      </c>
      <c r="L129" s="105">
        <v>1</v>
      </c>
      <c r="M129" s="105">
        <v>1</v>
      </c>
      <c r="N129" s="84" t="s">
        <v>1362</v>
      </c>
      <c r="O129" s="105">
        <v>1</v>
      </c>
      <c r="P129" s="85">
        <v>130200</v>
      </c>
      <c r="Q129" s="85">
        <v>0</v>
      </c>
      <c r="R129" s="85">
        <v>130200</v>
      </c>
      <c r="S129" s="85"/>
      <c r="T129" s="85"/>
      <c r="U129" s="85"/>
      <c r="V129" s="85">
        <v>0</v>
      </c>
      <c r="W129" s="85"/>
      <c r="X129" s="85"/>
      <c r="Y129" s="85"/>
      <c r="Z129" s="85"/>
      <c r="AA129" s="85"/>
      <c r="AB129" s="85"/>
      <c r="AC129" s="85"/>
      <c r="AD129" s="85"/>
      <c r="AE129" s="85"/>
      <c r="AF129" s="85">
        <v>0</v>
      </c>
      <c r="AG129" s="85">
        <f t="shared" si="1"/>
        <v>130200</v>
      </c>
      <c r="AH129" s="84" t="s">
        <v>1316</v>
      </c>
      <c r="AI129" s="101" t="s">
        <v>1241</v>
      </c>
      <c r="AJ129" s="84">
        <v>42</v>
      </c>
      <c r="AK129" s="84" t="s">
        <v>644</v>
      </c>
      <c r="AL129" s="101" t="s">
        <v>662</v>
      </c>
      <c r="AM129" s="84" t="s">
        <v>1363</v>
      </c>
      <c r="AN129" s="84"/>
      <c r="AO129" s="84" t="s">
        <v>395</v>
      </c>
      <c r="AP129" s="84"/>
      <c r="AQ129" s="84" t="s">
        <v>395</v>
      </c>
      <c r="AR129" s="84"/>
      <c r="AS129" s="84"/>
      <c r="AT129" s="84" t="s">
        <v>395</v>
      </c>
      <c r="AU129" s="84"/>
      <c r="AV129" s="84"/>
      <c r="AW129" s="84" t="s">
        <v>395</v>
      </c>
      <c r="AX129" s="84"/>
      <c r="AY129" s="84"/>
      <c r="AZ129" s="84" t="s">
        <v>1364</v>
      </c>
      <c r="BA129" s="91" t="s">
        <v>646</v>
      </c>
      <c r="BB129" s="80"/>
    </row>
    <row r="130" spans="1:54" ht="390" x14ac:dyDescent="0.25">
      <c r="A130" s="84" t="s">
        <v>49</v>
      </c>
      <c r="B130" s="84" t="s">
        <v>626</v>
      </c>
      <c r="C130" s="816"/>
      <c r="D130" s="816"/>
      <c r="E130" s="816"/>
      <c r="F130" s="84" t="s">
        <v>1316</v>
      </c>
      <c r="G130" s="816"/>
      <c r="H130" s="84" t="s">
        <v>1365</v>
      </c>
      <c r="I130" s="84" t="s">
        <v>1366</v>
      </c>
      <c r="J130" s="105">
        <v>1</v>
      </c>
      <c r="K130" s="105" t="s">
        <v>322</v>
      </c>
      <c r="L130" s="105">
        <v>1</v>
      </c>
      <c r="M130" s="105">
        <v>1</v>
      </c>
      <c r="N130" s="84" t="s">
        <v>1366</v>
      </c>
      <c r="O130" s="105">
        <v>1</v>
      </c>
      <c r="P130" s="85">
        <v>65100</v>
      </c>
      <c r="Q130" s="85">
        <v>0</v>
      </c>
      <c r="R130" s="85">
        <v>65100</v>
      </c>
      <c r="S130" s="85"/>
      <c r="T130" s="85"/>
      <c r="U130" s="85"/>
      <c r="V130" s="85">
        <v>0</v>
      </c>
      <c r="W130" s="85"/>
      <c r="X130" s="85"/>
      <c r="Y130" s="85"/>
      <c r="Z130" s="85"/>
      <c r="AA130" s="85"/>
      <c r="AB130" s="85"/>
      <c r="AC130" s="85"/>
      <c r="AD130" s="85"/>
      <c r="AE130" s="85"/>
      <c r="AF130" s="85">
        <v>0</v>
      </c>
      <c r="AG130" s="85">
        <f t="shared" si="1"/>
        <v>65100</v>
      </c>
      <c r="AH130" s="84" t="s">
        <v>1316</v>
      </c>
      <c r="AI130" s="101" t="s">
        <v>1241</v>
      </c>
      <c r="AJ130" s="84">
        <v>42</v>
      </c>
      <c r="AK130" s="84" t="s">
        <v>644</v>
      </c>
      <c r="AL130" s="101" t="s">
        <v>662</v>
      </c>
      <c r="AM130" s="84" t="s">
        <v>1367</v>
      </c>
      <c r="AN130" s="84"/>
      <c r="AO130" s="84"/>
      <c r="AP130" s="84"/>
      <c r="AQ130" s="84" t="s">
        <v>395</v>
      </c>
      <c r="AR130" s="84" t="s">
        <v>395</v>
      </c>
      <c r="AS130" s="84" t="s">
        <v>395</v>
      </c>
      <c r="AT130" s="84"/>
      <c r="AU130" s="84"/>
      <c r="AV130" s="84" t="s">
        <v>395</v>
      </c>
      <c r="AW130" s="84" t="s">
        <v>395</v>
      </c>
      <c r="AX130" s="84"/>
      <c r="AY130" s="84"/>
      <c r="AZ130" s="84" t="s">
        <v>1364</v>
      </c>
      <c r="BA130" s="91" t="s">
        <v>646</v>
      </c>
      <c r="BB130" s="80"/>
    </row>
    <row r="131" spans="1:54" ht="270" x14ac:dyDescent="0.25">
      <c r="A131" s="84" t="s">
        <v>49</v>
      </c>
      <c r="B131" s="84" t="s">
        <v>626</v>
      </c>
      <c r="C131" s="816"/>
      <c r="D131" s="816"/>
      <c r="E131" s="816"/>
      <c r="F131" s="84" t="s">
        <v>1316</v>
      </c>
      <c r="G131" s="816"/>
      <c r="H131" s="84" t="s">
        <v>1368</v>
      </c>
      <c r="I131" s="84" t="s">
        <v>1369</v>
      </c>
      <c r="J131" s="105">
        <v>1</v>
      </c>
      <c r="K131" s="105" t="s">
        <v>322</v>
      </c>
      <c r="L131" s="105">
        <v>1</v>
      </c>
      <c r="M131" s="105">
        <v>1</v>
      </c>
      <c r="N131" s="84" t="s">
        <v>1369</v>
      </c>
      <c r="O131" s="105">
        <v>1</v>
      </c>
      <c r="P131" s="85">
        <v>65100</v>
      </c>
      <c r="Q131" s="85">
        <v>0</v>
      </c>
      <c r="R131" s="85">
        <v>65100</v>
      </c>
      <c r="S131" s="85"/>
      <c r="T131" s="85"/>
      <c r="U131" s="85"/>
      <c r="V131" s="85">
        <v>0</v>
      </c>
      <c r="W131" s="85"/>
      <c r="X131" s="85"/>
      <c r="Y131" s="85"/>
      <c r="Z131" s="85"/>
      <c r="AA131" s="85"/>
      <c r="AB131" s="85"/>
      <c r="AC131" s="85"/>
      <c r="AD131" s="85"/>
      <c r="AE131" s="85"/>
      <c r="AF131" s="85">
        <v>0</v>
      </c>
      <c r="AG131" s="85">
        <f t="shared" si="1"/>
        <v>65100</v>
      </c>
      <c r="AH131" s="84" t="s">
        <v>1316</v>
      </c>
      <c r="AI131" s="101" t="s">
        <v>1241</v>
      </c>
      <c r="AJ131" s="84">
        <v>42</v>
      </c>
      <c r="AK131" s="84" t="s">
        <v>644</v>
      </c>
      <c r="AL131" s="101" t="s">
        <v>662</v>
      </c>
      <c r="AM131" s="84" t="s">
        <v>1370</v>
      </c>
      <c r="AN131" s="84" t="s">
        <v>395</v>
      </c>
      <c r="AO131" s="84" t="s">
        <v>395</v>
      </c>
      <c r="AP131" s="84"/>
      <c r="AQ131" s="84"/>
      <c r="AR131" s="84"/>
      <c r="AS131" s="84"/>
      <c r="AT131" s="84"/>
      <c r="AU131" s="84"/>
      <c r="AV131" s="84"/>
      <c r="AW131" s="84" t="s">
        <v>395</v>
      </c>
      <c r="AX131" s="84" t="s">
        <v>395</v>
      </c>
      <c r="AY131" s="84" t="s">
        <v>395</v>
      </c>
      <c r="AZ131" s="84" t="s">
        <v>1364</v>
      </c>
      <c r="BA131" s="91" t="s">
        <v>646</v>
      </c>
      <c r="BB131" s="80"/>
    </row>
    <row r="132" spans="1:54" ht="300" x14ac:dyDescent="0.25">
      <c r="A132" s="84" t="s">
        <v>49</v>
      </c>
      <c r="B132" s="84" t="s">
        <v>626</v>
      </c>
      <c r="C132" s="816"/>
      <c r="D132" s="816"/>
      <c r="E132" s="816"/>
      <c r="F132" s="84" t="s">
        <v>1316</v>
      </c>
      <c r="G132" s="816"/>
      <c r="H132" s="84" t="s">
        <v>1371</v>
      </c>
      <c r="I132" s="84" t="s">
        <v>1372</v>
      </c>
      <c r="J132" s="105">
        <v>1</v>
      </c>
      <c r="K132" s="105" t="s">
        <v>322</v>
      </c>
      <c r="L132" s="105">
        <v>1</v>
      </c>
      <c r="M132" s="105">
        <v>1</v>
      </c>
      <c r="N132" s="84" t="s">
        <v>1372</v>
      </c>
      <c r="O132" s="105">
        <v>1</v>
      </c>
      <c r="P132" s="85">
        <v>65100</v>
      </c>
      <c r="Q132" s="85">
        <v>0</v>
      </c>
      <c r="R132" s="85">
        <v>65100</v>
      </c>
      <c r="S132" s="85"/>
      <c r="T132" s="85"/>
      <c r="U132" s="85"/>
      <c r="V132" s="85">
        <v>0</v>
      </c>
      <c r="W132" s="85"/>
      <c r="X132" s="85"/>
      <c r="Y132" s="85"/>
      <c r="Z132" s="85"/>
      <c r="AA132" s="85"/>
      <c r="AB132" s="85"/>
      <c r="AC132" s="85"/>
      <c r="AD132" s="85"/>
      <c r="AE132" s="85"/>
      <c r="AF132" s="85">
        <v>0</v>
      </c>
      <c r="AG132" s="85">
        <f t="shared" si="1"/>
        <v>65100</v>
      </c>
      <c r="AH132" s="84" t="s">
        <v>1316</v>
      </c>
      <c r="AI132" s="101" t="s">
        <v>1241</v>
      </c>
      <c r="AJ132" s="84">
        <v>42</v>
      </c>
      <c r="AK132" s="84" t="s">
        <v>644</v>
      </c>
      <c r="AL132" s="101" t="s">
        <v>662</v>
      </c>
      <c r="AM132" s="84" t="s">
        <v>1373</v>
      </c>
      <c r="AN132" s="84"/>
      <c r="AO132" s="84" t="s">
        <v>395</v>
      </c>
      <c r="AP132" s="84" t="s">
        <v>395</v>
      </c>
      <c r="AQ132" s="84" t="s">
        <v>395</v>
      </c>
      <c r="AR132" s="84"/>
      <c r="AS132" s="84"/>
      <c r="AT132" s="84"/>
      <c r="AU132" s="84"/>
      <c r="AV132" s="84"/>
      <c r="AW132" s="84"/>
      <c r="AX132" s="84"/>
      <c r="AY132" s="84"/>
      <c r="AZ132" s="84" t="s">
        <v>1364</v>
      </c>
      <c r="BA132" s="91" t="s">
        <v>646</v>
      </c>
      <c r="BB132" s="80"/>
    </row>
    <row r="133" spans="1:54" ht="409.5" x14ac:dyDescent="0.25">
      <c r="A133" s="84" t="s">
        <v>49</v>
      </c>
      <c r="B133" s="84" t="s">
        <v>626</v>
      </c>
      <c r="C133" s="84" t="s">
        <v>1374</v>
      </c>
      <c r="D133" s="84" t="s">
        <v>1375</v>
      </c>
      <c r="E133" s="84">
        <v>0.9</v>
      </c>
      <c r="F133" s="84" t="s">
        <v>1376</v>
      </c>
      <c r="G133" s="84" t="s">
        <v>1377</v>
      </c>
      <c r="H133" s="84" t="s">
        <v>1378</v>
      </c>
      <c r="I133" s="84" t="s">
        <v>1379</v>
      </c>
      <c r="J133" s="84">
        <v>1</v>
      </c>
      <c r="K133" s="105" t="s">
        <v>322</v>
      </c>
      <c r="L133" s="89">
        <v>1</v>
      </c>
      <c r="M133" s="89">
        <v>1</v>
      </c>
      <c r="N133" s="84" t="s">
        <v>1379</v>
      </c>
      <c r="O133" s="90">
        <v>1</v>
      </c>
      <c r="P133" s="85">
        <v>106925</v>
      </c>
      <c r="Q133" s="85"/>
      <c r="R133" s="85">
        <v>106925</v>
      </c>
      <c r="S133" s="85"/>
      <c r="T133" s="85"/>
      <c r="U133" s="85"/>
      <c r="V133" s="85"/>
      <c r="W133" s="85"/>
      <c r="X133" s="85"/>
      <c r="Y133" s="85"/>
      <c r="Z133" s="85"/>
      <c r="AA133" s="85"/>
      <c r="AB133" s="85"/>
      <c r="AC133" s="85"/>
      <c r="AD133" s="85"/>
      <c r="AE133" s="85"/>
      <c r="AF133" s="85"/>
      <c r="AG133" s="85">
        <f t="shared" si="1"/>
        <v>106925</v>
      </c>
      <c r="AH133" s="86" t="s">
        <v>1376</v>
      </c>
      <c r="AI133" s="101" t="s">
        <v>1241</v>
      </c>
      <c r="AJ133" s="122" t="s">
        <v>1380</v>
      </c>
      <c r="AK133" s="84" t="s">
        <v>1381</v>
      </c>
      <c r="AL133" s="91" t="s">
        <v>662</v>
      </c>
      <c r="AM133" s="84" t="s">
        <v>1382</v>
      </c>
      <c r="AN133" s="84"/>
      <c r="AO133" s="84" t="s">
        <v>751</v>
      </c>
      <c r="AP133" s="84" t="s">
        <v>751</v>
      </c>
      <c r="AQ133" s="84" t="s">
        <v>751</v>
      </c>
      <c r="AR133" s="84" t="s">
        <v>751</v>
      </c>
      <c r="AS133" s="84" t="s">
        <v>751</v>
      </c>
      <c r="AT133" s="84" t="s">
        <v>751</v>
      </c>
      <c r="AU133" s="84" t="s">
        <v>751</v>
      </c>
      <c r="AV133" s="84" t="s">
        <v>751</v>
      </c>
      <c r="AW133" s="84" t="s">
        <v>751</v>
      </c>
      <c r="AX133" s="84" t="s">
        <v>751</v>
      </c>
      <c r="AY133" s="84" t="s">
        <v>751</v>
      </c>
      <c r="AZ133" s="84" t="s">
        <v>1383</v>
      </c>
      <c r="BA133" s="84" t="s">
        <v>1384</v>
      </c>
      <c r="BB133" s="80"/>
    </row>
    <row r="134" spans="1:54" ht="409.5" x14ac:dyDescent="0.25">
      <c r="A134" s="84" t="s">
        <v>49</v>
      </c>
      <c r="B134" s="84" t="s">
        <v>626</v>
      </c>
      <c r="C134" s="84" t="s">
        <v>1385</v>
      </c>
      <c r="D134" s="84" t="s">
        <v>1386</v>
      </c>
      <c r="E134" s="84">
        <v>1</v>
      </c>
      <c r="F134" s="84" t="s">
        <v>1376</v>
      </c>
      <c r="G134" s="84"/>
      <c r="H134" s="84" t="s">
        <v>1387</v>
      </c>
      <c r="I134" s="84" t="s">
        <v>1388</v>
      </c>
      <c r="J134" s="84">
        <v>1</v>
      </c>
      <c r="K134" s="105" t="s">
        <v>322</v>
      </c>
      <c r="L134" s="89">
        <v>1</v>
      </c>
      <c r="M134" s="89">
        <v>1</v>
      </c>
      <c r="N134" s="84" t="s">
        <v>1388</v>
      </c>
      <c r="O134" s="90">
        <v>1</v>
      </c>
      <c r="P134" s="85">
        <v>21385</v>
      </c>
      <c r="Q134" s="85"/>
      <c r="R134" s="85">
        <v>21385</v>
      </c>
      <c r="S134" s="85"/>
      <c r="T134" s="85"/>
      <c r="U134" s="85"/>
      <c r="V134" s="85"/>
      <c r="W134" s="85"/>
      <c r="X134" s="85"/>
      <c r="Y134" s="85"/>
      <c r="Z134" s="85"/>
      <c r="AA134" s="85"/>
      <c r="AB134" s="85"/>
      <c r="AC134" s="85"/>
      <c r="AD134" s="85"/>
      <c r="AE134" s="85"/>
      <c r="AF134" s="85"/>
      <c r="AG134" s="85">
        <f t="shared" si="1"/>
        <v>21385</v>
      </c>
      <c r="AH134" s="86" t="s">
        <v>1376</v>
      </c>
      <c r="AI134" s="101" t="s">
        <v>1241</v>
      </c>
      <c r="AJ134" s="122" t="s">
        <v>1380</v>
      </c>
      <c r="AK134" s="84" t="s">
        <v>1381</v>
      </c>
      <c r="AL134" s="91" t="s">
        <v>662</v>
      </c>
      <c r="AM134" s="84" t="s">
        <v>1389</v>
      </c>
      <c r="AN134" s="84" t="s">
        <v>751</v>
      </c>
      <c r="AO134" s="84" t="s">
        <v>751</v>
      </c>
      <c r="AP134" s="84" t="s">
        <v>751</v>
      </c>
      <c r="AQ134" s="84" t="s">
        <v>751</v>
      </c>
      <c r="AR134" s="84" t="s">
        <v>751</v>
      </c>
      <c r="AS134" s="84" t="s">
        <v>751</v>
      </c>
      <c r="AT134" s="84" t="s">
        <v>751</v>
      </c>
      <c r="AU134" s="84" t="s">
        <v>751</v>
      </c>
      <c r="AV134" s="84" t="s">
        <v>751</v>
      </c>
      <c r="AW134" s="84" t="s">
        <v>751</v>
      </c>
      <c r="AX134" s="84" t="s">
        <v>751</v>
      </c>
      <c r="AY134" s="84" t="s">
        <v>751</v>
      </c>
      <c r="AZ134" s="84" t="s">
        <v>1383</v>
      </c>
      <c r="BA134" s="84" t="s">
        <v>1390</v>
      </c>
      <c r="BB134" s="80"/>
    </row>
    <row r="135" spans="1:54" ht="409.5" x14ac:dyDescent="0.25">
      <c r="A135" s="84" t="s">
        <v>49</v>
      </c>
      <c r="B135" s="84" t="s">
        <v>626</v>
      </c>
      <c r="C135" s="84" t="s">
        <v>1391</v>
      </c>
      <c r="D135" s="84" t="s">
        <v>1392</v>
      </c>
      <c r="E135" s="84">
        <v>1</v>
      </c>
      <c r="F135" s="84" t="s">
        <v>1376</v>
      </c>
      <c r="G135" s="817" t="s">
        <v>1377</v>
      </c>
      <c r="H135" s="84" t="s">
        <v>1393</v>
      </c>
      <c r="I135" s="84" t="s">
        <v>1394</v>
      </c>
      <c r="J135" s="84">
        <v>1</v>
      </c>
      <c r="K135" s="105" t="s">
        <v>322</v>
      </c>
      <c r="L135" s="89">
        <v>1</v>
      </c>
      <c r="M135" s="89">
        <v>1</v>
      </c>
      <c r="N135" s="84" t="s">
        <v>1394</v>
      </c>
      <c r="O135" s="90">
        <v>1</v>
      </c>
      <c r="P135" s="85">
        <v>160388</v>
      </c>
      <c r="Q135" s="85"/>
      <c r="R135" s="85">
        <v>160388</v>
      </c>
      <c r="S135" s="85"/>
      <c r="T135" s="85"/>
      <c r="U135" s="85"/>
      <c r="V135" s="85"/>
      <c r="W135" s="85"/>
      <c r="X135" s="85"/>
      <c r="Y135" s="85"/>
      <c r="Z135" s="85"/>
      <c r="AA135" s="85"/>
      <c r="AB135" s="85"/>
      <c r="AC135" s="85"/>
      <c r="AD135" s="85"/>
      <c r="AE135" s="85"/>
      <c r="AF135" s="85"/>
      <c r="AG135" s="85">
        <f t="shared" si="1"/>
        <v>160388</v>
      </c>
      <c r="AH135" s="86" t="s">
        <v>1376</v>
      </c>
      <c r="AI135" s="101" t="s">
        <v>1241</v>
      </c>
      <c r="AJ135" s="122" t="s">
        <v>1380</v>
      </c>
      <c r="AK135" s="84" t="s">
        <v>1381</v>
      </c>
      <c r="AL135" s="91" t="s">
        <v>662</v>
      </c>
      <c r="AM135" s="84" t="s">
        <v>1395</v>
      </c>
      <c r="AN135" s="84"/>
      <c r="AO135" s="84" t="s">
        <v>751</v>
      </c>
      <c r="AP135" s="84" t="s">
        <v>751</v>
      </c>
      <c r="AQ135" s="84" t="s">
        <v>751</v>
      </c>
      <c r="AR135" s="84" t="s">
        <v>751</v>
      </c>
      <c r="AS135" s="84" t="s">
        <v>751</v>
      </c>
      <c r="AT135" s="84" t="s">
        <v>751</v>
      </c>
      <c r="AU135" s="84" t="s">
        <v>751</v>
      </c>
      <c r="AV135" s="84" t="s">
        <v>751</v>
      </c>
      <c r="AW135" s="84" t="s">
        <v>751</v>
      </c>
      <c r="AX135" s="84" t="s">
        <v>751</v>
      </c>
      <c r="AY135" s="84" t="s">
        <v>751</v>
      </c>
      <c r="AZ135" s="84" t="s">
        <v>1383</v>
      </c>
      <c r="BA135" s="84" t="s">
        <v>1396</v>
      </c>
      <c r="BB135" s="80"/>
    </row>
    <row r="136" spans="1:54" ht="409.5" x14ac:dyDescent="0.25">
      <c r="A136" s="84" t="s">
        <v>49</v>
      </c>
      <c r="B136" s="84" t="s">
        <v>626</v>
      </c>
      <c r="C136" s="84" t="s">
        <v>1397</v>
      </c>
      <c r="D136" s="84" t="s">
        <v>1398</v>
      </c>
      <c r="E136" s="84">
        <v>1</v>
      </c>
      <c r="F136" s="84" t="s">
        <v>1376</v>
      </c>
      <c r="G136" s="818"/>
      <c r="H136" s="84" t="s">
        <v>1399</v>
      </c>
      <c r="I136" s="84" t="s">
        <v>1400</v>
      </c>
      <c r="J136" s="84">
        <v>1</v>
      </c>
      <c r="K136" s="105" t="s">
        <v>322</v>
      </c>
      <c r="L136" s="89">
        <v>1</v>
      </c>
      <c r="M136" s="89">
        <v>1</v>
      </c>
      <c r="N136" s="84" t="s">
        <v>1400</v>
      </c>
      <c r="O136" s="90">
        <v>1</v>
      </c>
      <c r="P136" s="85">
        <v>748475</v>
      </c>
      <c r="Q136" s="85"/>
      <c r="R136" s="85">
        <v>748475</v>
      </c>
      <c r="S136" s="85"/>
      <c r="T136" s="85"/>
      <c r="U136" s="85"/>
      <c r="V136" s="85"/>
      <c r="W136" s="85"/>
      <c r="X136" s="85"/>
      <c r="Y136" s="85"/>
      <c r="Z136" s="85"/>
      <c r="AA136" s="85"/>
      <c r="AB136" s="85"/>
      <c r="AC136" s="85"/>
      <c r="AD136" s="85"/>
      <c r="AE136" s="85"/>
      <c r="AF136" s="85"/>
      <c r="AG136" s="85">
        <f t="shared" si="1"/>
        <v>748475</v>
      </c>
      <c r="AH136" s="86" t="s">
        <v>1376</v>
      </c>
      <c r="AI136" s="101" t="s">
        <v>1241</v>
      </c>
      <c r="AJ136" s="122" t="s">
        <v>1380</v>
      </c>
      <c r="AK136" s="84" t="s">
        <v>1381</v>
      </c>
      <c r="AL136" s="91" t="s">
        <v>662</v>
      </c>
      <c r="AM136" s="84" t="s">
        <v>1401</v>
      </c>
      <c r="AN136" s="84"/>
      <c r="AO136" s="84" t="s">
        <v>751</v>
      </c>
      <c r="AP136" s="84" t="s">
        <v>751</v>
      </c>
      <c r="AQ136" s="84" t="s">
        <v>751</v>
      </c>
      <c r="AR136" s="84" t="s">
        <v>751</v>
      </c>
      <c r="AS136" s="84" t="s">
        <v>751</v>
      </c>
      <c r="AT136" s="84" t="s">
        <v>751</v>
      </c>
      <c r="AU136" s="84" t="s">
        <v>751</v>
      </c>
      <c r="AV136" s="84" t="s">
        <v>751</v>
      </c>
      <c r="AW136" s="84" t="s">
        <v>751</v>
      </c>
      <c r="AX136" s="84" t="s">
        <v>751</v>
      </c>
      <c r="AY136" s="84" t="s">
        <v>751</v>
      </c>
      <c r="AZ136" s="84" t="s">
        <v>1383</v>
      </c>
      <c r="BA136" s="84" t="s">
        <v>1402</v>
      </c>
      <c r="BB136" s="80"/>
    </row>
    <row r="137" spans="1:54" ht="409.5" x14ac:dyDescent="0.25">
      <c r="A137" s="84" t="s">
        <v>49</v>
      </c>
      <c r="B137" s="84" t="s">
        <v>626</v>
      </c>
      <c r="C137" s="84" t="s">
        <v>1403</v>
      </c>
      <c r="D137" s="84" t="s">
        <v>1404</v>
      </c>
      <c r="E137" s="84">
        <v>1</v>
      </c>
      <c r="F137" s="84" t="s">
        <v>1376</v>
      </c>
      <c r="G137" s="818"/>
      <c r="H137" s="84" t="s">
        <v>1405</v>
      </c>
      <c r="I137" s="84" t="s">
        <v>1406</v>
      </c>
      <c r="J137" s="84">
        <v>1</v>
      </c>
      <c r="K137" s="105" t="s">
        <v>322</v>
      </c>
      <c r="L137" s="89">
        <v>1</v>
      </c>
      <c r="M137" s="89">
        <v>1</v>
      </c>
      <c r="N137" s="84" t="s">
        <v>1406</v>
      </c>
      <c r="O137" s="90">
        <v>1</v>
      </c>
      <c r="P137" s="85">
        <v>16039</v>
      </c>
      <c r="Q137" s="85"/>
      <c r="R137" s="85">
        <v>16039</v>
      </c>
      <c r="S137" s="85"/>
      <c r="T137" s="85"/>
      <c r="U137" s="85"/>
      <c r="V137" s="85"/>
      <c r="W137" s="85"/>
      <c r="X137" s="85"/>
      <c r="Y137" s="85"/>
      <c r="Z137" s="85"/>
      <c r="AA137" s="85"/>
      <c r="AB137" s="85"/>
      <c r="AC137" s="85"/>
      <c r="AD137" s="85"/>
      <c r="AE137" s="85"/>
      <c r="AF137" s="85"/>
      <c r="AG137" s="85">
        <f t="shared" si="1"/>
        <v>16039</v>
      </c>
      <c r="AH137" s="86" t="s">
        <v>1376</v>
      </c>
      <c r="AI137" s="101" t="s">
        <v>1241</v>
      </c>
      <c r="AJ137" s="122" t="s">
        <v>1380</v>
      </c>
      <c r="AK137" s="84" t="s">
        <v>1381</v>
      </c>
      <c r="AL137" s="91" t="s">
        <v>662</v>
      </c>
      <c r="AM137" s="84" t="s">
        <v>1407</v>
      </c>
      <c r="AN137" s="84"/>
      <c r="AO137" s="84" t="s">
        <v>751</v>
      </c>
      <c r="AP137" s="84" t="s">
        <v>751</v>
      </c>
      <c r="AQ137" s="84" t="s">
        <v>751</v>
      </c>
      <c r="AR137" s="84" t="s">
        <v>751</v>
      </c>
      <c r="AS137" s="84" t="s">
        <v>751</v>
      </c>
      <c r="AT137" s="84" t="s">
        <v>751</v>
      </c>
      <c r="AU137" s="84" t="s">
        <v>751</v>
      </c>
      <c r="AV137" s="84" t="s">
        <v>751</v>
      </c>
      <c r="AW137" s="84" t="s">
        <v>751</v>
      </c>
      <c r="AX137" s="84" t="s">
        <v>751</v>
      </c>
      <c r="AY137" s="84" t="s">
        <v>751</v>
      </c>
      <c r="AZ137" s="84" t="s">
        <v>1383</v>
      </c>
      <c r="BA137" s="84" t="s">
        <v>1408</v>
      </c>
      <c r="BB137" s="80"/>
    </row>
    <row r="138" spans="1:54" ht="409.5" x14ac:dyDescent="0.25">
      <c r="A138" s="84" t="s">
        <v>49</v>
      </c>
      <c r="B138" s="84" t="s">
        <v>626</v>
      </c>
      <c r="C138" s="84" t="s">
        <v>1409</v>
      </c>
      <c r="D138" s="84" t="s">
        <v>1410</v>
      </c>
      <c r="E138" s="84">
        <v>1</v>
      </c>
      <c r="F138" s="84" t="s">
        <v>1376</v>
      </c>
      <c r="G138" s="819"/>
      <c r="H138" s="84" t="s">
        <v>1411</v>
      </c>
      <c r="I138" s="84" t="s">
        <v>1412</v>
      </c>
      <c r="J138" s="84">
        <v>0.7</v>
      </c>
      <c r="K138" s="105" t="s">
        <v>322</v>
      </c>
      <c r="L138" s="89">
        <v>1</v>
      </c>
      <c r="M138" s="89">
        <v>1</v>
      </c>
      <c r="N138" s="84" t="s">
        <v>1412</v>
      </c>
      <c r="O138" s="90">
        <v>0.7</v>
      </c>
      <c r="P138" s="85">
        <v>16039</v>
      </c>
      <c r="Q138" s="85"/>
      <c r="R138" s="85">
        <v>16039</v>
      </c>
      <c r="S138" s="85"/>
      <c r="T138" s="85"/>
      <c r="U138" s="85"/>
      <c r="V138" s="85"/>
      <c r="W138" s="85"/>
      <c r="X138" s="85"/>
      <c r="Y138" s="85"/>
      <c r="Z138" s="85"/>
      <c r="AA138" s="85"/>
      <c r="AB138" s="85"/>
      <c r="AC138" s="85"/>
      <c r="AD138" s="85"/>
      <c r="AE138" s="85"/>
      <c r="AF138" s="85"/>
      <c r="AG138" s="85">
        <f t="shared" si="1"/>
        <v>16039</v>
      </c>
      <c r="AH138" s="86" t="s">
        <v>1376</v>
      </c>
      <c r="AI138" s="101" t="s">
        <v>1241</v>
      </c>
      <c r="AJ138" s="122" t="s">
        <v>1380</v>
      </c>
      <c r="AK138" s="84" t="s">
        <v>1381</v>
      </c>
      <c r="AL138" s="91" t="s">
        <v>662</v>
      </c>
      <c r="AM138" s="84" t="s">
        <v>1413</v>
      </c>
      <c r="AN138" s="84"/>
      <c r="AO138" s="84" t="s">
        <v>751</v>
      </c>
      <c r="AP138" s="84" t="s">
        <v>751</v>
      </c>
      <c r="AQ138" s="84" t="s">
        <v>751</v>
      </c>
      <c r="AR138" s="84" t="s">
        <v>751</v>
      </c>
      <c r="AS138" s="84" t="s">
        <v>751</v>
      </c>
      <c r="AT138" s="84" t="s">
        <v>751</v>
      </c>
      <c r="AU138" s="84" t="s">
        <v>751</v>
      </c>
      <c r="AV138" s="84" t="s">
        <v>751</v>
      </c>
      <c r="AW138" s="84" t="s">
        <v>751</v>
      </c>
      <c r="AX138" s="84" t="s">
        <v>751</v>
      </c>
      <c r="AY138" s="84" t="s">
        <v>751</v>
      </c>
      <c r="AZ138" s="84" t="s">
        <v>1383</v>
      </c>
      <c r="BA138" s="84" t="s">
        <v>1414</v>
      </c>
      <c r="BB138" s="80"/>
    </row>
    <row r="139" spans="1:54" ht="409.5" x14ac:dyDescent="0.25">
      <c r="A139" s="84" t="s">
        <v>49</v>
      </c>
      <c r="B139" s="84" t="s">
        <v>626</v>
      </c>
      <c r="C139" s="84" t="s">
        <v>1415</v>
      </c>
      <c r="D139" s="84" t="s">
        <v>1416</v>
      </c>
      <c r="E139" s="84">
        <v>0.5</v>
      </c>
      <c r="F139" s="84" t="s">
        <v>1376</v>
      </c>
      <c r="G139" s="84" t="s">
        <v>1377</v>
      </c>
      <c r="H139" s="84" t="s">
        <v>1417</v>
      </c>
      <c r="I139" s="84" t="s">
        <v>1418</v>
      </c>
      <c r="J139" s="84">
        <v>0.2</v>
      </c>
      <c r="K139" s="105" t="s">
        <v>323</v>
      </c>
      <c r="L139" s="89">
        <v>0.5</v>
      </c>
      <c r="M139" s="98" t="s">
        <v>1419</v>
      </c>
      <c r="N139" s="84" t="s">
        <v>1418</v>
      </c>
      <c r="O139" s="90">
        <v>0.2</v>
      </c>
      <c r="P139" s="85">
        <v>115605</v>
      </c>
      <c r="Q139" s="85"/>
      <c r="R139" s="85">
        <v>115605</v>
      </c>
      <c r="S139" s="85"/>
      <c r="T139" s="85"/>
      <c r="U139" s="85"/>
      <c r="V139" s="85"/>
      <c r="W139" s="85"/>
      <c r="X139" s="85"/>
      <c r="Y139" s="85"/>
      <c r="Z139" s="85"/>
      <c r="AA139" s="85"/>
      <c r="AB139" s="85"/>
      <c r="AC139" s="85"/>
      <c r="AD139" s="85"/>
      <c r="AE139" s="85"/>
      <c r="AF139" s="85"/>
      <c r="AG139" s="85">
        <f t="shared" si="1"/>
        <v>115605</v>
      </c>
      <c r="AH139" s="86" t="s">
        <v>1376</v>
      </c>
      <c r="AI139" s="101" t="s">
        <v>1241</v>
      </c>
      <c r="AJ139" s="122" t="s">
        <v>1380</v>
      </c>
      <c r="AK139" s="84" t="s">
        <v>1381</v>
      </c>
      <c r="AL139" s="91" t="s">
        <v>662</v>
      </c>
      <c r="AM139" s="84" t="s">
        <v>1420</v>
      </c>
      <c r="AN139" s="84"/>
      <c r="AO139" s="84"/>
      <c r="AP139" s="84" t="s">
        <v>751</v>
      </c>
      <c r="AQ139" s="84" t="s">
        <v>751</v>
      </c>
      <c r="AR139" s="84" t="s">
        <v>751</v>
      </c>
      <c r="AS139" s="84" t="s">
        <v>751</v>
      </c>
      <c r="AT139" s="84" t="s">
        <v>751</v>
      </c>
      <c r="AU139" s="84" t="s">
        <v>751</v>
      </c>
      <c r="AV139" s="84" t="s">
        <v>751</v>
      </c>
      <c r="AW139" s="84" t="s">
        <v>751</v>
      </c>
      <c r="AX139" s="84" t="s">
        <v>751</v>
      </c>
      <c r="AY139" s="84" t="s">
        <v>751</v>
      </c>
      <c r="AZ139" s="84" t="s">
        <v>1383</v>
      </c>
      <c r="BA139" s="84" t="s">
        <v>1421</v>
      </c>
      <c r="BB139" s="80"/>
    </row>
    <row r="140" spans="1:54" ht="270" x14ac:dyDescent="0.25">
      <c r="A140" s="92" t="s">
        <v>49</v>
      </c>
      <c r="B140" s="92" t="s">
        <v>626</v>
      </c>
      <c r="C140" s="820" t="s">
        <v>1422</v>
      </c>
      <c r="D140" s="820" t="s">
        <v>1423</v>
      </c>
      <c r="E140" s="820">
        <v>0.3</v>
      </c>
      <c r="F140" s="92" t="s">
        <v>1424</v>
      </c>
      <c r="G140" s="820" t="s">
        <v>1425</v>
      </c>
      <c r="H140" s="92" t="s">
        <v>1426</v>
      </c>
      <c r="I140" s="92" t="s">
        <v>1427</v>
      </c>
      <c r="J140" s="92">
        <v>0</v>
      </c>
      <c r="K140" s="112" t="s">
        <v>323</v>
      </c>
      <c r="L140" s="117">
        <v>1</v>
      </c>
      <c r="M140" s="117">
        <v>0.25</v>
      </c>
      <c r="N140" s="92" t="s">
        <v>1427</v>
      </c>
      <c r="O140" s="118">
        <v>0</v>
      </c>
      <c r="P140" s="93">
        <v>14932</v>
      </c>
      <c r="Q140" s="93"/>
      <c r="R140" s="123">
        <f>14932+884885</f>
        <v>899817</v>
      </c>
      <c r="S140" s="93"/>
      <c r="T140" s="93"/>
      <c r="U140" s="93"/>
      <c r="V140" s="93"/>
      <c r="W140" s="93"/>
      <c r="X140" s="93"/>
      <c r="Y140" s="93"/>
      <c r="Z140" s="93"/>
      <c r="AA140" s="93"/>
      <c r="AB140" s="93"/>
      <c r="AC140" s="93"/>
      <c r="AD140" s="93"/>
      <c r="AE140" s="93"/>
      <c r="AF140" s="93"/>
      <c r="AG140" s="93">
        <f t="shared" si="1"/>
        <v>899817</v>
      </c>
      <c r="AH140" s="96" t="s">
        <v>1424</v>
      </c>
      <c r="AI140" s="92" t="s">
        <v>1428</v>
      </c>
      <c r="AJ140" s="92">
        <v>42</v>
      </c>
      <c r="AK140" s="114" t="s">
        <v>1282</v>
      </c>
      <c r="AL140" s="113" t="s">
        <v>662</v>
      </c>
      <c r="AM140" s="96" t="s">
        <v>1429</v>
      </c>
      <c r="AN140" s="92" t="s">
        <v>751</v>
      </c>
      <c r="AO140" s="92" t="s">
        <v>751</v>
      </c>
      <c r="AP140" s="92" t="s">
        <v>751</v>
      </c>
      <c r="AQ140" s="92" t="s">
        <v>751</v>
      </c>
      <c r="AR140" s="92" t="s">
        <v>751</v>
      </c>
      <c r="AS140" s="92" t="s">
        <v>751</v>
      </c>
      <c r="AT140" s="92" t="s">
        <v>751</v>
      </c>
      <c r="AU140" s="92" t="s">
        <v>751</v>
      </c>
      <c r="AV140" s="92" t="s">
        <v>751</v>
      </c>
      <c r="AW140" s="92" t="s">
        <v>751</v>
      </c>
      <c r="AX140" s="92" t="s">
        <v>751</v>
      </c>
      <c r="AY140" s="92" t="s">
        <v>751</v>
      </c>
      <c r="AZ140" s="92" t="s">
        <v>1430</v>
      </c>
      <c r="BA140" s="113" t="s">
        <v>1431</v>
      </c>
      <c r="BB140" s="95"/>
    </row>
    <row r="141" spans="1:54" ht="360" x14ac:dyDescent="0.25">
      <c r="A141" s="92" t="s">
        <v>49</v>
      </c>
      <c r="B141" s="92" t="s">
        <v>626</v>
      </c>
      <c r="C141" s="820"/>
      <c r="D141" s="820"/>
      <c r="E141" s="820"/>
      <c r="F141" s="92" t="s">
        <v>1424</v>
      </c>
      <c r="G141" s="820"/>
      <c r="H141" s="92" t="s">
        <v>1432</v>
      </c>
      <c r="I141" s="92" t="s">
        <v>1433</v>
      </c>
      <c r="J141" s="92">
        <v>0.85</v>
      </c>
      <c r="K141" s="112" t="s">
        <v>322</v>
      </c>
      <c r="L141" s="117">
        <v>0.85</v>
      </c>
      <c r="M141" s="117">
        <v>0.85</v>
      </c>
      <c r="N141" s="92" t="s">
        <v>1433</v>
      </c>
      <c r="O141" s="118">
        <v>0.85</v>
      </c>
      <c r="P141" s="93">
        <v>73378</v>
      </c>
      <c r="Q141" s="93"/>
      <c r="R141" s="123">
        <f>73378+884885</f>
        <v>958263</v>
      </c>
      <c r="S141" s="93"/>
      <c r="T141" s="93"/>
      <c r="U141" s="93"/>
      <c r="V141" s="93"/>
      <c r="W141" s="93"/>
      <c r="X141" s="93"/>
      <c r="Y141" s="93"/>
      <c r="Z141" s="93"/>
      <c r="AA141" s="93"/>
      <c r="AB141" s="93"/>
      <c r="AC141" s="93"/>
      <c r="AD141" s="93"/>
      <c r="AE141" s="93"/>
      <c r="AF141" s="93"/>
      <c r="AG141" s="93">
        <f t="shared" ref="AG141:AG144" si="2">SUM(Q141:AF141)</f>
        <v>958263</v>
      </c>
      <c r="AH141" s="96" t="s">
        <v>1424</v>
      </c>
      <c r="AI141" s="113" t="s">
        <v>1241</v>
      </c>
      <c r="AJ141" s="92">
        <v>42</v>
      </c>
      <c r="AK141" s="114" t="s">
        <v>1282</v>
      </c>
      <c r="AL141" s="113" t="s">
        <v>662</v>
      </c>
      <c r="AM141" s="92" t="s">
        <v>1434</v>
      </c>
      <c r="AN141" s="92" t="s">
        <v>751</v>
      </c>
      <c r="AO141" s="92" t="s">
        <v>751</v>
      </c>
      <c r="AP141" s="92" t="s">
        <v>751</v>
      </c>
      <c r="AQ141" s="92" t="s">
        <v>751</v>
      </c>
      <c r="AR141" s="92" t="s">
        <v>751</v>
      </c>
      <c r="AS141" s="92" t="s">
        <v>751</v>
      </c>
      <c r="AT141" s="92" t="s">
        <v>751</v>
      </c>
      <c r="AU141" s="92" t="s">
        <v>751</v>
      </c>
      <c r="AV141" s="92" t="s">
        <v>751</v>
      </c>
      <c r="AW141" s="92" t="s">
        <v>751</v>
      </c>
      <c r="AX141" s="92" t="s">
        <v>751</v>
      </c>
      <c r="AY141" s="92" t="s">
        <v>751</v>
      </c>
      <c r="AZ141" s="92" t="s">
        <v>1430</v>
      </c>
      <c r="BA141" s="113" t="s">
        <v>1431</v>
      </c>
      <c r="BB141" s="95"/>
    </row>
    <row r="142" spans="1:54" ht="300" x14ac:dyDescent="0.25">
      <c r="A142" s="92" t="s">
        <v>49</v>
      </c>
      <c r="B142" s="92" t="s">
        <v>626</v>
      </c>
      <c r="C142" s="820"/>
      <c r="D142" s="820"/>
      <c r="E142" s="820"/>
      <c r="F142" s="92" t="s">
        <v>1424</v>
      </c>
      <c r="G142" s="820"/>
      <c r="H142" s="92" t="s">
        <v>1435</v>
      </c>
      <c r="I142" s="92" t="s">
        <v>1436</v>
      </c>
      <c r="J142" s="92">
        <v>0.15</v>
      </c>
      <c r="K142" s="112" t="s">
        <v>323</v>
      </c>
      <c r="L142" s="117">
        <v>0.85</v>
      </c>
      <c r="M142" s="117">
        <v>0.2</v>
      </c>
      <c r="N142" s="92" t="s">
        <v>1436</v>
      </c>
      <c r="O142" s="118">
        <v>0.15</v>
      </c>
      <c r="P142" s="93">
        <v>31192</v>
      </c>
      <c r="Q142" s="93"/>
      <c r="R142" s="123">
        <f>31192+884885</f>
        <v>916077</v>
      </c>
      <c r="S142" s="93"/>
      <c r="T142" s="93"/>
      <c r="U142" s="93"/>
      <c r="V142" s="93"/>
      <c r="W142" s="93"/>
      <c r="X142" s="93"/>
      <c r="Y142" s="93"/>
      <c r="Z142" s="93"/>
      <c r="AA142" s="93"/>
      <c r="AB142" s="93"/>
      <c r="AC142" s="93"/>
      <c r="AD142" s="93"/>
      <c r="AE142" s="93"/>
      <c r="AF142" s="93"/>
      <c r="AG142" s="93">
        <f t="shared" si="2"/>
        <v>916077</v>
      </c>
      <c r="AH142" s="96" t="s">
        <v>1424</v>
      </c>
      <c r="AI142" s="113" t="s">
        <v>1241</v>
      </c>
      <c r="AJ142" s="92">
        <v>42</v>
      </c>
      <c r="AK142" s="114" t="s">
        <v>1282</v>
      </c>
      <c r="AL142" s="113" t="s">
        <v>662</v>
      </c>
      <c r="AM142" s="92" t="s">
        <v>1437</v>
      </c>
      <c r="AN142" s="92" t="s">
        <v>751</v>
      </c>
      <c r="AO142" s="92" t="s">
        <v>751</v>
      </c>
      <c r="AP142" s="92" t="s">
        <v>751</v>
      </c>
      <c r="AQ142" s="92" t="s">
        <v>751</v>
      </c>
      <c r="AR142" s="92" t="s">
        <v>751</v>
      </c>
      <c r="AS142" s="92" t="s">
        <v>751</v>
      </c>
      <c r="AT142" s="92" t="s">
        <v>751</v>
      </c>
      <c r="AU142" s="92" t="s">
        <v>751</v>
      </c>
      <c r="AV142" s="92" t="s">
        <v>751</v>
      </c>
      <c r="AW142" s="92" t="s">
        <v>751</v>
      </c>
      <c r="AX142" s="92" t="s">
        <v>751</v>
      </c>
      <c r="AY142" s="92" t="s">
        <v>751</v>
      </c>
      <c r="AZ142" s="92" t="s">
        <v>1430</v>
      </c>
      <c r="BA142" s="113" t="s">
        <v>1431</v>
      </c>
      <c r="BB142" s="95"/>
    </row>
    <row r="143" spans="1:54" ht="270" x14ac:dyDescent="0.25">
      <c r="A143" s="92" t="s">
        <v>49</v>
      </c>
      <c r="B143" s="92" t="s">
        <v>626</v>
      </c>
      <c r="C143" s="820"/>
      <c r="D143" s="820"/>
      <c r="E143" s="820"/>
      <c r="F143" s="92" t="s">
        <v>1424</v>
      </c>
      <c r="G143" s="820"/>
      <c r="H143" s="92" t="s">
        <v>1438</v>
      </c>
      <c r="I143" s="92" t="s">
        <v>1439</v>
      </c>
      <c r="J143" s="92">
        <v>1</v>
      </c>
      <c r="K143" s="112" t="s">
        <v>323</v>
      </c>
      <c r="L143" s="117">
        <v>0.8</v>
      </c>
      <c r="M143" s="117">
        <v>0.2</v>
      </c>
      <c r="N143" s="92" t="s">
        <v>1439</v>
      </c>
      <c r="O143" s="118">
        <v>1</v>
      </c>
      <c r="P143" s="93">
        <v>24948</v>
      </c>
      <c r="Q143" s="93"/>
      <c r="R143" s="123">
        <f>24948+884885</f>
        <v>909833</v>
      </c>
      <c r="S143" s="93"/>
      <c r="T143" s="93"/>
      <c r="U143" s="93"/>
      <c r="V143" s="93"/>
      <c r="W143" s="93"/>
      <c r="X143" s="93"/>
      <c r="Y143" s="93"/>
      <c r="Z143" s="93"/>
      <c r="AA143" s="93"/>
      <c r="AB143" s="93"/>
      <c r="AC143" s="93"/>
      <c r="AD143" s="93"/>
      <c r="AE143" s="93"/>
      <c r="AF143" s="93"/>
      <c r="AG143" s="93">
        <f t="shared" si="2"/>
        <v>909833</v>
      </c>
      <c r="AH143" s="96" t="s">
        <v>1424</v>
      </c>
      <c r="AI143" s="113" t="s">
        <v>1241</v>
      </c>
      <c r="AJ143" s="92">
        <v>42</v>
      </c>
      <c r="AK143" s="114" t="s">
        <v>1282</v>
      </c>
      <c r="AL143" s="113" t="s">
        <v>662</v>
      </c>
      <c r="AM143" s="92" t="s">
        <v>1440</v>
      </c>
      <c r="AN143" s="92" t="s">
        <v>751</v>
      </c>
      <c r="AO143" s="92" t="s">
        <v>751</v>
      </c>
      <c r="AP143" s="92" t="s">
        <v>751</v>
      </c>
      <c r="AQ143" s="92" t="s">
        <v>751</v>
      </c>
      <c r="AR143" s="92" t="s">
        <v>751</v>
      </c>
      <c r="AS143" s="92" t="s">
        <v>751</v>
      </c>
      <c r="AT143" s="92" t="s">
        <v>751</v>
      </c>
      <c r="AU143" s="92" t="s">
        <v>751</v>
      </c>
      <c r="AV143" s="92" t="s">
        <v>751</v>
      </c>
      <c r="AW143" s="92" t="s">
        <v>751</v>
      </c>
      <c r="AX143" s="92" t="s">
        <v>751</v>
      </c>
      <c r="AY143" s="92" t="s">
        <v>751</v>
      </c>
      <c r="AZ143" s="92" t="s">
        <v>1430</v>
      </c>
      <c r="BA143" s="113" t="s">
        <v>1431</v>
      </c>
      <c r="BB143" s="95"/>
    </row>
    <row r="144" spans="1:54" ht="270" x14ac:dyDescent="0.25">
      <c r="A144" s="92" t="s">
        <v>49</v>
      </c>
      <c r="B144" s="92" t="s">
        <v>626</v>
      </c>
      <c r="C144" s="820"/>
      <c r="D144" s="820"/>
      <c r="E144" s="820"/>
      <c r="F144" s="92" t="s">
        <v>1424</v>
      </c>
      <c r="G144" s="820"/>
      <c r="H144" s="92" t="s">
        <v>1441</v>
      </c>
      <c r="I144" s="92" t="s">
        <v>1442</v>
      </c>
      <c r="J144" s="92">
        <v>1</v>
      </c>
      <c r="K144" s="112" t="s">
        <v>322</v>
      </c>
      <c r="L144" s="117">
        <v>1</v>
      </c>
      <c r="M144" s="117">
        <v>1</v>
      </c>
      <c r="N144" s="92" t="s">
        <v>1442</v>
      </c>
      <c r="O144" s="118">
        <v>1</v>
      </c>
      <c r="P144" s="93">
        <v>34247</v>
      </c>
      <c r="Q144" s="93"/>
      <c r="R144" s="123">
        <f>34247+884887</f>
        <v>919134</v>
      </c>
      <c r="S144" s="93"/>
      <c r="T144" s="93"/>
      <c r="U144" s="93"/>
      <c r="V144" s="93"/>
      <c r="W144" s="93"/>
      <c r="X144" s="93"/>
      <c r="Y144" s="93"/>
      <c r="Z144" s="93"/>
      <c r="AA144" s="93"/>
      <c r="AB144" s="93"/>
      <c r="AC144" s="93"/>
      <c r="AD144" s="93"/>
      <c r="AE144" s="93"/>
      <c r="AF144" s="93"/>
      <c r="AG144" s="93">
        <f t="shared" si="2"/>
        <v>919134</v>
      </c>
      <c r="AH144" s="96" t="s">
        <v>1424</v>
      </c>
      <c r="AI144" s="113" t="s">
        <v>1241</v>
      </c>
      <c r="AJ144" s="92">
        <v>42</v>
      </c>
      <c r="AK144" s="114" t="s">
        <v>1282</v>
      </c>
      <c r="AL144" s="113" t="s">
        <v>662</v>
      </c>
      <c r="AM144" s="92" t="s">
        <v>1443</v>
      </c>
      <c r="AN144" s="92" t="s">
        <v>751</v>
      </c>
      <c r="AO144" s="92" t="s">
        <v>751</v>
      </c>
      <c r="AP144" s="92" t="s">
        <v>751</v>
      </c>
      <c r="AQ144" s="92" t="s">
        <v>751</v>
      </c>
      <c r="AR144" s="92" t="s">
        <v>751</v>
      </c>
      <c r="AS144" s="92" t="s">
        <v>751</v>
      </c>
      <c r="AT144" s="92" t="s">
        <v>751</v>
      </c>
      <c r="AU144" s="92" t="s">
        <v>751</v>
      </c>
      <c r="AV144" s="92" t="s">
        <v>751</v>
      </c>
      <c r="AW144" s="92" t="s">
        <v>751</v>
      </c>
      <c r="AX144" s="92" t="s">
        <v>751</v>
      </c>
      <c r="AY144" s="92" t="s">
        <v>751</v>
      </c>
      <c r="AZ144" s="92" t="s">
        <v>1430</v>
      </c>
      <c r="BA144" s="113" t="s">
        <v>1431</v>
      </c>
      <c r="BB144" s="95"/>
    </row>
  </sheetData>
  <sheetProtection password="C71C" sheet="1" objects="1" scenarios="1"/>
  <protectedRanges>
    <protectedRange sqref="AH57:AH74 AH82:AH92 AH94 AH96:AH102" name="Rango1_5"/>
    <protectedRange sqref="AH22:AH31" name="Rango1_1_5_2_1"/>
    <protectedRange sqref="AH35:AH41" name="Rango1_3_1_2_1"/>
    <protectedRange sqref="AH42:AH55" name="Rango1_12_2"/>
    <protectedRange sqref="AH13:AH20" name="Rango1_2_1_3"/>
    <protectedRange sqref="AM99" name="Rango1_1_4"/>
    <protectedRange sqref="AM100" name="Rango1_1_1_1"/>
    <protectedRange sqref="AM101" name="Rango1_1_2_1"/>
    <protectedRange sqref="AM97" name="Rango1_1_3_1"/>
    <protectedRange sqref="AM13:AM20" name="Rango1_2"/>
    <protectedRange sqref="AH32:AH34" name="Rango1_1_1_1_2_1_1"/>
    <protectedRange sqref="AH75:AH81" name="Rango1_5_2"/>
    <protectedRange sqref="AH103:AH107" name="Rango1_5_3"/>
    <protectedRange sqref="AH108:AH111" name="Rango1_5_1"/>
    <protectedRange sqref="AH112:AH113" name="Rango1_5_4"/>
    <protectedRange sqref="AH114:AH116" name="Rango1_5_5"/>
    <protectedRange sqref="AH117:AH120" name="Rango1_5_6"/>
    <protectedRange sqref="AH133:AH139" name="Rango1_5_1_1"/>
    <protectedRange sqref="AH140:AH144" name="Rango1_5_8"/>
    <protectedRange sqref="AH21" name="Rango1_2_1_3_2"/>
    <protectedRange sqref="AH56" name="Rango1_12_2_1"/>
    <protectedRange sqref="AH93" name="Rango1_5_7"/>
    <protectedRange sqref="AH95" name="Rango1_5_10"/>
  </protectedRanges>
  <mergeCells count="103">
    <mergeCell ref="A2:L2"/>
    <mergeCell ref="A3:L3"/>
    <mergeCell ref="A4:L4"/>
    <mergeCell ref="A5:L5"/>
    <mergeCell ref="A8:M8"/>
    <mergeCell ref="A11:A12"/>
    <mergeCell ref="B11:B12"/>
    <mergeCell ref="C11:C12"/>
    <mergeCell ref="D11:D12"/>
    <mergeCell ref="E11:E12"/>
    <mergeCell ref="AZ11:AZ12"/>
    <mergeCell ref="BA11:BA12"/>
    <mergeCell ref="G13:G21"/>
    <mergeCell ref="C14:C16"/>
    <mergeCell ref="D14:D16"/>
    <mergeCell ref="E14:E16"/>
    <mergeCell ref="AI11:AI12"/>
    <mergeCell ref="AJ11:AJ12"/>
    <mergeCell ref="AK11:AK12"/>
    <mergeCell ref="AL11:AL12"/>
    <mergeCell ref="AM11:AM12"/>
    <mergeCell ref="AN11:AY11"/>
    <mergeCell ref="L11:L12"/>
    <mergeCell ref="M11:M12"/>
    <mergeCell ref="N11:O11"/>
    <mergeCell ref="P11:P12"/>
    <mergeCell ref="Q11:AG11"/>
    <mergeCell ref="AH11:AH12"/>
    <mergeCell ref="F11:F12"/>
    <mergeCell ref="G11:G12"/>
    <mergeCell ref="H11:H12"/>
    <mergeCell ref="I11:I12"/>
    <mergeCell ref="J11:J12"/>
    <mergeCell ref="K11:K12"/>
    <mergeCell ref="C22:C31"/>
    <mergeCell ref="D22:D31"/>
    <mergeCell ref="E22:E31"/>
    <mergeCell ref="G22:G31"/>
    <mergeCell ref="G32:G34"/>
    <mergeCell ref="C35:C36"/>
    <mergeCell ref="D35:D36"/>
    <mergeCell ref="E35:E36"/>
    <mergeCell ref="G35:G41"/>
    <mergeCell ref="C37:C38"/>
    <mergeCell ref="D37:D38"/>
    <mergeCell ref="E37:E38"/>
    <mergeCell ref="C42:C44"/>
    <mergeCell ref="D42:D44"/>
    <mergeCell ref="E42:E44"/>
    <mergeCell ref="G42:G56"/>
    <mergeCell ref="C45:C47"/>
    <mergeCell ref="D45:D47"/>
    <mergeCell ref="E45:E47"/>
    <mergeCell ref="C75:C81"/>
    <mergeCell ref="D75:D81"/>
    <mergeCell ref="E75:E81"/>
    <mergeCell ref="G75:G81"/>
    <mergeCell ref="G82:G84"/>
    <mergeCell ref="C83:C84"/>
    <mergeCell ref="D83:D84"/>
    <mergeCell ref="E83:E84"/>
    <mergeCell ref="C57:C60"/>
    <mergeCell ref="D57:D60"/>
    <mergeCell ref="E57:E60"/>
    <mergeCell ref="G57:G74"/>
    <mergeCell ref="C69:C72"/>
    <mergeCell ref="D69:D72"/>
    <mergeCell ref="E69:E72"/>
    <mergeCell ref="G103:G105"/>
    <mergeCell ref="G108:G111"/>
    <mergeCell ref="G112:G113"/>
    <mergeCell ref="C114:C116"/>
    <mergeCell ref="D114:D116"/>
    <mergeCell ref="E114:E116"/>
    <mergeCell ref="G114:G116"/>
    <mergeCell ref="C85:C89"/>
    <mergeCell ref="D85:D89"/>
    <mergeCell ref="E85:E89"/>
    <mergeCell ref="G85:G102"/>
    <mergeCell ref="C90:C95"/>
    <mergeCell ref="D90:D95"/>
    <mergeCell ref="E90:E95"/>
    <mergeCell ref="C96:C102"/>
    <mergeCell ref="D96:D102"/>
    <mergeCell ref="E96:E102"/>
    <mergeCell ref="C129:C132"/>
    <mergeCell ref="D129:D132"/>
    <mergeCell ref="E129:E132"/>
    <mergeCell ref="G135:G138"/>
    <mergeCell ref="C140:C144"/>
    <mergeCell ref="D140:D144"/>
    <mergeCell ref="E140:E144"/>
    <mergeCell ref="G140:G144"/>
    <mergeCell ref="C117:C120"/>
    <mergeCell ref="D117:D120"/>
    <mergeCell ref="E117:E120"/>
    <mergeCell ref="G117:G120"/>
    <mergeCell ref="G121:G132"/>
    <mergeCell ref="C123:C126"/>
    <mergeCell ref="D123:D126"/>
    <mergeCell ref="E123:E128"/>
    <mergeCell ref="C127:C128"/>
    <mergeCell ref="D127:D12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84"/>
  <sheetViews>
    <sheetView workbookViewId="0">
      <selection activeCell="AD15" sqref="AD15"/>
    </sheetView>
  </sheetViews>
  <sheetFormatPr baseColWidth="10" defaultRowHeight="15" x14ac:dyDescent="0.25"/>
  <cols>
    <col min="2" max="2" width="13.28515625" customWidth="1"/>
    <col min="11" max="11" width="14" customWidth="1"/>
    <col min="16" max="16" width="15.85546875" customWidth="1"/>
    <col min="36" max="36" width="14.140625" customWidth="1"/>
    <col min="38" max="39" width="0" hidden="1" customWidth="1"/>
    <col min="40" max="51" width="4.7109375" customWidth="1"/>
  </cols>
  <sheetData>
    <row r="1" spans="1:53" x14ac:dyDescent="0.25">
      <c r="A1" s="127"/>
      <c r="B1" s="127"/>
      <c r="C1" s="127"/>
      <c r="D1" s="127"/>
      <c r="E1" s="127"/>
      <c r="F1" s="127"/>
      <c r="G1" s="127"/>
      <c r="H1" s="127"/>
      <c r="I1" s="127"/>
      <c r="J1" s="127"/>
      <c r="K1" s="127"/>
      <c r="L1" s="127"/>
      <c r="M1" s="201"/>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202"/>
      <c r="AM1" s="202"/>
      <c r="AN1" s="130"/>
      <c r="AO1" s="130"/>
      <c r="AP1" s="130"/>
      <c r="AQ1" s="130"/>
      <c r="AR1" s="130"/>
      <c r="AS1" s="130"/>
      <c r="AT1" s="130"/>
      <c r="AU1" s="130"/>
      <c r="AV1" s="130"/>
      <c r="AW1" s="130"/>
      <c r="AX1" s="130"/>
      <c r="AY1" s="130"/>
      <c r="AZ1" s="130"/>
      <c r="BA1" s="130"/>
    </row>
    <row r="2" spans="1:53" ht="18" x14ac:dyDescent="0.25">
      <c r="A2" s="830" t="s">
        <v>0</v>
      </c>
      <c r="B2" s="830"/>
      <c r="C2" s="830"/>
      <c r="D2" s="830"/>
      <c r="E2" s="830"/>
      <c r="F2" s="830"/>
      <c r="G2" s="830"/>
      <c r="H2" s="830"/>
      <c r="I2" s="830"/>
      <c r="J2" s="830"/>
      <c r="K2" s="830"/>
      <c r="L2" s="830"/>
      <c r="M2" s="201"/>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202"/>
      <c r="AM2" s="202"/>
      <c r="AN2" s="130"/>
      <c r="AO2" s="130"/>
      <c r="AP2" s="130"/>
      <c r="AQ2" s="130"/>
      <c r="AR2" s="130"/>
      <c r="AS2" s="130"/>
      <c r="AT2" s="130"/>
      <c r="AU2" s="130"/>
      <c r="AV2" s="130"/>
      <c r="AW2" s="130"/>
      <c r="AX2" s="130"/>
      <c r="AY2" s="130"/>
      <c r="AZ2" s="130"/>
      <c r="BA2" s="130"/>
    </row>
    <row r="3" spans="1:53" ht="18" x14ac:dyDescent="0.25">
      <c r="A3" s="831" t="s">
        <v>1</v>
      </c>
      <c r="B3" s="831"/>
      <c r="C3" s="831"/>
      <c r="D3" s="831"/>
      <c r="E3" s="831"/>
      <c r="F3" s="831"/>
      <c r="G3" s="831"/>
      <c r="H3" s="831"/>
      <c r="I3" s="831"/>
      <c r="J3" s="831"/>
      <c r="K3" s="831"/>
      <c r="L3" s="831"/>
      <c r="M3" s="201"/>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202"/>
      <c r="AM3" s="202"/>
      <c r="AN3" s="130"/>
      <c r="AO3" s="130"/>
      <c r="AP3" s="130"/>
      <c r="AQ3" s="130"/>
      <c r="AR3" s="130"/>
      <c r="AS3" s="130"/>
      <c r="AT3" s="130"/>
      <c r="AU3" s="130"/>
      <c r="AV3" s="130"/>
      <c r="AW3" s="130"/>
      <c r="AX3" s="130"/>
      <c r="AY3" s="130"/>
      <c r="AZ3" s="130"/>
      <c r="BA3" s="130"/>
    </row>
    <row r="4" spans="1:53" x14ac:dyDescent="0.25">
      <c r="A4" s="203"/>
      <c r="B4" s="204"/>
      <c r="C4" s="204"/>
      <c r="D4" s="204"/>
      <c r="E4" s="204"/>
      <c r="F4" s="204"/>
      <c r="G4" s="204"/>
      <c r="H4" s="204"/>
      <c r="I4" s="204"/>
      <c r="J4" s="204"/>
      <c r="K4" s="204"/>
      <c r="L4" s="204"/>
      <c r="M4" s="201"/>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202"/>
      <c r="AM4" s="202"/>
      <c r="AN4" s="130"/>
      <c r="AO4" s="130"/>
      <c r="AP4" s="130"/>
      <c r="AQ4" s="130"/>
      <c r="AR4" s="130"/>
      <c r="AS4" s="130"/>
      <c r="AT4" s="130"/>
      <c r="AU4" s="130"/>
      <c r="AV4" s="130"/>
      <c r="AW4" s="130"/>
      <c r="AX4" s="130"/>
      <c r="AY4" s="130"/>
      <c r="AZ4" s="130"/>
      <c r="BA4" s="130"/>
    </row>
    <row r="5" spans="1:53" ht="18" x14ac:dyDescent="0.25">
      <c r="A5" s="830" t="s">
        <v>2</v>
      </c>
      <c r="B5" s="830"/>
      <c r="C5" s="830"/>
      <c r="D5" s="830"/>
      <c r="E5" s="830"/>
      <c r="F5" s="830"/>
      <c r="G5" s="830"/>
      <c r="H5" s="830"/>
      <c r="I5" s="830"/>
      <c r="J5" s="830"/>
      <c r="K5" s="830"/>
      <c r="L5" s="830"/>
      <c r="M5" s="201"/>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202"/>
      <c r="AM5" s="202"/>
      <c r="AN5" s="130"/>
      <c r="AO5" s="130"/>
      <c r="AP5" s="130"/>
      <c r="AQ5" s="130"/>
      <c r="AR5" s="130"/>
      <c r="AS5" s="130"/>
      <c r="AT5" s="130"/>
      <c r="AU5" s="130"/>
      <c r="AV5" s="130"/>
      <c r="AW5" s="130"/>
      <c r="AX5" s="130"/>
      <c r="AY5" s="130"/>
      <c r="AZ5" s="130"/>
      <c r="BA5" s="130"/>
    </row>
    <row r="6" spans="1:53" ht="18" x14ac:dyDescent="0.25">
      <c r="A6" s="830" t="s">
        <v>321</v>
      </c>
      <c r="B6" s="830"/>
      <c r="C6" s="830"/>
      <c r="D6" s="830"/>
      <c r="E6" s="830"/>
      <c r="F6" s="830"/>
      <c r="G6" s="830"/>
      <c r="H6" s="830"/>
      <c r="I6" s="830"/>
      <c r="J6" s="830"/>
      <c r="K6" s="830"/>
      <c r="L6" s="830"/>
      <c r="M6" s="201"/>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202"/>
      <c r="AM6" s="202"/>
      <c r="AN6" s="130"/>
      <c r="AO6" s="130"/>
      <c r="AP6" s="130"/>
      <c r="AQ6" s="130"/>
      <c r="AR6" s="130"/>
      <c r="AS6" s="130"/>
      <c r="AT6" s="130"/>
      <c r="AU6" s="130"/>
      <c r="AV6" s="130"/>
      <c r="AW6" s="130"/>
      <c r="AX6" s="130"/>
      <c r="AY6" s="130"/>
      <c r="AZ6" s="130"/>
      <c r="BA6" s="130"/>
    </row>
    <row r="7" spans="1:53" ht="18" x14ac:dyDescent="0.25">
      <c r="A7" s="134"/>
      <c r="B7" s="134"/>
      <c r="C7" s="134"/>
      <c r="D7" s="134"/>
      <c r="E7" s="134"/>
      <c r="F7" s="134"/>
      <c r="G7" s="134"/>
      <c r="H7" s="134"/>
      <c r="I7" s="134"/>
      <c r="J7" s="134"/>
      <c r="K7" s="134"/>
      <c r="L7" s="134"/>
      <c r="M7" s="201"/>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202"/>
      <c r="AM7" s="202"/>
      <c r="AN7" s="130"/>
      <c r="AO7" s="130"/>
      <c r="AP7" s="130"/>
      <c r="AQ7" s="130"/>
      <c r="AR7" s="130"/>
      <c r="AS7" s="130"/>
      <c r="AT7" s="130"/>
      <c r="AU7" s="130"/>
      <c r="AV7" s="130"/>
      <c r="AW7" s="130"/>
      <c r="AX7" s="130"/>
      <c r="AY7" s="130"/>
      <c r="AZ7" s="130"/>
      <c r="BA7" s="130"/>
    </row>
    <row r="8" spans="1:53" ht="18" x14ac:dyDescent="0.25">
      <c r="A8" s="134"/>
      <c r="B8" s="134"/>
      <c r="C8" s="134"/>
      <c r="D8" s="134"/>
      <c r="E8" s="134"/>
      <c r="F8" s="134"/>
      <c r="G8" s="134"/>
      <c r="H8" s="134"/>
      <c r="I8" s="134"/>
      <c r="J8" s="134"/>
      <c r="K8" s="134"/>
      <c r="L8" s="134"/>
      <c r="M8" s="201"/>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202"/>
      <c r="AM8" s="202"/>
      <c r="AN8" s="130"/>
      <c r="AO8" s="130"/>
      <c r="AP8" s="130"/>
      <c r="AQ8" s="130"/>
      <c r="AR8" s="130"/>
      <c r="AS8" s="130"/>
      <c r="AT8" s="130"/>
      <c r="AU8" s="130"/>
      <c r="AV8" s="130"/>
      <c r="AW8" s="130"/>
      <c r="AX8" s="130"/>
      <c r="AY8" s="130"/>
      <c r="AZ8" s="130"/>
      <c r="BA8" s="130"/>
    </row>
    <row r="9" spans="1:53" x14ac:dyDescent="0.25">
      <c r="A9" s="832" t="s">
        <v>1758</v>
      </c>
      <c r="B9" s="832"/>
      <c r="C9" s="832"/>
      <c r="D9" s="832"/>
      <c r="E9" s="832"/>
      <c r="F9" s="832"/>
      <c r="G9" s="832"/>
      <c r="H9" s="832"/>
      <c r="I9" s="832"/>
      <c r="J9" s="832"/>
      <c r="K9" s="832"/>
      <c r="L9" s="832"/>
      <c r="M9" s="832"/>
      <c r="N9" s="832"/>
      <c r="O9" s="130"/>
      <c r="P9" s="130"/>
      <c r="Q9" s="130"/>
      <c r="R9" s="130"/>
      <c r="S9" s="130"/>
      <c r="T9" s="130"/>
      <c r="U9" s="130"/>
      <c r="V9" s="130"/>
      <c r="W9" s="130"/>
      <c r="X9" s="130"/>
      <c r="Y9" s="130"/>
      <c r="Z9" s="130"/>
      <c r="AA9" s="130"/>
      <c r="AB9" s="130"/>
      <c r="AC9" s="130"/>
      <c r="AD9" s="130"/>
      <c r="AE9" s="130"/>
      <c r="AF9" s="130"/>
      <c r="AG9" s="130"/>
      <c r="AH9" s="130"/>
      <c r="AI9" s="130"/>
      <c r="AJ9" s="130"/>
      <c r="AK9" s="130"/>
      <c r="AL9" s="202"/>
      <c r="AM9" s="202"/>
      <c r="AN9" s="130"/>
      <c r="AO9" s="130"/>
      <c r="AP9" s="130"/>
      <c r="AQ9" s="130"/>
      <c r="AR9" s="130"/>
      <c r="AS9" s="130"/>
      <c r="AT9" s="130"/>
      <c r="AU9" s="130"/>
      <c r="AV9" s="130"/>
      <c r="AW9" s="130"/>
      <c r="AX9" s="130"/>
      <c r="AY9" s="130"/>
      <c r="AZ9" s="130"/>
      <c r="BA9" s="130"/>
    </row>
    <row r="10" spans="1:53" ht="18" x14ac:dyDescent="0.25">
      <c r="A10" s="205"/>
      <c r="B10" s="205"/>
      <c r="C10" s="205"/>
      <c r="D10" s="205"/>
      <c r="E10" s="205"/>
      <c r="F10" s="134"/>
      <c r="G10" s="134"/>
      <c r="H10" s="134"/>
      <c r="I10" s="134"/>
      <c r="J10" s="134"/>
      <c r="K10" s="134"/>
      <c r="L10" s="134"/>
      <c r="M10" s="132"/>
      <c r="N10" s="134"/>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202"/>
      <c r="AM10" s="202"/>
      <c r="AN10" s="130"/>
      <c r="AO10" s="130"/>
      <c r="AP10" s="130"/>
      <c r="AQ10" s="130"/>
      <c r="AR10" s="130"/>
      <c r="AS10" s="130"/>
      <c r="AT10" s="130"/>
      <c r="AU10" s="130"/>
      <c r="AV10" s="130"/>
      <c r="AW10" s="130"/>
      <c r="AX10" s="130"/>
      <c r="AY10" s="130"/>
      <c r="AZ10" s="130"/>
      <c r="BA10" s="130"/>
    </row>
    <row r="11" spans="1:53" x14ac:dyDescent="0.25">
      <c r="A11" s="832" t="s">
        <v>1759</v>
      </c>
      <c r="B11" s="832"/>
      <c r="C11" s="832"/>
      <c r="D11" s="832"/>
      <c r="E11" s="832"/>
      <c r="F11" s="832"/>
      <c r="G11" s="832"/>
      <c r="H11" s="832"/>
      <c r="I11" s="832"/>
      <c r="J11" s="832"/>
      <c r="K11" s="832"/>
      <c r="L11" s="832"/>
      <c r="M11" s="832"/>
      <c r="N11" s="832"/>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202"/>
      <c r="AM11" s="202"/>
      <c r="AN11" s="130"/>
      <c r="AO11" s="130"/>
      <c r="AP11" s="130"/>
      <c r="AQ11" s="130"/>
      <c r="AR11" s="130"/>
      <c r="AS11" s="130"/>
      <c r="AT11" s="130"/>
      <c r="AU11" s="130"/>
      <c r="AV11" s="130"/>
      <c r="AW11" s="130"/>
      <c r="AX11" s="130"/>
      <c r="AY11" s="130"/>
      <c r="AZ11" s="130"/>
      <c r="BA11" s="130"/>
    </row>
    <row r="12" spans="1:53" x14ac:dyDescent="0.25">
      <c r="A12" s="127"/>
      <c r="B12" s="127"/>
      <c r="C12" s="127"/>
      <c r="D12" s="127"/>
      <c r="E12" s="127"/>
      <c r="F12" s="127"/>
      <c r="G12" s="127"/>
      <c r="H12" s="127"/>
      <c r="I12" s="127"/>
      <c r="J12" s="127"/>
      <c r="K12" s="127"/>
      <c r="L12" s="127"/>
      <c r="M12" s="201"/>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202"/>
      <c r="AM12" s="202"/>
      <c r="AN12" s="130"/>
      <c r="AO12" s="130"/>
      <c r="AP12" s="130"/>
      <c r="AQ12" s="130"/>
      <c r="AR12" s="130"/>
      <c r="AS12" s="130"/>
      <c r="AT12" s="130"/>
      <c r="AU12" s="130"/>
      <c r="AV12" s="130"/>
      <c r="AW12" s="130"/>
      <c r="AX12" s="130"/>
      <c r="AY12" s="130"/>
      <c r="AZ12" s="130"/>
      <c r="BA12" s="130"/>
    </row>
    <row r="13" spans="1:53" ht="29.25" customHeight="1" x14ac:dyDescent="0.25">
      <c r="A13" s="833" t="s">
        <v>3</v>
      </c>
      <c r="B13" s="833" t="s">
        <v>4</v>
      </c>
      <c r="C13" s="829" t="s">
        <v>5</v>
      </c>
      <c r="D13" s="829" t="s">
        <v>6</v>
      </c>
      <c r="E13" s="829" t="s">
        <v>7</v>
      </c>
      <c r="F13" s="829" t="s">
        <v>8</v>
      </c>
      <c r="G13" s="829" t="s">
        <v>9</v>
      </c>
      <c r="H13" s="829" t="s">
        <v>10</v>
      </c>
      <c r="I13" s="829" t="s">
        <v>11</v>
      </c>
      <c r="J13" s="829" t="s">
        <v>12</v>
      </c>
      <c r="K13" s="829" t="s">
        <v>13</v>
      </c>
      <c r="L13" s="829" t="s">
        <v>14</v>
      </c>
      <c r="M13" s="835" t="s">
        <v>325</v>
      </c>
      <c r="N13" s="835" t="s">
        <v>11</v>
      </c>
      <c r="O13" s="835"/>
      <c r="P13" s="835" t="s">
        <v>1760</v>
      </c>
      <c r="Q13" s="834" t="s">
        <v>15</v>
      </c>
      <c r="R13" s="834"/>
      <c r="S13" s="834"/>
      <c r="T13" s="834"/>
      <c r="U13" s="834"/>
      <c r="V13" s="834"/>
      <c r="W13" s="834"/>
      <c r="X13" s="834"/>
      <c r="Y13" s="834"/>
      <c r="Z13" s="834"/>
      <c r="AA13" s="834"/>
      <c r="AB13" s="834"/>
      <c r="AC13" s="834"/>
      <c r="AD13" s="834"/>
      <c r="AE13" s="834" t="s">
        <v>16</v>
      </c>
      <c r="AF13" s="834" t="s">
        <v>17</v>
      </c>
      <c r="AG13" s="834" t="s">
        <v>18</v>
      </c>
      <c r="AH13" s="834" t="s">
        <v>19</v>
      </c>
      <c r="AI13" s="834" t="s">
        <v>619</v>
      </c>
      <c r="AJ13" s="834" t="s">
        <v>568</v>
      </c>
      <c r="AK13" s="834" t="s">
        <v>21</v>
      </c>
      <c r="AL13" s="206"/>
      <c r="AM13" s="206"/>
      <c r="AN13" s="837" t="s">
        <v>22</v>
      </c>
      <c r="AO13" s="837"/>
      <c r="AP13" s="837"/>
      <c r="AQ13" s="837"/>
      <c r="AR13" s="837"/>
      <c r="AS13" s="837"/>
      <c r="AT13" s="837"/>
      <c r="AU13" s="837"/>
      <c r="AV13" s="837"/>
      <c r="AW13" s="837"/>
      <c r="AX13" s="837"/>
      <c r="AY13" s="837"/>
      <c r="AZ13" s="837" t="s">
        <v>23</v>
      </c>
      <c r="BA13" s="838" t="s">
        <v>24</v>
      </c>
    </row>
    <row r="14" spans="1:53" ht="81" customHeight="1" x14ac:dyDescent="0.25">
      <c r="A14" s="833"/>
      <c r="B14" s="833"/>
      <c r="C14" s="829"/>
      <c r="D14" s="829"/>
      <c r="E14" s="829"/>
      <c r="F14" s="829"/>
      <c r="G14" s="829"/>
      <c r="H14" s="829"/>
      <c r="I14" s="829"/>
      <c r="J14" s="829"/>
      <c r="K14" s="829"/>
      <c r="L14" s="829"/>
      <c r="M14" s="835"/>
      <c r="N14" s="207" t="s">
        <v>25</v>
      </c>
      <c r="O14" s="207" t="s">
        <v>26</v>
      </c>
      <c r="P14" s="835"/>
      <c r="Q14" s="208" t="s">
        <v>27</v>
      </c>
      <c r="R14" s="208" t="s">
        <v>28</v>
      </c>
      <c r="S14" s="208" t="s">
        <v>29</v>
      </c>
      <c r="T14" s="208" t="s">
        <v>623</v>
      </c>
      <c r="U14" s="208" t="s">
        <v>30</v>
      </c>
      <c r="V14" s="208" t="s">
        <v>1761</v>
      </c>
      <c r="W14" s="208" t="s">
        <v>1762</v>
      </c>
      <c r="X14" s="208" t="s">
        <v>33</v>
      </c>
      <c r="Y14" s="208" t="s">
        <v>34</v>
      </c>
      <c r="Z14" s="208" t="s">
        <v>624</v>
      </c>
      <c r="AA14" s="208" t="s">
        <v>36</v>
      </c>
      <c r="AB14" s="208" t="s">
        <v>37</v>
      </c>
      <c r="AC14" s="208" t="s">
        <v>38</v>
      </c>
      <c r="AD14" s="208" t="s">
        <v>39</v>
      </c>
      <c r="AE14" s="834"/>
      <c r="AF14" s="834"/>
      <c r="AG14" s="834"/>
      <c r="AH14" s="834"/>
      <c r="AI14" s="834"/>
      <c r="AJ14" s="834"/>
      <c r="AK14" s="841"/>
      <c r="AL14" s="209"/>
      <c r="AM14" s="209"/>
      <c r="AN14" s="210" t="s">
        <v>40</v>
      </c>
      <c r="AO14" s="210" t="s">
        <v>41</v>
      </c>
      <c r="AP14" s="210" t="s">
        <v>42</v>
      </c>
      <c r="AQ14" s="210" t="s">
        <v>43</v>
      </c>
      <c r="AR14" s="210" t="s">
        <v>42</v>
      </c>
      <c r="AS14" s="210" t="s">
        <v>44</v>
      </c>
      <c r="AT14" s="210" t="s">
        <v>44</v>
      </c>
      <c r="AU14" s="210" t="s">
        <v>43</v>
      </c>
      <c r="AV14" s="210" t="s">
        <v>45</v>
      </c>
      <c r="AW14" s="210" t="s">
        <v>46</v>
      </c>
      <c r="AX14" s="210" t="s">
        <v>47</v>
      </c>
      <c r="AY14" s="210" t="s">
        <v>48</v>
      </c>
      <c r="AZ14" s="837"/>
      <c r="BA14" s="839"/>
    </row>
    <row r="15" spans="1:53" ht="225" x14ac:dyDescent="0.25">
      <c r="A15" s="252" t="s">
        <v>49</v>
      </c>
      <c r="B15" s="252" t="s">
        <v>1451</v>
      </c>
      <c r="C15" s="252" t="s">
        <v>1763</v>
      </c>
      <c r="D15" s="252" t="s">
        <v>1764</v>
      </c>
      <c r="E15" s="253" t="s">
        <v>1765</v>
      </c>
      <c r="F15" s="252" t="s">
        <v>1766</v>
      </c>
      <c r="G15" s="252" t="s">
        <v>1767</v>
      </c>
      <c r="H15" s="253" t="s">
        <v>1768</v>
      </c>
      <c r="I15" s="253" t="s">
        <v>1769</v>
      </c>
      <c r="J15" s="251" t="s">
        <v>1770</v>
      </c>
      <c r="K15" s="176" t="s">
        <v>323</v>
      </c>
      <c r="L15" s="251">
        <v>5517</v>
      </c>
      <c r="M15" s="248">
        <f>+'[1]Plan Indicativo Infraestructura'!P15</f>
        <v>1785</v>
      </c>
      <c r="N15" s="180"/>
      <c r="O15" s="180"/>
      <c r="P15" s="223">
        <f>SUM(P16:P19)</f>
        <v>37067716.999297664</v>
      </c>
      <c r="Q15" s="242">
        <f>SUM(Q16:Q19)</f>
        <v>0</v>
      </c>
      <c r="R15" s="242">
        <f t="shared" ref="R15:AD15" si="0">SUM(R16:R19)</f>
        <v>0</v>
      </c>
      <c r="S15" s="242">
        <f t="shared" si="0"/>
        <v>0</v>
      </c>
      <c r="T15" s="242">
        <f t="shared" si="0"/>
        <v>0</v>
      </c>
      <c r="U15" s="242">
        <f t="shared" si="0"/>
        <v>808663.42379999987</v>
      </c>
      <c r="V15" s="242">
        <f t="shared" si="0"/>
        <v>0</v>
      </c>
      <c r="W15" s="242">
        <f t="shared" si="0"/>
        <v>0</v>
      </c>
      <c r="X15" s="242">
        <f t="shared" si="0"/>
        <v>0</v>
      </c>
      <c r="Y15" s="242">
        <f t="shared" si="0"/>
        <v>0</v>
      </c>
      <c r="Z15" s="242">
        <f t="shared" si="0"/>
        <v>3592511.8868999998</v>
      </c>
      <c r="AA15" s="242">
        <f t="shared" si="0"/>
        <v>0</v>
      </c>
      <c r="AB15" s="242">
        <f t="shared" si="0"/>
        <v>89812.796999999991</v>
      </c>
      <c r="AC15" s="242">
        <f t="shared" si="0"/>
        <v>0</v>
      </c>
      <c r="AD15" s="242">
        <f t="shared" si="0"/>
        <v>32576728.891597666</v>
      </c>
      <c r="AE15" s="180"/>
      <c r="AF15" s="180"/>
      <c r="AG15" s="180"/>
      <c r="AH15" s="180"/>
      <c r="AI15" s="243">
        <f>SUM(AI16:AI19)</f>
        <v>20785</v>
      </c>
      <c r="AJ15" s="243">
        <f>SUM(AJ16:AJ19)</f>
        <v>37067716.999297664</v>
      </c>
      <c r="AK15" s="243">
        <f>SUM(AK16:AK19)</f>
        <v>1785</v>
      </c>
      <c r="AL15" s="243">
        <f>SUM(AL16:AL18)</f>
        <v>2017</v>
      </c>
      <c r="AM15" s="243">
        <f>SUM(AM16:AM18)</f>
        <v>63396570.510121025</v>
      </c>
      <c r="AN15" s="180"/>
      <c r="AO15" s="180"/>
      <c r="AP15" s="180"/>
      <c r="AQ15" s="180"/>
      <c r="AR15" s="180"/>
      <c r="AS15" s="180"/>
      <c r="AT15" s="180"/>
      <c r="AU15" s="180"/>
      <c r="AV15" s="180"/>
      <c r="AW15" s="180"/>
      <c r="AX15" s="180"/>
      <c r="AY15" s="180"/>
      <c r="AZ15" s="180"/>
      <c r="BA15" s="180"/>
    </row>
    <row r="16" spans="1:53" ht="204" x14ac:dyDescent="0.25">
      <c r="A16" s="246"/>
      <c r="B16" s="246"/>
      <c r="C16" s="246"/>
      <c r="D16" s="246"/>
      <c r="E16" s="176"/>
      <c r="F16" s="246"/>
      <c r="G16" s="246"/>
      <c r="H16" s="176"/>
      <c r="I16" s="176"/>
      <c r="J16" s="251"/>
      <c r="K16" s="176"/>
      <c r="L16" s="251"/>
      <c r="M16" s="269"/>
      <c r="N16" s="180"/>
      <c r="O16" s="180"/>
      <c r="P16" s="242">
        <f>SUM(Q16:AD16)</f>
        <v>23419056.97005761</v>
      </c>
      <c r="Q16" s="245"/>
      <c r="R16" s="245"/>
      <c r="S16" s="245"/>
      <c r="T16" s="245"/>
      <c r="U16" s="245"/>
      <c r="V16" s="245"/>
      <c r="W16" s="245"/>
      <c r="X16" s="245"/>
      <c r="Y16" s="245"/>
      <c r="Z16" s="245"/>
      <c r="AA16" s="245"/>
      <c r="AB16" s="245"/>
      <c r="AC16" s="245"/>
      <c r="AD16" s="245">
        <f>60284036.383/3385*AK16</f>
        <v>23419056.97005761</v>
      </c>
      <c r="AE16" s="212" t="s">
        <v>1771</v>
      </c>
      <c r="AF16" s="230" t="s">
        <v>1772</v>
      </c>
      <c r="AG16" s="212" t="s">
        <v>1773</v>
      </c>
      <c r="AH16" s="212" t="s">
        <v>1774</v>
      </c>
      <c r="AI16" s="213">
        <f>2161*5</f>
        <v>10805</v>
      </c>
      <c r="AJ16" s="227">
        <f t="shared" ref="AJ16:AJ19" si="1">SUM(Q16:AD16)</f>
        <v>23419056.97005761</v>
      </c>
      <c r="AK16" s="214">
        <f>2161-AL16</f>
        <v>1315</v>
      </c>
      <c r="AL16" s="214">
        <v>846</v>
      </c>
      <c r="AM16" s="214">
        <f>+AJ16/AK16*AL16</f>
        <v>15066556.80355037</v>
      </c>
      <c r="AN16" s="215"/>
      <c r="AO16" s="215" t="s">
        <v>395</v>
      </c>
      <c r="AP16" s="215" t="s">
        <v>395</v>
      </c>
      <c r="AQ16" s="215" t="s">
        <v>395</v>
      </c>
      <c r="AR16" s="216" t="s">
        <v>395</v>
      </c>
      <c r="AS16" s="216" t="s">
        <v>395</v>
      </c>
      <c r="AT16" s="216" t="s">
        <v>395</v>
      </c>
      <c r="AU16" s="216" t="s">
        <v>395</v>
      </c>
      <c r="AV16" s="216"/>
      <c r="AW16" s="216"/>
      <c r="AX16" s="216"/>
      <c r="AY16" s="216"/>
      <c r="AZ16" s="212" t="s">
        <v>1775</v>
      </c>
      <c r="BA16" s="180"/>
    </row>
    <row r="17" spans="1:53" ht="60" x14ac:dyDescent="0.25">
      <c r="A17" s="246"/>
      <c r="B17" s="246"/>
      <c r="C17" s="246"/>
      <c r="D17" s="246"/>
      <c r="E17" s="176"/>
      <c r="F17" s="246"/>
      <c r="G17" s="246"/>
      <c r="H17" s="176"/>
      <c r="I17" s="176"/>
      <c r="J17" s="251"/>
      <c r="K17" s="176"/>
      <c r="L17" s="251"/>
      <c r="M17" s="269"/>
      <c r="N17" s="180"/>
      <c r="O17" s="180"/>
      <c r="P17" s="242">
        <f>SUM(Q17:AD17)</f>
        <v>160282.52100000001</v>
      </c>
      <c r="Q17" s="245"/>
      <c r="R17" s="245"/>
      <c r="S17" s="245"/>
      <c r="T17" s="245"/>
      <c r="U17" s="245"/>
      <c r="V17" s="245"/>
      <c r="W17" s="245"/>
      <c r="X17" s="245"/>
      <c r="Y17" s="245"/>
      <c r="Z17" s="245"/>
      <c r="AA17" s="245"/>
      <c r="AB17" s="245"/>
      <c r="AC17" s="245"/>
      <c r="AD17" s="245">
        <v>160282.52100000001</v>
      </c>
      <c r="AE17" s="212" t="s">
        <v>1776</v>
      </c>
      <c r="AF17" s="230" t="s">
        <v>1777</v>
      </c>
      <c r="AG17" s="217" t="s">
        <v>1778</v>
      </c>
      <c r="AH17" s="180" t="s">
        <v>580</v>
      </c>
      <c r="AI17" s="213">
        <f>9*5</f>
        <v>45</v>
      </c>
      <c r="AJ17" s="227">
        <f t="shared" si="1"/>
        <v>160282.52100000001</v>
      </c>
      <c r="AK17" s="214">
        <f>18*50%</f>
        <v>9</v>
      </c>
      <c r="AL17" s="214">
        <v>0</v>
      </c>
      <c r="AM17" s="214"/>
      <c r="AN17" s="215"/>
      <c r="AO17" s="215"/>
      <c r="AP17" s="215" t="s">
        <v>395</v>
      </c>
      <c r="AQ17" s="215" t="s">
        <v>395</v>
      </c>
      <c r="AR17" s="216" t="s">
        <v>395</v>
      </c>
      <c r="AS17" s="216" t="s">
        <v>395</v>
      </c>
      <c r="AT17" s="216" t="s">
        <v>395</v>
      </c>
      <c r="AU17" s="216" t="s">
        <v>395</v>
      </c>
      <c r="AV17" s="216"/>
      <c r="AW17" s="216"/>
      <c r="AX17" s="216"/>
      <c r="AY17" s="216"/>
      <c r="AZ17" s="212" t="s">
        <v>1775</v>
      </c>
      <c r="BA17" s="180"/>
    </row>
    <row r="18" spans="1:53" ht="127.5" x14ac:dyDescent="0.25">
      <c r="A18" s="246"/>
      <c r="B18" s="246"/>
      <c r="C18" s="246"/>
      <c r="D18" s="246"/>
      <c r="E18" s="176"/>
      <c r="F18" s="246"/>
      <c r="G18" s="246"/>
      <c r="H18" s="176"/>
      <c r="I18" s="176"/>
      <c r="J18" s="251"/>
      <c r="K18" s="176"/>
      <c r="L18" s="251"/>
      <c r="M18" s="269"/>
      <c r="N18" s="180"/>
      <c r="O18" s="180"/>
      <c r="P18" s="242">
        <f>SUM(Q18:AD18)</f>
        <v>8997389.4005400538</v>
      </c>
      <c r="Q18" s="245"/>
      <c r="R18" s="224"/>
      <c r="S18" s="224"/>
      <c r="T18" s="224"/>
      <c r="U18" s="245"/>
      <c r="V18" s="224"/>
      <c r="W18" s="224"/>
      <c r="X18" s="224"/>
      <c r="Y18" s="224"/>
      <c r="Z18" s="224"/>
      <c r="AA18" s="224"/>
      <c r="AB18" s="224"/>
      <c r="AC18" s="224"/>
      <c r="AD18" s="245">
        <f>45853668/1111*218</f>
        <v>8997389.4005400538</v>
      </c>
      <c r="AE18" s="212" t="s">
        <v>1779</v>
      </c>
      <c r="AF18" s="230" t="s">
        <v>1772</v>
      </c>
      <c r="AG18" s="217" t="s">
        <v>579</v>
      </c>
      <c r="AH18" s="180" t="s">
        <v>580</v>
      </c>
      <c r="AI18" s="213">
        <f>1744*5</f>
        <v>8720</v>
      </c>
      <c r="AJ18" s="227">
        <f t="shared" si="1"/>
        <v>8997389.4005400538</v>
      </c>
      <c r="AK18" s="214">
        <f>1389-AL18</f>
        <v>218</v>
      </c>
      <c r="AL18" s="214">
        <v>1171</v>
      </c>
      <c r="AM18" s="214">
        <f>+AJ18/AK18*AL18</f>
        <v>48330013.706570655</v>
      </c>
      <c r="AN18" s="215"/>
      <c r="AO18" s="215" t="s">
        <v>395</v>
      </c>
      <c r="AP18" s="215" t="s">
        <v>395</v>
      </c>
      <c r="AQ18" s="215" t="s">
        <v>395</v>
      </c>
      <c r="AR18" s="216"/>
      <c r="AS18" s="216"/>
      <c r="AT18" s="216"/>
      <c r="AU18" s="216"/>
      <c r="AV18" s="216"/>
      <c r="AW18" s="216"/>
      <c r="AX18" s="216"/>
      <c r="AY18" s="216"/>
      <c r="AZ18" s="212" t="s">
        <v>1775</v>
      </c>
      <c r="BA18" s="180"/>
    </row>
    <row r="19" spans="1:53" ht="178.5" x14ac:dyDescent="0.25">
      <c r="A19" s="246"/>
      <c r="B19" s="246"/>
      <c r="C19" s="246"/>
      <c r="D19" s="246"/>
      <c r="E19" s="176"/>
      <c r="F19" s="246"/>
      <c r="G19" s="246"/>
      <c r="H19" s="176"/>
      <c r="I19" s="176"/>
      <c r="J19" s="251"/>
      <c r="K19" s="176"/>
      <c r="L19" s="251"/>
      <c r="M19" s="269"/>
      <c r="N19" s="180"/>
      <c r="O19" s="180"/>
      <c r="P19" s="242">
        <f>SUM(Q19:AD19)</f>
        <v>4490988.1076999996</v>
      </c>
      <c r="Q19" s="245"/>
      <c r="R19" s="224"/>
      <c r="S19" s="224"/>
      <c r="T19" s="224"/>
      <c r="U19" s="245">
        <f>2695544.746*0.3</f>
        <v>808663.42379999987</v>
      </c>
      <c r="V19" s="224"/>
      <c r="W19" s="224"/>
      <c r="X19" s="224"/>
      <c r="Y19" s="224"/>
      <c r="Z19" s="224">
        <f>11975039.623*0.3</f>
        <v>3592511.8868999998</v>
      </c>
      <c r="AA19" s="224"/>
      <c r="AB19" s="224">
        <f>299375.99*0.3</f>
        <v>89812.796999999991</v>
      </c>
      <c r="AC19" s="224"/>
      <c r="AD19" s="245"/>
      <c r="AE19" s="212" t="s">
        <v>1780</v>
      </c>
      <c r="AF19" s="230" t="s">
        <v>1781</v>
      </c>
      <c r="AG19" s="217" t="s">
        <v>1782</v>
      </c>
      <c r="AH19" s="217" t="s">
        <v>1783</v>
      </c>
      <c r="AI19" s="213">
        <f>+AK19*5</f>
        <v>1215</v>
      </c>
      <c r="AJ19" s="227">
        <f t="shared" si="1"/>
        <v>4490988.1076999996</v>
      </c>
      <c r="AK19" s="214">
        <f>810*0.3</f>
        <v>243</v>
      </c>
      <c r="AL19" s="214"/>
      <c r="AM19" s="214"/>
      <c r="AN19" s="215"/>
      <c r="AO19" s="215" t="s">
        <v>395</v>
      </c>
      <c r="AP19" s="215" t="s">
        <v>395</v>
      </c>
      <c r="AQ19" s="215" t="s">
        <v>395</v>
      </c>
      <c r="AR19" s="215" t="s">
        <v>395</v>
      </c>
      <c r="AS19" s="215" t="s">
        <v>395</v>
      </c>
      <c r="AT19" s="215" t="s">
        <v>395</v>
      </c>
      <c r="AU19" s="215" t="s">
        <v>395</v>
      </c>
      <c r="AV19" s="215" t="s">
        <v>395</v>
      </c>
      <c r="AW19" s="215" t="s">
        <v>395</v>
      </c>
      <c r="AX19" s="215" t="s">
        <v>395</v>
      </c>
      <c r="AY19" s="215" t="s">
        <v>395</v>
      </c>
      <c r="AZ19" s="212" t="s">
        <v>1775</v>
      </c>
      <c r="BA19" s="180"/>
    </row>
    <row r="20" spans="1:53" x14ac:dyDescent="0.25">
      <c r="A20" s="246"/>
      <c r="B20" s="246"/>
      <c r="C20" s="176"/>
      <c r="D20" s="220"/>
      <c r="E20" s="176"/>
      <c r="F20" s="220"/>
      <c r="G20" s="176"/>
      <c r="H20" s="176"/>
      <c r="I20" s="247"/>
      <c r="J20" s="176"/>
      <c r="K20" s="176"/>
      <c r="L20" s="251"/>
      <c r="M20" s="269"/>
      <c r="N20" s="180"/>
      <c r="O20" s="180"/>
      <c r="P20" s="235"/>
      <c r="Q20" s="224"/>
      <c r="R20" s="224"/>
      <c r="S20" s="224"/>
      <c r="T20" s="224"/>
      <c r="U20" s="224"/>
      <c r="V20" s="224"/>
      <c r="W20" s="224"/>
      <c r="X20" s="224"/>
      <c r="Y20" s="224"/>
      <c r="Z20" s="224"/>
      <c r="AA20" s="224"/>
      <c r="AB20" s="224"/>
      <c r="AC20" s="224"/>
      <c r="AD20" s="224"/>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row>
    <row r="21" spans="1:53" ht="225" x14ac:dyDescent="0.25">
      <c r="A21" s="252" t="s">
        <v>49</v>
      </c>
      <c r="B21" s="252" t="s">
        <v>1451</v>
      </c>
      <c r="C21" s="252" t="s">
        <v>1784</v>
      </c>
      <c r="D21" s="252" t="s">
        <v>1785</v>
      </c>
      <c r="E21" s="253">
        <v>0.17</v>
      </c>
      <c r="F21" s="252" t="s">
        <v>1766</v>
      </c>
      <c r="G21" s="252" t="s">
        <v>1767</v>
      </c>
      <c r="H21" s="252" t="s">
        <v>1786</v>
      </c>
      <c r="I21" s="252" t="s">
        <v>1787</v>
      </c>
      <c r="J21" s="176">
        <v>202</v>
      </c>
      <c r="K21" s="176" t="s">
        <v>323</v>
      </c>
      <c r="L21" s="251">
        <v>2758</v>
      </c>
      <c r="M21" s="248">
        <f>+'[1]Plan Indicativo Infraestructura'!P17</f>
        <v>1000</v>
      </c>
      <c r="N21" s="180"/>
      <c r="O21" s="180"/>
      <c r="P21" s="223">
        <f>SUM(P22:P24)</f>
        <v>11350000</v>
      </c>
      <c r="Q21" s="235">
        <f>SUM(Q22:Q24)</f>
        <v>1400000</v>
      </c>
      <c r="R21" s="235">
        <f t="shared" ref="R21:AD21" si="2">SUM(R22:R24)</f>
        <v>0</v>
      </c>
      <c r="S21" s="235">
        <f t="shared" si="2"/>
        <v>0</v>
      </c>
      <c r="T21" s="235">
        <f t="shared" si="2"/>
        <v>0</v>
      </c>
      <c r="U21" s="235">
        <f t="shared" si="2"/>
        <v>0</v>
      </c>
      <c r="V21" s="235">
        <f t="shared" si="2"/>
        <v>0</v>
      </c>
      <c r="W21" s="235">
        <f t="shared" si="2"/>
        <v>0</v>
      </c>
      <c r="X21" s="235">
        <f t="shared" si="2"/>
        <v>0</v>
      </c>
      <c r="Y21" s="235">
        <f t="shared" si="2"/>
        <v>0</v>
      </c>
      <c r="Z21" s="235">
        <f t="shared" si="2"/>
        <v>9950000</v>
      </c>
      <c r="AA21" s="235">
        <f t="shared" si="2"/>
        <v>0</v>
      </c>
      <c r="AB21" s="235">
        <f t="shared" si="2"/>
        <v>0</v>
      </c>
      <c r="AC21" s="235">
        <f t="shared" si="2"/>
        <v>0</v>
      </c>
      <c r="AD21" s="235">
        <f t="shared" si="2"/>
        <v>0</v>
      </c>
      <c r="AE21" s="180"/>
      <c r="AF21" s="180"/>
      <c r="AG21" s="180"/>
      <c r="AH21" s="180"/>
      <c r="AI21" s="223">
        <f>SUM(AI22:AI24)</f>
        <v>5315</v>
      </c>
      <c r="AJ21" s="223">
        <f>SUM(AJ22:AJ24)</f>
        <v>11350000</v>
      </c>
      <c r="AK21" s="248">
        <f>SUM(AK22:AK24)</f>
        <v>1063</v>
      </c>
      <c r="AL21" s="248">
        <f>SUM(AL22:AL22)</f>
        <v>1000</v>
      </c>
      <c r="AM21" s="248"/>
      <c r="AN21" s="180"/>
      <c r="AO21" s="180"/>
      <c r="AP21" s="180"/>
      <c r="AQ21" s="180"/>
      <c r="AR21" s="180"/>
      <c r="AS21" s="180"/>
      <c r="AT21" s="180"/>
      <c r="AU21" s="180"/>
      <c r="AV21" s="180"/>
      <c r="AW21" s="180"/>
      <c r="AX21" s="180"/>
      <c r="AY21" s="180"/>
      <c r="AZ21" s="180"/>
      <c r="BA21" s="180"/>
    </row>
    <row r="22" spans="1:53" ht="153" x14ac:dyDescent="0.25">
      <c r="A22" s="246"/>
      <c r="B22" s="246"/>
      <c r="C22" s="246"/>
      <c r="D22" s="246"/>
      <c r="E22" s="176"/>
      <c r="F22" s="246"/>
      <c r="G22" s="246"/>
      <c r="H22" s="246"/>
      <c r="I22" s="246"/>
      <c r="J22" s="176"/>
      <c r="K22" s="176"/>
      <c r="L22" s="176"/>
      <c r="M22" s="269"/>
      <c r="N22" s="180"/>
      <c r="O22" s="180"/>
      <c r="P22" s="242">
        <f>SUM(Q22:AD22)</f>
        <v>10700000</v>
      </c>
      <c r="Q22" s="245">
        <v>1400000</v>
      </c>
      <c r="R22" s="245"/>
      <c r="S22" s="245"/>
      <c r="T22" s="245"/>
      <c r="U22" s="245"/>
      <c r="V22" s="245"/>
      <c r="W22" s="245"/>
      <c r="X22" s="245"/>
      <c r="Y22" s="245"/>
      <c r="Z22" s="245">
        <v>9300000</v>
      </c>
      <c r="AA22" s="245"/>
      <c r="AB22" s="245"/>
      <c r="AC22" s="245"/>
      <c r="AD22" s="235"/>
      <c r="AE22" s="249" t="s">
        <v>1788</v>
      </c>
      <c r="AF22" s="230" t="s">
        <v>1789</v>
      </c>
      <c r="AG22" s="217" t="s">
        <v>1790</v>
      </c>
      <c r="AH22" s="217" t="s">
        <v>1791</v>
      </c>
      <c r="AI22" s="214">
        <f>+AK22*5</f>
        <v>5000</v>
      </c>
      <c r="AJ22" s="227">
        <f t="shared" ref="AJ22:AJ24" si="3">SUM(Q22:AD22)</f>
        <v>10700000</v>
      </c>
      <c r="AK22" s="214">
        <v>1000</v>
      </c>
      <c r="AL22" s="214">
        <f>+AK22</f>
        <v>1000</v>
      </c>
      <c r="AM22" s="214">
        <f>+AJ22</f>
        <v>10700000</v>
      </c>
      <c r="AN22" s="215"/>
      <c r="AO22" s="215"/>
      <c r="AP22" s="215" t="s">
        <v>395</v>
      </c>
      <c r="AQ22" s="215" t="s">
        <v>395</v>
      </c>
      <c r="AR22" s="215" t="s">
        <v>395</v>
      </c>
      <c r="AS22" s="215" t="s">
        <v>395</v>
      </c>
      <c r="AT22" s="215" t="s">
        <v>395</v>
      </c>
      <c r="AU22" s="215" t="s">
        <v>395</v>
      </c>
      <c r="AV22" s="215" t="s">
        <v>395</v>
      </c>
      <c r="AW22" s="215" t="s">
        <v>395</v>
      </c>
      <c r="AX22" s="215" t="s">
        <v>395</v>
      </c>
      <c r="AY22" s="215"/>
      <c r="AZ22" s="212" t="s">
        <v>1775</v>
      </c>
      <c r="BA22" s="180"/>
    </row>
    <row r="23" spans="1:53" ht="165.75" x14ac:dyDescent="0.25">
      <c r="A23" s="246"/>
      <c r="B23" s="246"/>
      <c r="C23" s="246"/>
      <c r="D23" s="246"/>
      <c r="E23" s="176"/>
      <c r="F23" s="246"/>
      <c r="G23" s="246"/>
      <c r="H23" s="246"/>
      <c r="I23" s="246"/>
      <c r="J23" s="176"/>
      <c r="K23" s="176"/>
      <c r="L23" s="176"/>
      <c r="M23" s="269"/>
      <c r="N23" s="180"/>
      <c r="O23" s="180"/>
      <c r="P23" s="242">
        <f>SUM(Q23:AD23)</f>
        <v>300000</v>
      </c>
      <c r="Q23" s="245"/>
      <c r="R23" s="245"/>
      <c r="S23" s="245"/>
      <c r="T23" s="245"/>
      <c r="U23" s="245"/>
      <c r="V23" s="245"/>
      <c r="W23" s="245"/>
      <c r="X23" s="245"/>
      <c r="Y23" s="245"/>
      <c r="Z23" s="245">
        <v>300000</v>
      </c>
      <c r="AA23" s="245"/>
      <c r="AB23" s="245"/>
      <c r="AC23" s="245"/>
      <c r="AD23" s="235"/>
      <c r="AE23" s="249" t="s">
        <v>1792</v>
      </c>
      <c r="AF23" s="230"/>
      <c r="AG23" s="217" t="s">
        <v>1793</v>
      </c>
      <c r="AH23" s="180" t="s">
        <v>1794</v>
      </c>
      <c r="AI23" s="214">
        <f t="shared" ref="AI23:AI24" si="4">+AK23*5</f>
        <v>150</v>
      </c>
      <c r="AJ23" s="227">
        <f t="shared" si="3"/>
        <v>300000</v>
      </c>
      <c r="AK23" s="214">
        <v>30</v>
      </c>
      <c r="AL23" s="214"/>
      <c r="AM23" s="214"/>
      <c r="AN23" s="215"/>
      <c r="AO23" s="215" t="s">
        <v>395</v>
      </c>
      <c r="AP23" s="215" t="s">
        <v>395</v>
      </c>
      <c r="AQ23" s="215" t="s">
        <v>395</v>
      </c>
      <c r="AR23" s="215"/>
      <c r="AS23" s="215"/>
      <c r="AT23" s="215"/>
      <c r="AU23" s="215"/>
      <c r="AV23" s="215"/>
      <c r="AW23" s="215"/>
      <c r="AX23" s="215"/>
      <c r="AY23" s="215"/>
      <c r="AZ23" s="212" t="s">
        <v>1795</v>
      </c>
      <c r="BA23" s="180"/>
    </row>
    <row r="24" spans="1:53" ht="153" x14ac:dyDescent="0.25">
      <c r="A24" s="246"/>
      <c r="B24" s="246"/>
      <c r="C24" s="246"/>
      <c r="D24" s="246"/>
      <c r="E24" s="176"/>
      <c r="F24" s="246"/>
      <c r="G24" s="246"/>
      <c r="H24" s="246"/>
      <c r="I24" s="246"/>
      <c r="J24" s="176"/>
      <c r="K24" s="176"/>
      <c r="L24" s="176"/>
      <c r="M24" s="269"/>
      <c r="N24" s="180"/>
      <c r="O24" s="180"/>
      <c r="P24" s="242">
        <f>SUM(Q24:AD24)</f>
        <v>350000</v>
      </c>
      <c r="Q24" s="245"/>
      <c r="R24" s="245"/>
      <c r="S24" s="245"/>
      <c r="T24" s="245"/>
      <c r="U24" s="245"/>
      <c r="V24" s="245"/>
      <c r="W24" s="245"/>
      <c r="X24" s="245"/>
      <c r="Y24" s="245"/>
      <c r="Z24" s="245">
        <v>350000</v>
      </c>
      <c r="AA24" s="245"/>
      <c r="AB24" s="245"/>
      <c r="AC24" s="245"/>
      <c r="AD24" s="235"/>
      <c r="AE24" s="249" t="s">
        <v>1796</v>
      </c>
      <c r="AF24" s="230"/>
      <c r="AG24" s="217" t="s">
        <v>1797</v>
      </c>
      <c r="AH24" s="180" t="s">
        <v>1798</v>
      </c>
      <c r="AI24" s="214">
        <f t="shared" si="4"/>
        <v>165</v>
      </c>
      <c r="AJ24" s="227">
        <f t="shared" si="3"/>
        <v>350000</v>
      </c>
      <c r="AK24" s="214">
        <v>33</v>
      </c>
      <c r="AL24" s="214"/>
      <c r="AM24" s="214"/>
      <c r="AN24" s="215"/>
      <c r="AO24" s="215" t="s">
        <v>395</v>
      </c>
      <c r="AP24" s="215" t="s">
        <v>395</v>
      </c>
      <c r="AQ24" s="215" t="s">
        <v>395</v>
      </c>
      <c r="AR24" s="215"/>
      <c r="AS24" s="215"/>
      <c r="AT24" s="215"/>
      <c r="AU24" s="215"/>
      <c r="AV24" s="215"/>
      <c r="AW24" s="215"/>
      <c r="AX24" s="215"/>
      <c r="AY24" s="215"/>
      <c r="AZ24" s="212" t="s">
        <v>1795</v>
      </c>
      <c r="BA24" s="180"/>
    </row>
    <row r="25" spans="1:53" x14ac:dyDescent="0.25">
      <c r="A25" s="246"/>
      <c r="B25" s="246"/>
      <c r="C25" s="176"/>
      <c r="D25" s="220"/>
      <c r="E25" s="176"/>
      <c r="F25" s="220"/>
      <c r="G25" s="176"/>
      <c r="H25" s="176"/>
      <c r="I25" s="247"/>
      <c r="J25" s="176"/>
      <c r="K25" s="176"/>
      <c r="L25" s="251"/>
      <c r="M25" s="269"/>
      <c r="N25" s="180"/>
      <c r="O25" s="180"/>
      <c r="P25" s="235"/>
      <c r="Q25" s="224"/>
      <c r="R25" s="224"/>
      <c r="S25" s="224"/>
      <c r="T25" s="224"/>
      <c r="U25" s="224"/>
      <c r="V25" s="224"/>
      <c r="W25" s="224"/>
      <c r="X25" s="224"/>
      <c r="Y25" s="224"/>
      <c r="Z25" s="224"/>
      <c r="AA25" s="224"/>
      <c r="AB25" s="224"/>
      <c r="AC25" s="224"/>
      <c r="AD25" s="224"/>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row>
    <row r="26" spans="1:53" ht="225" x14ac:dyDescent="0.25">
      <c r="A26" s="252" t="s">
        <v>49</v>
      </c>
      <c r="B26" s="252" t="s">
        <v>1451</v>
      </c>
      <c r="C26" s="253" t="s">
        <v>1799</v>
      </c>
      <c r="D26" s="254" t="s">
        <v>1800</v>
      </c>
      <c r="E26" s="253">
        <v>0</v>
      </c>
      <c r="F26" s="254" t="s">
        <v>1766</v>
      </c>
      <c r="G26" s="252" t="s">
        <v>1767</v>
      </c>
      <c r="H26" s="253" t="s">
        <v>1799</v>
      </c>
      <c r="I26" s="24" t="s">
        <v>1800</v>
      </c>
      <c r="J26" s="176">
        <v>0</v>
      </c>
      <c r="K26" s="176" t="s">
        <v>323</v>
      </c>
      <c r="L26" s="255">
        <v>1</v>
      </c>
      <c r="M26" s="256">
        <f>+'[1]Plan Indicativo Infraestructura'!P19</f>
        <v>0.25</v>
      </c>
      <c r="N26" s="180"/>
      <c r="O26" s="180"/>
      <c r="P26" s="223">
        <f>SUM(Q26:AD26)</f>
        <v>1250000</v>
      </c>
      <c r="Q26" s="224"/>
      <c r="R26" s="224"/>
      <c r="S26" s="224"/>
      <c r="T26" s="224"/>
      <c r="U26" s="224"/>
      <c r="V26" s="224"/>
      <c r="W26" s="224"/>
      <c r="X26" s="224"/>
      <c r="Y26" s="224"/>
      <c r="Z26" s="224">
        <v>1250000</v>
      </c>
      <c r="AA26" s="224"/>
      <c r="AB26" s="224"/>
      <c r="AC26" s="224"/>
      <c r="AD26" s="235"/>
      <c r="AE26" s="180"/>
      <c r="AF26" s="180"/>
      <c r="AG26" s="180"/>
      <c r="AH26" s="180"/>
      <c r="AI26" s="180"/>
      <c r="AJ26" s="257">
        <f>SUM(Q26:AD26)</f>
        <v>1250000</v>
      </c>
      <c r="AK26" s="255">
        <v>0.25</v>
      </c>
      <c r="AL26" s="255"/>
      <c r="AM26" s="255"/>
      <c r="AN26" s="185" t="s">
        <v>395</v>
      </c>
      <c r="AO26" s="185" t="s">
        <v>395</v>
      </c>
      <c r="AP26" s="185" t="s">
        <v>395</v>
      </c>
      <c r="AQ26" s="185" t="s">
        <v>395</v>
      </c>
      <c r="AR26" s="185" t="s">
        <v>395</v>
      </c>
      <c r="AS26" s="185" t="s">
        <v>395</v>
      </c>
      <c r="AT26" s="185" t="s">
        <v>395</v>
      </c>
      <c r="AU26" s="185" t="s">
        <v>395</v>
      </c>
      <c r="AV26" s="185" t="s">
        <v>395</v>
      </c>
      <c r="AW26" s="185" t="s">
        <v>395</v>
      </c>
      <c r="AX26" s="185" t="s">
        <v>395</v>
      </c>
      <c r="AY26" s="185" t="s">
        <v>395</v>
      </c>
      <c r="AZ26" s="212" t="s">
        <v>1775</v>
      </c>
      <c r="BA26" s="180"/>
    </row>
    <row r="27" spans="1:53" x14ac:dyDescent="0.25">
      <c r="A27" s="246"/>
      <c r="B27" s="246"/>
      <c r="C27" s="176"/>
      <c r="D27" s="220"/>
      <c r="E27" s="176"/>
      <c r="F27" s="220"/>
      <c r="G27" s="176"/>
      <c r="H27" s="176"/>
      <c r="I27" s="247"/>
      <c r="J27" s="176"/>
      <c r="K27" s="176"/>
      <c r="L27" s="255"/>
      <c r="M27" s="256"/>
      <c r="N27" s="180"/>
      <c r="O27" s="180"/>
      <c r="P27" s="223"/>
      <c r="Q27" s="224"/>
      <c r="R27" s="224"/>
      <c r="S27" s="224"/>
      <c r="T27" s="224"/>
      <c r="U27" s="224"/>
      <c r="V27" s="224"/>
      <c r="W27" s="224"/>
      <c r="X27" s="224"/>
      <c r="Y27" s="224"/>
      <c r="Z27" s="224"/>
      <c r="AA27" s="224"/>
      <c r="AB27" s="224"/>
      <c r="AC27" s="224"/>
      <c r="AD27" s="224"/>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row>
    <row r="28" spans="1:53" ht="120" x14ac:dyDescent="0.25">
      <c r="A28" s="254" t="s">
        <v>201</v>
      </c>
      <c r="B28" s="254" t="s">
        <v>1801</v>
      </c>
      <c r="C28" s="254" t="s">
        <v>1802</v>
      </c>
      <c r="D28" s="254" t="s">
        <v>1803</v>
      </c>
      <c r="E28" s="253">
        <v>0.91</v>
      </c>
      <c r="F28" s="254" t="s">
        <v>1804</v>
      </c>
      <c r="G28" s="254" t="s">
        <v>1805</v>
      </c>
      <c r="H28" s="254" t="s">
        <v>1806</v>
      </c>
      <c r="I28" s="254" t="s">
        <v>1807</v>
      </c>
      <c r="J28" s="251">
        <v>238875</v>
      </c>
      <c r="K28" s="251" t="s">
        <v>323</v>
      </c>
      <c r="L28" s="251">
        <v>5000</v>
      </c>
      <c r="M28" s="248">
        <f>+'[1]Plan Indicativo Infraestructura'!P21</f>
        <v>1550</v>
      </c>
      <c r="N28" s="180"/>
      <c r="O28" s="180"/>
      <c r="P28" s="223">
        <f>SUM(P29:P38)</f>
        <v>20810121.619533442</v>
      </c>
      <c r="Q28" s="224">
        <f>SUM(Q29:Q38)</f>
        <v>5090668.983</v>
      </c>
      <c r="R28" s="224">
        <f t="shared" ref="R28:AD28" si="5">SUM(R29:R38)</f>
        <v>0</v>
      </c>
      <c r="S28" s="224">
        <f t="shared" si="5"/>
        <v>0</v>
      </c>
      <c r="T28" s="224">
        <f t="shared" si="5"/>
        <v>0</v>
      </c>
      <c r="U28" s="224">
        <f t="shared" si="5"/>
        <v>0</v>
      </c>
      <c r="V28" s="224">
        <f t="shared" si="5"/>
        <v>0</v>
      </c>
      <c r="W28" s="224">
        <f t="shared" si="5"/>
        <v>0</v>
      </c>
      <c r="X28" s="224">
        <f t="shared" si="5"/>
        <v>0</v>
      </c>
      <c r="Y28" s="224">
        <f t="shared" si="5"/>
        <v>0</v>
      </c>
      <c r="Z28" s="224">
        <f t="shared" si="5"/>
        <v>15719452.636533439</v>
      </c>
      <c r="AA28" s="224">
        <f t="shared" si="5"/>
        <v>0</v>
      </c>
      <c r="AB28" s="224">
        <f t="shared" si="5"/>
        <v>0</v>
      </c>
      <c r="AC28" s="224">
        <f t="shared" si="5"/>
        <v>0</v>
      </c>
      <c r="AD28" s="224">
        <f t="shared" si="5"/>
        <v>0</v>
      </c>
      <c r="AE28" s="180"/>
      <c r="AF28" s="180"/>
      <c r="AG28" s="180"/>
      <c r="AH28" s="180"/>
      <c r="AI28" s="257">
        <f>SUM(AI29:AI38)</f>
        <v>9220</v>
      </c>
      <c r="AJ28" s="257">
        <f>SUM(AJ29:AJ38)</f>
        <v>20810121.619533442</v>
      </c>
      <c r="AK28" s="248">
        <f>SUM(AK29:AK38)</f>
        <v>1789</v>
      </c>
      <c r="AL28" s="258">
        <f>SUM(AL29:AL38)</f>
        <v>500</v>
      </c>
      <c r="AM28" s="258"/>
      <c r="AN28" s="180"/>
      <c r="AO28" s="180"/>
      <c r="AP28" s="180"/>
      <c r="AQ28" s="180"/>
      <c r="AR28" s="180"/>
      <c r="AS28" s="180"/>
      <c r="AT28" s="180"/>
      <c r="AU28" s="180"/>
      <c r="AV28" s="180"/>
      <c r="AW28" s="180"/>
      <c r="AX28" s="180"/>
      <c r="AY28" s="180"/>
      <c r="AZ28" s="180"/>
      <c r="BA28" s="180"/>
    </row>
    <row r="29" spans="1:53" ht="216.75" x14ac:dyDescent="0.25">
      <c r="A29" s="254"/>
      <c r="B29" s="254"/>
      <c r="C29" s="254"/>
      <c r="D29" s="254"/>
      <c r="E29" s="254"/>
      <c r="F29" s="254"/>
      <c r="G29" s="254"/>
      <c r="H29" s="254"/>
      <c r="I29" s="254"/>
      <c r="J29" s="251"/>
      <c r="K29" s="251"/>
      <c r="L29" s="251"/>
      <c r="M29" s="269"/>
      <c r="N29" s="180"/>
      <c r="O29" s="180"/>
      <c r="P29" s="223">
        <f>SUM(Q29:AD29)</f>
        <v>1511925.9380000001</v>
      </c>
      <c r="Q29" s="224">
        <v>1511925.9380000001</v>
      </c>
      <c r="R29" s="224"/>
      <c r="S29" s="224"/>
      <c r="T29" s="224"/>
      <c r="U29" s="224"/>
      <c r="V29" s="224"/>
      <c r="W29" s="224"/>
      <c r="X29" s="224"/>
      <c r="Y29" s="224"/>
      <c r="Z29" s="224"/>
      <c r="AA29" s="224"/>
      <c r="AB29" s="224"/>
      <c r="AC29" s="224"/>
      <c r="AD29" s="224"/>
      <c r="AE29" s="212" t="s">
        <v>1808</v>
      </c>
      <c r="AF29" s="230"/>
      <c r="AG29" s="217" t="s">
        <v>1809</v>
      </c>
      <c r="AH29" s="180" t="s">
        <v>481</v>
      </c>
      <c r="AI29" s="214">
        <f>136*5</f>
        <v>680</v>
      </c>
      <c r="AJ29" s="227">
        <f t="shared" ref="AJ29:AJ38" si="6">SUM(Q29:AD29)</f>
        <v>1511925.9380000001</v>
      </c>
      <c r="AK29" s="185">
        <v>81</v>
      </c>
      <c r="AL29" s="185"/>
      <c r="AM29" s="185"/>
      <c r="AN29" s="180"/>
      <c r="AO29" s="185" t="s">
        <v>751</v>
      </c>
      <c r="AP29" s="185" t="s">
        <v>751</v>
      </c>
      <c r="AQ29" s="185" t="s">
        <v>751</v>
      </c>
      <c r="AR29" s="185" t="s">
        <v>751</v>
      </c>
      <c r="AS29" s="185" t="s">
        <v>751</v>
      </c>
      <c r="AT29" s="185" t="s">
        <v>751</v>
      </c>
      <c r="AU29" s="185" t="s">
        <v>751</v>
      </c>
      <c r="AV29" s="185" t="s">
        <v>751</v>
      </c>
      <c r="AW29" s="185" t="s">
        <v>751</v>
      </c>
      <c r="AX29" s="185"/>
      <c r="AY29" s="185"/>
      <c r="AZ29" s="180" t="s">
        <v>1810</v>
      </c>
      <c r="BA29" s="180"/>
    </row>
    <row r="30" spans="1:53" ht="229.5" x14ac:dyDescent="0.25">
      <c r="A30" s="254"/>
      <c r="B30" s="254"/>
      <c r="C30" s="254"/>
      <c r="D30" s="254"/>
      <c r="E30" s="254"/>
      <c r="F30" s="254"/>
      <c r="G30" s="254"/>
      <c r="H30" s="254"/>
      <c r="I30" s="254"/>
      <c r="J30" s="251"/>
      <c r="K30" s="251"/>
      <c r="L30" s="251"/>
      <c r="M30" s="269"/>
      <c r="N30" s="180"/>
      <c r="O30" s="180"/>
      <c r="P30" s="223">
        <f>SUM(Q30:AD30)</f>
        <v>1216641.4909999999</v>
      </c>
      <c r="Q30" s="224">
        <v>1216641.4909999999</v>
      </c>
      <c r="R30" s="224"/>
      <c r="S30" s="224"/>
      <c r="T30" s="224"/>
      <c r="U30" s="224"/>
      <c r="V30" s="224"/>
      <c r="W30" s="224"/>
      <c r="X30" s="224"/>
      <c r="Y30" s="224"/>
      <c r="Z30" s="224"/>
      <c r="AA30" s="224"/>
      <c r="AB30" s="224"/>
      <c r="AC30" s="224"/>
      <c r="AD30" s="224"/>
      <c r="AE30" s="212" t="s">
        <v>1811</v>
      </c>
      <c r="AF30" s="230"/>
      <c r="AG30" s="217" t="s">
        <v>1793</v>
      </c>
      <c r="AH30" s="180" t="s">
        <v>1794</v>
      </c>
      <c r="AI30" s="214">
        <f>+AK30*5</f>
        <v>215</v>
      </c>
      <c r="AJ30" s="227">
        <f t="shared" si="6"/>
        <v>1216641.4909999999</v>
      </c>
      <c r="AK30" s="185">
        <v>43</v>
      </c>
      <c r="AL30" s="185"/>
      <c r="AM30" s="185"/>
      <c r="AN30" s="180"/>
      <c r="AO30" s="185" t="s">
        <v>751</v>
      </c>
      <c r="AP30" s="185" t="s">
        <v>751</v>
      </c>
      <c r="AQ30" s="185" t="s">
        <v>751</v>
      </c>
      <c r="AR30" s="185" t="s">
        <v>751</v>
      </c>
      <c r="AS30" s="185" t="s">
        <v>751</v>
      </c>
      <c r="AT30" s="185" t="s">
        <v>751</v>
      </c>
      <c r="AU30" s="185" t="s">
        <v>751</v>
      </c>
      <c r="AV30" s="185" t="s">
        <v>751</v>
      </c>
      <c r="AW30" s="185" t="s">
        <v>751</v>
      </c>
      <c r="AX30" s="185"/>
      <c r="AY30" s="185"/>
      <c r="AZ30" s="180" t="s">
        <v>1810</v>
      </c>
      <c r="BA30" s="180"/>
    </row>
    <row r="31" spans="1:53" ht="102" x14ac:dyDescent="0.25">
      <c r="A31" s="254"/>
      <c r="B31" s="254"/>
      <c r="C31" s="254"/>
      <c r="D31" s="254"/>
      <c r="E31" s="254"/>
      <c r="F31" s="254"/>
      <c r="G31" s="254"/>
      <c r="H31" s="254"/>
      <c r="I31" s="254"/>
      <c r="J31" s="251"/>
      <c r="K31" s="251"/>
      <c r="L31" s="251"/>
      <c r="M31" s="269"/>
      <c r="N31" s="180"/>
      <c r="O31" s="180"/>
      <c r="P31" s="223">
        <f>SUM(Q31:AD31)</f>
        <v>1087714.4790000001</v>
      </c>
      <c r="Q31" s="224">
        <v>1087714.4790000001</v>
      </c>
      <c r="R31" s="224"/>
      <c r="S31" s="224"/>
      <c r="T31" s="224"/>
      <c r="U31" s="224"/>
      <c r="V31" s="224"/>
      <c r="W31" s="224"/>
      <c r="X31" s="224"/>
      <c r="Y31" s="224"/>
      <c r="Z31" s="224"/>
      <c r="AA31" s="224"/>
      <c r="AB31" s="224"/>
      <c r="AC31" s="224"/>
      <c r="AD31" s="224"/>
      <c r="AE31" s="212" t="s">
        <v>1812</v>
      </c>
      <c r="AF31" s="230" t="s">
        <v>1813</v>
      </c>
      <c r="AG31" s="217" t="s">
        <v>1814</v>
      </c>
      <c r="AH31" s="180" t="s">
        <v>1794</v>
      </c>
      <c r="AI31" s="214">
        <f t="shared" ref="AI31:AI34" si="7">+AK31*5</f>
        <v>235</v>
      </c>
      <c r="AJ31" s="227">
        <f t="shared" si="6"/>
        <v>1087714.4790000001</v>
      </c>
      <c r="AK31" s="185">
        <v>47</v>
      </c>
      <c r="AL31" s="185"/>
      <c r="AM31" s="185"/>
      <c r="AN31" s="180"/>
      <c r="AO31" s="185" t="s">
        <v>751</v>
      </c>
      <c r="AP31" s="185" t="s">
        <v>751</v>
      </c>
      <c r="AQ31" s="185" t="s">
        <v>751</v>
      </c>
      <c r="AR31" s="185" t="s">
        <v>751</v>
      </c>
      <c r="AS31" s="185" t="s">
        <v>751</v>
      </c>
      <c r="AT31" s="185" t="s">
        <v>751</v>
      </c>
      <c r="AU31" s="185" t="s">
        <v>751</v>
      </c>
      <c r="AV31" s="185" t="s">
        <v>751</v>
      </c>
      <c r="AW31" s="185" t="s">
        <v>751</v>
      </c>
      <c r="AX31" s="185"/>
      <c r="AY31" s="185"/>
      <c r="AZ31" s="180" t="s">
        <v>1810</v>
      </c>
      <c r="BA31" s="180"/>
    </row>
    <row r="32" spans="1:53" ht="63.75" x14ac:dyDescent="0.25">
      <c r="A32" s="254"/>
      <c r="B32" s="254"/>
      <c r="C32" s="254"/>
      <c r="D32" s="254"/>
      <c r="E32" s="254"/>
      <c r="F32" s="254"/>
      <c r="G32" s="254"/>
      <c r="H32" s="254"/>
      <c r="I32" s="254"/>
      <c r="J32" s="251"/>
      <c r="K32" s="251"/>
      <c r="L32" s="251"/>
      <c r="M32" s="269"/>
      <c r="N32" s="180"/>
      <c r="O32" s="180"/>
      <c r="P32" s="223">
        <f t="shared" ref="P32:P38" si="8">SUM(Q32:AD32)</f>
        <v>227000</v>
      </c>
      <c r="Q32" s="224">
        <v>227000</v>
      </c>
      <c r="R32" s="224"/>
      <c r="S32" s="224"/>
      <c r="T32" s="224"/>
      <c r="U32" s="224"/>
      <c r="V32" s="224"/>
      <c r="W32" s="224"/>
      <c r="X32" s="224"/>
      <c r="Y32" s="224"/>
      <c r="Z32" s="224"/>
      <c r="AA32" s="224"/>
      <c r="AB32" s="224"/>
      <c r="AC32" s="224"/>
      <c r="AD32" s="224"/>
      <c r="AE32" s="212" t="s">
        <v>1815</v>
      </c>
      <c r="AF32" s="230"/>
      <c r="AG32" s="217" t="s">
        <v>1814</v>
      </c>
      <c r="AH32" s="180" t="s">
        <v>1794</v>
      </c>
      <c r="AI32" s="214">
        <f t="shared" si="7"/>
        <v>95</v>
      </c>
      <c r="AJ32" s="227">
        <f t="shared" si="6"/>
        <v>227000</v>
      </c>
      <c r="AK32" s="185">
        <v>19</v>
      </c>
      <c r="AL32" s="185"/>
      <c r="AM32" s="185"/>
      <c r="AN32" s="180"/>
      <c r="AO32" s="180"/>
      <c r="AP32" s="180"/>
      <c r="AQ32" s="180"/>
      <c r="AR32" s="185" t="s">
        <v>751</v>
      </c>
      <c r="AS32" s="185" t="s">
        <v>751</v>
      </c>
      <c r="AT32" s="185" t="s">
        <v>751</v>
      </c>
      <c r="AU32" s="185" t="s">
        <v>751</v>
      </c>
      <c r="AV32" s="185"/>
      <c r="AW32" s="185"/>
      <c r="AX32" s="185"/>
      <c r="AY32" s="185"/>
      <c r="AZ32" s="180" t="s">
        <v>1810</v>
      </c>
      <c r="BA32" s="180"/>
    </row>
    <row r="33" spans="1:53" ht="89.25" x14ac:dyDescent="0.25">
      <c r="A33" s="254"/>
      <c r="B33" s="254"/>
      <c r="C33" s="254"/>
      <c r="D33" s="254"/>
      <c r="E33" s="254"/>
      <c r="F33" s="254"/>
      <c r="G33" s="254"/>
      <c r="H33" s="254"/>
      <c r="I33" s="254"/>
      <c r="J33" s="251"/>
      <c r="K33" s="251"/>
      <c r="L33" s="251"/>
      <c r="M33" s="269"/>
      <c r="N33" s="180"/>
      <c r="O33" s="180"/>
      <c r="P33" s="223">
        <f t="shared" si="8"/>
        <v>379973.62699999998</v>
      </c>
      <c r="Q33" s="224">
        <v>379973.62699999998</v>
      </c>
      <c r="R33" s="224"/>
      <c r="S33" s="224"/>
      <c r="T33" s="224"/>
      <c r="U33" s="224"/>
      <c r="V33" s="224"/>
      <c r="W33" s="224"/>
      <c r="X33" s="224"/>
      <c r="Y33" s="224"/>
      <c r="Z33" s="224"/>
      <c r="AA33" s="224"/>
      <c r="AB33" s="224"/>
      <c r="AC33" s="224"/>
      <c r="AD33" s="224"/>
      <c r="AE33" s="212" t="s">
        <v>1816</v>
      </c>
      <c r="AF33" s="230" t="s">
        <v>1817</v>
      </c>
      <c r="AG33" s="217" t="s">
        <v>1818</v>
      </c>
      <c r="AH33" s="180" t="s">
        <v>1798</v>
      </c>
      <c r="AI33" s="214">
        <f t="shared" si="7"/>
        <v>120</v>
      </c>
      <c r="AJ33" s="227">
        <f t="shared" si="6"/>
        <v>379973.62699999998</v>
      </c>
      <c r="AK33" s="185">
        <v>24</v>
      </c>
      <c r="AL33" s="185"/>
      <c r="AM33" s="185"/>
      <c r="AN33" s="180"/>
      <c r="AO33" s="185" t="s">
        <v>751</v>
      </c>
      <c r="AP33" s="185" t="s">
        <v>751</v>
      </c>
      <c r="AQ33" s="185" t="s">
        <v>751</v>
      </c>
      <c r="AR33" s="185" t="s">
        <v>751</v>
      </c>
      <c r="AS33" s="180"/>
      <c r="AT33" s="180"/>
      <c r="AU33" s="180"/>
      <c r="AV33" s="185"/>
      <c r="AW33" s="185"/>
      <c r="AX33" s="185"/>
      <c r="AY33" s="185"/>
      <c r="AZ33" s="180" t="s">
        <v>1810</v>
      </c>
      <c r="BA33" s="180"/>
    </row>
    <row r="34" spans="1:53" ht="63.75" x14ac:dyDescent="0.25">
      <c r="A34" s="254"/>
      <c r="B34" s="254"/>
      <c r="C34" s="254"/>
      <c r="D34" s="254"/>
      <c r="E34" s="254"/>
      <c r="F34" s="254"/>
      <c r="G34" s="254"/>
      <c r="H34" s="254"/>
      <c r="I34" s="254"/>
      <c r="J34" s="251"/>
      <c r="K34" s="251"/>
      <c r="L34" s="251"/>
      <c r="M34" s="269"/>
      <c r="N34" s="180"/>
      <c r="O34" s="180"/>
      <c r="P34" s="223">
        <f t="shared" si="8"/>
        <v>399988.44799999997</v>
      </c>
      <c r="Q34" s="224">
        <v>399988.44799999997</v>
      </c>
      <c r="R34" s="224"/>
      <c r="S34" s="224"/>
      <c r="T34" s="224"/>
      <c r="U34" s="224"/>
      <c r="V34" s="224"/>
      <c r="W34" s="224"/>
      <c r="X34" s="224"/>
      <c r="Y34" s="224"/>
      <c r="Z34" s="224"/>
      <c r="AA34" s="224"/>
      <c r="AB34" s="224"/>
      <c r="AC34" s="224"/>
      <c r="AD34" s="224"/>
      <c r="AE34" s="212" t="s">
        <v>1819</v>
      </c>
      <c r="AF34" s="230"/>
      <c r="AG34" s="217" t="s">
        <v>579</v>
      </c>
      <c r="AH34" s="180" t="s">
        <v>580</v>
      </c>
      <c r="AI34" s="214">
        <f t="shared" si="7"/>
        <v>130</v>
      </c>
      <c r="AJ34" s="227">
        <f t="shared" si="6"/>
        <v>399988.44799999997</v>
      </c>
      <c r="AK34" s="185">
        <v>26</v>
      </c>
      <c r="AL34" s="185"/>
      <c r="AM34" s="185"/>
      <c r="AN34" s="180"/>
      <c r="AO34" s="185" t="s">
        <v>751</v>
      </c>
      <c r="AP34" s="185" t="s">
        <v>751</v>
      </c>
      <c r="AQ34" s="185" t="s">
        <v>751</v>
      </c>
      <c r="AR34" s="185" t="s">
        <v>751</v>
      </c>
      <c r="AS34" s="180"/>
      <c r="AT34" s="180"/>
      <c r="AU34" s="180"/>
      <c r="AV34" s="185"/>
      <c r="AW34" s="185"/>
      <c r="AX34" s="185"/>
      <c r="AY34" s="185"/>
      <c r="AZ34" s="180" t="s">
        <v>1810</v>
      </c>
      <c r="BA34" s="180"/>
    </row>
    <row r="35" spans="1:53" ht="140.25" x14ac:dyDescent="0.25">
      <c r="A35" s="254"/>
      <c r="B35" s="254"/>
      <c r="C35" s="254"/>
      <c r="D35" s="254"/>
      <c r="E35" s="254"/>
      <c r="F35" s="254"/>
      <c r="G35" s="254"/>
      <c r="H35" s="254"/>
      <c r="I35" s="254"/>
      <c r="J35" s="251"/>
      <c r="K35" s="251"/>
      <c r="L35" s="251"/>
      <c r="M35" s="269"/>
      <c r="N35" s="180"/>
      <c r="O35" s="180"/>
      <c r="P35" s="223">
        <f t="shared" si="8"/>
        <v>1002521.6215334395</v>
      </c>
      <c r="Q35" s="224"/>
      <c r="R35" s="224"/>
      <c r="S35" s="224"/>
      <c r="T35" s="224"/>
      <c r="U35" s="224"/>
      <c r="V35" s="224"/>
      <c r="W35" s="224"/>
      <c r="X35" s="224"/>
      <c r="Y35" s="224"/>
      <c r="Z35" s="224">
        <f>5438458*0.184339314845024</f>
        <v>1002521.6215334395</v>
      </c>
      <c r="AA35" s="224"/>
      <c r="AB35" s="224"/>
      <c r="AC35" s="224"/>
      <c r="AD35" s="224"/>
      <c r="AE35" s="212" t="s">
        <v>1820</v>
      </c>
      <c r="AF35" s="230"/>
      <c r="AG35" s="217" t="s">
        <v>1821</v>
      </c>
      <c r="AH35" s="180" t="s">
        <v>1798</v>
      </c>
      <c r="AI35" s="214">
        <f>+AK35*5</f>
        <v>565</v>
      </c>
      <c r="AJ35" s="227">
        <f t="shared" si="6"/>
        <v>1002521.6215334395</v>
      </c>
      <c r="AK35" s="185">
        <f>613-AL35</f>
        <v>113</v>
      </c>
      <c r="AL35" s="185">
        <v>500</v>
      </c>
      <c r="AM35" s="185"/>
      <c r="AN35" s="185" t="s">
        <v>751</v>
      </c>
      <c r="AO35" s="185" t="s">
        <v>751</v>
      </c>
      <c r="AP35" s="185" t="s">
        <v>751</v>
      </c>
      <c r="AQ35" s="185" t="s">
        <v>751</v>
      </c>
      <c r="AR35" s="185" t="s">
        <v>751</v>
      </c>
      <c r="AS35" s="185" t="s">
        <v>751</v>
      </c>
      <c r="AT35" s="185" t="s">
        <v>751</v>
      </c>
      <c r="AU35" s="185" t="s">
        <v>751</v>
      </c>
      <c r="AV35" s="185" t="s">
        <v>751</v>
      </c>
      <c r="AW35" s="185" t="s">
        <v>751</v>
      </c>
      <c r="AX35" s="185"/>
      <c r="AY35" s="185"/>
      <c r="AZ35" s="180" t="s">
        <v>1810</v>
      </c>
      <c r="BA35" s="180"/>
    </row>
    <row r="36" spans="1:53" ht="89.25" x14ac:dyDescent="0.25">
      <c r="A36" s="254"/>
      <c r="B36" s="254"/>
      <c r="C36" s="254"/>
      <c r="D36" s="254"/>
      <c r="E36" s="254"/>
      <c r="F36" s="254"/>
      <c r="G36" s="254"/>
      <c r="H36" s="254"/>
      <c r="I36" s="254"/>
      <c r="J36" s="251"/>
      <c r="K36" s="251"/>
      <c r="L36" s="251"/>
      <c r="M36" s="269"/>
      <c r="N36" s="180"/>
      <c r="O36" s="180"/>
      <c r="P36" s="223">
        <f t="shared" si="8"/>
        <v>134000</v>
      </c>
      <c r="Q36" s="224">
        <v>134000</v>
      </c>
      <c r="R36" s="224"/>
      <c r="S36" s="224"/>
      <c r="T36" s="224"/>
      <c r="U36" s="224"/>
      <c r="V36" s="224"/>
      <c r="W36" s="224"/>
      <c r="X36" s="224"/>
      <c r="Y36" s="224"/>
      <c r="Z36" s="224"/>
      <c r="AA36" s="224"/>
      <c r="AB36" s="224"/>
      <c r="AC36" s="224"/>
      <c r="AD36" s="224"/>
      <c r="AE36" s="212" t="s">
        <v>1822</v>
      </c>
      <c r="AF36" s="230"/>
      <c r="AG36" s="217" t="s">
        <v>1823</v>
      </c>
      <c r="AH36" s="180" t="s">
        <v>481</v>
      </c>
      <c r="AI36" s="214">
        <f>+AK36*5</f>
        <v>420</v>
      </c>
      <c r="AJ36" s="227">
        <f t="shared" si="6"/>
        <v>134000</v>
      </c>
      <c r="AK36" s="185">
        <v>84</v>
      </c>
      <c r="AL36" s="185"/>
      <c r="AM36" s="185"/>
      <c r="AN36" s="180"/>
      <c r="AO36" s="180"/>
      <c r="AP36" s="180"/>
      <c r="AQ36" s="180"/>
      <c r="AR36" s="185" t="s">
        <v>751</v>
      </c>
      <c r="AS36" s="185" t="s">
        <v>751</v>
      </c>
      <c r="AT36" s="185" t="s">
        <v>751</v>
      </c>
      <c r="AU36" s="180"/>
      <c r="AV36" s="185"/>
      <c r="AW36" s="185"/>
      <c r="AX36" s="185"/>
      <c r="AY36" s="185"/>
      <c r="AZ36" s="180" t="s">
        <v>1810</v>
      </c>
      <c r="BA36" s="180"/>
    </row>
    <row r="37" spans="1:53" ht="153" x14ac:dyDescent="0.25">
      <c r="A37" s="254"/>
      <c r="B37" s="254"/>
      <c r="C37" s="254"/>
      <c r="D37" s="254"/>
      <c r="E37" s="254"/>
      <c r="F37" s="254"/>
      <c r="G37" s="254"/>
      <c r="H37" s="254"/>
      <c r="I37" s="254"/>
      <c r="J37" s="251"/>
      <c r="K37" s="251"/>
      <c r="L37" s="251"/>
      <c r="M37" s="269"/>
      <c r="N37" s="180"/>
      <c r="O37" s="180"/>
      <c r="P37" s="223">
        <f t="shared" ref="P37" si="9">SUM(Q37:AD37)</f>
        <v>133425</v>
      </c>
      <c r="Q37" s="224">
        <v>133425</v>
      </c>
      <c r="R37" s="224"/>
      <c r="S37" s="224"/>
      <c r="T37" s="224"/>
      <c r="U37" s="224"/>
      <c r="V37" s="224"/>
      <c r="W37" s="224"/>
      <c r="X37" s="224"/>
      <c r="Y37" s="224"/>
      <c r="Z37" s="224"/>
      <c r="AA37" s="224"/>
      <c r="AB37" s="224"/>
      <c r="AC37" s="224"/>
      <c r="AD37" s="224"/>
      <c r="AE37" s="212" t="s">
        <v>1824</v>
      </c>
      <c r="AF37" s="230"/>
      <c r="AG37" s="217" t="s">
        <v>1825</v>
      </c>
      <c r="AH37" s="180" t="s">
        <v>1826</v>
      </c>
      <c r="AI37" s="214">
        <f>17*5</f>
        <v>85</v>
      </c>
      <c r="AJ37" s="227">
        <f t="shared" si="6"/>
        <v>133425</v>
      </c>
      <c r="AK37" s="185">
        <v>17</v>
      </c>
      <c r="AL37" s="185"/>
      <c r="AM37" s="185"/>
      <c r="AN37" s="180"/>
      <c r="AO37" s="180"/>
      <c r="AP37" s="180"/>
      <c r="AQ37" s="180"/>
      <c r="AR37" s="185" t="s">
        <v>751</v>
      </c>
      <c r="AS37" s="185" t="s">
        <v>751</v>
      </c>
      <c r="AT37" s="185" t="s">
        <v>751</v>
      </c>
      <c r="AU37" s="180"/>
      <c r="AV37" s="185"/>
      <c r="AW37" s="185"/>
      <c r="AX37" s="185"/>
      <c r="AY37" s="185"/>
      <c r="AZ37" s="180" t="s">
        <v>1810</v>
      </c>
      <c r="BA37" s="180"/>
    </row>
    <row r="38" spans="1:53" ht="191.25" x14ac:dyDescent="0.25">
      <c r="A38" s="254"/>
      <c r="B38" s="254"/>
      <c r="C38" s="254"/>
      <c r="D38" s="254"/>
      <c r="E38" s="254"/>
      <c r="F38" s="254"/>
      <c r="G38" s="254"/>
      <c r="H38" s="254"/>
      <c r="I38" s="254"/>
      <c r="J38" s="251"/>
      <c r="K38" s="251"/>
      <c r="L38" s="251"/>
      <c r="M38" s="269"/>
      <c r="N38" s="180"/>
      <c r="O38" s="180"/>
      <c r="P38" s="223">
        <f t="shared" si="8"/>
        <v>14716931.015000001</v>
      </c>
      <c r="Q38" s="224"/>
      <c r="R38" s="224"/>
      <c r="S38" s="224"/>
      <c r="T38" s="224"/>
      <c r="U38" s="224"/>
      <c r="V38" s="224"/>
      <c r="W38" s="224"/>
      <c r="X38" s="224"/>
      <c r="Y38" s="224"/>
      <c r="Z38" s="224">
        <v>14716931.015000001</v>
      </c>
      <c r="AA38" s="224"/>
      <c r="AB38" s="224"/>
      <c r="AC38" s="224"/>
      <c r="AD38" s="224"/>
      <c r="AE38" s="212" t="s">
        <v>1827</v>
      </c>
      <c r="AF38" s="230"/>
      <c r="AG38" s="217" t="s">
        <v>1828</v>
      </c>
      <c r="AH38" s="180" t="s">
        <v>1794</v>
      </c>
      <c r="AI38" s="214">
        <v>6675</v>
      </c>
      <c r="AJ38" s="227">
        <f t="shared" si="6"/>
        <v>14716931.015000001</v>
      </c>
      <c r="AK38" s="185">
        <v>1335</v>
      </c>
      <c r="AL38" s="185"/>
      <c r="AM38" s="185"/>
      <c r="AN38" s="180"/>
      <c r="AO38" s="180"/>
      <c r="AP38" s="180"/>
      <c r="AQ38" s="180"/>
      <c r="AR38" s="185" t="s">
        <v>751</v>
      </c>
      <c r="AS38" s="185" t="s">
        <v>751</v>
      </c>
      <c r="AT38" s="185" t="s">
        <v>751</v>
      </c>
      <c r="AU38" s="185" t="s">
        <v>751</v>
      </c>
      <c r="AV38" s="185" t="s">
        <v>751</v>
      </c>
      <c r="AW38" s="185" t="s">
        <v>751</v>
      </c>
      <c r="AX38" s="185" t="s">
        <v>751</v>
      </c>
      <c r="AY38" s="185" t="s">
        <v>751</v>
      </c>
      <c r="AZ38" s="180" t="s">
        <v>1810</v>
      </c>
      <c r="BA38" s="180"/>
    </row>
    <row r="39" spans="1:53" x14ac:dyDescent="0.25">
      <c r="A39" s="220"/>
      <c r="B39" s="220"/>
      <c r="C39" s="176"/>
      <c r="D39" s="246"/>
      <c r="E39" s="176"/>
      <c r="F39" s="259"/>
      <c r="G39" s="220"/>
      <c r="H39" s="176"/>
      <c r="I39" s="220"/>
      <c r="J39" s="176"/>
      <c r="K39" s="176"/>
      <c r="L39" s="251"/>
      <c r="M39" s="269"/>
      <c r="N39" s="180"/>
      <c r="O39" s="180"/>
      <c r="P39" s="223"/>
      <c r="Q39" s="224"/>
      <c r="R39" s="224"/>
      <c r="S39" s="224"/>
      <c r="T39" s="224"/>
      <c r="U39" s="224"/>
      <c r="V39" s="224"/>
      <c r="W39" s="224"/>
      <c r="X39" s="224"/>
      <c r="Y39" s="224"/>
      <c r="Z39" s="224"/>
      <c r="AA39" s="224"/>
      <c r="AB39" s="224"/>
      <c r="AC39" s="224"/>
      <c r="AD39" s="224"/>
      <c r="AE39" s="180"/>
      <c r="AF39" s="180"/>
      <c r="AG39" s="219"/>
      <c r="AH39" s="180"/>
      <c r="AI39" s="214"/>
      <c r="AJ39" s="180"/>
      <c r="AK39" s="185"/>
      <c r="AL39" s="185"/>
      <c r="AM39" s="185"/>
      <c r="AN39" s="180"/>
      <c r="AO39" s="180"/>
      <c r="AP39" s="180"/>
      <c r="AQ39" s="180"/>
      <c r="AR39" s="180"/>
      <c r="AS39" s="180"/>
      <c r="AT39" s="180"/>
      <c r="AU39" s="180"/>
      <c r="AV39" s="180"/>
      <c r="AW39" s="180"/>
      <c r="AX39" s="180"/>
      <c r="AY39" s="180"/>
      <c r="AZ39" s="180"/>
      <c r="BA39" s="180"/>
    </row>
    <row r="40" spans="1:53" ht="180" x14ac:dyDescent="0.25">
      <c r="A40" s="254" t="s">
        <v>201</v>
      </c>
      <c r="B40" s="254" t="s">
        <v>1801</v>
      </c>
      <c r="C40" s="254" t="s">
        <v>1829</v>
      </c>
      <c r="D40" s="254" t="s">
        <v>1830</v>
      </c>
      <c r="E40" s="253">
        <v>58.46</v>
      </c>
      <c r="F40" s="254" t="s">
        <v>1831</v>
      </c>
      <c r="G40" s="254" t="s">
        <v>1832</v>
      </c>
      <c r="H40" s="254" t="s">
        <v>1833</v>
      </c>
      <c r="I40" s="254" t="s">
        <v>1834</v>
      </c>
      <c r="J40" s="251">
        <v>0</v>
      </c>
      <c r="K40" s="251" t="s">
        <v>323</v>
      </c>
      <c r="L40" s="277">
        <v>2</v>
      </c>
      <c r="M40" s="258">
        <f>+'[1]Plan Indicativo Infraestructura'!P23</f>
        <v>1</v>
      </c>
      <c r="N40" s="180"/>
      <c r="O40" s="180"/>
      <c r="P40" s="223">
        <f>SUM(P41:P41)</f>
        <v>840000</v>
      </c>
      <c r="Q40" s="224">
        <f>SUM(Q41:Q41)</f>
        <v>840000</v>
      </c>
      <c r="R40" s="224">
        <f t="shared" ref="R40:AD40" si="10">SUM(R41:R41)</f>
        <v>0</v>
      </c>
      <c r="S40" s="224">
        <f t="shared" si="10"/>
        <v>0</v>
      </c>
      <c r="T40" s="224">
        <f t="shared" si="10"/>
        <v>0</v>
      </c>
      <c r="U40" s="224">
        <f t="shared" si="10"/>
        <v>0</v>
      </c>
      <c r="V40" s="224">
        <f t="shared" si="10"/>
        <v>0</v>
      </c>
      <c r="W40" s="224">
        <f t="shared" si="10"/>
        <v>0</v>
      </c>
      <c r="X40" s="224">
        <f t="shared" si="10"/>
        <v>0</v>
      </c>
      <c r="Y40" s="224">
        <f t="shared" si="10"/>
        <v>0</v>
      </c>
      <c r="Z40" s="224">
        <f t="shared" si="10"/>
        <v>0</v>
      </c>
      <c r="AA40" s="224">
        <f t="shared" si="10"/>
        <v>0</v>
      </c>
      <c r="AB40" s="224">
        <f t="shared" si="10"/>
        <v>0</v>
      </c>
      <c r="AC40" s="224">
        <f t="shared" si="10"/>
        <v>0</v>
      </c>
      <c r="AD40" s="224">
        <f t="shared" si="10"/>
        <v>0</v>
      </c>
      <c r="AE40" s="180"/>
      <c r="AF40" s="180"/>
      <c r="AG40" s="180"/>
      <c r="AH40" s="180"/>
      <c r="AI40" s="257">
        <f>SUM(AI41:AI41)</f>
        <v>4000</v>
      </c>
      <c r="AJ40" s="257">
        <f>SUM(AJ41:AJ41)</f>
        <v>840000</v>
      </c>
      <c r="AK40" s="258">
        <f>SUM(AK41:AK41)</f>
        <v>1</v>
      </c>
      <c r="AL40" s="258"/>
      <c r="AM40" s="258"/>
      <c r="AN40" s="180"/>
      <c r="AO40" s="180"/>
      <c r="AP40" s="180"/>
      <c r="AQ40" s="180"/>
      <c r="AR40" s="180"/>
      <c r="AS40" s="180"/>
      <c r="AT40" s="180"/>
      <c r="AU40" s="180"/>
      <c r="AV40" s="180"/>
      <c r="AW40" s="180"/>
      <c r="AX40" s="180"/>
      <c r="AY40" s="180"/>
      <c r="AZ40" s="180"/>
      <c r="BA40" s="180"/>
    </row>
    <row r="41" spans="1:53" ht="140.25" x14ac:dyDescent="0.25">
      <c r="A41" s="220"/>
      <c r="B41" s="220"/>
      <c r="C41" s="220"/>
      <c r="D41" s="220"/>
      <c r="E41" s="220"/>
      <c r="F41" s="220"/>
      <c r="G41" s="220"/>
      <c r="H41" s="220"/>
      <c r="I41" s="220"/>
      <c r="J41" s="251"/>
      <c r="K41" s="251"/>
      <c r="L41" s="251"/>
      <c r="M41" s="269"/>
      <c r="N41" s="180"/>
      <c r="O41" s="180"/>
      <c r="P41" s="223">
        <f>SUM(Q41:AD41)</f>
        <v>840000</v>
      </c>
      <c r="Q41" s="224">
        <v>840000</v>
      </c>
      <c r="R41" s="224"/>
      <c r="S41" s="224"/>
      <c r="T41" s="224"/>
      <c r="U41" s="224"/>
      <c r="V41" s="224"/>
      <c r="W41" s="224"/>
      <c r="X41" s="224"/>
      <c r="Y41" s="224"/>
      <c r="Z41" s="224"/>
      <c r="AA41" s="224"/>
      <c r="AB41" s="224"/>
      <c r="AC41" s="224"/>
      <c r="AD41" s="224"/>
      <c r="AE41" s="212" t="s">
        <v>1835</v>
      </c>
      <c r="AF41" s="230"/>
      <c r="AG41" s="217" t="s">
        <v>1825</v>
      </c>
      <c r="AH41" s="180" t="s">
        <v>580</v>
      </c>
      <c r="AI41" s="214">
        <v>4000</v>
      </c>
      <c r="AJ41" s="227">
        <f>SUM(Q41:AD41)</f>
        <v>840000</v>
      </c>
      <c r="AK41" s="185">
        <v>1</v>
      </c>
      <c r="AL41" s="185"/>
      <c r="AM41" s="185"/>
      <c r="AN41" s="180"/>
      <c r="AO41" s="180"/>
      <c r="AP41" s="180"/>
      <c r="AQ41" s="180"/>
      <c r="AR41" s="185" t="s">
        <v>751</v>
      </c>
      <c r="AS41" s="185" t="s">
        <v>751</v>
      </c>
      <c r="AT41" s="185" t="s">
        <v>751</v>
      </c>
      <c r="AU41" s="185" t="s">
        <v>751</v>
      </c>
      <c r="AV41" s="185" t="s">
        <v>751</v>
      </c>
      <c r="AW41" s="185" t="s">
        <v>751</v>
      </c>
      <c r="AX41" s="185" t="s">
        <v>751</v>
      </c>
      <c r="AY41" s="185" t="s">
        <v>751</v>
      </c>
      <c r="AZ41" s="180" t="s">
        <v>1810</v>
      </c>
      <c r="BA41" s="180"/>
    </row>
    <row r="42" spans="1:53" x14ac:dyDescent="0.25">
      <c r="A42" s="220"/>
      <c r="B42" s="220"/>
      <c r="C42" s="176"/>
      <c r="D42" s="220"/>
      <c r="E42" s="176"/>
      <c r="F42" s="259"/>
      <c r="G42" s="176"/>
      <c r="H42" s="176"/>
      <c r="I42" s="220"/>
      <c r="J42" s="176"/>
      <c r="K42" s="176"/>
      <c r="L42" s="251"/>
      <c r="M42" s="269"/>
      <c r="N42" s="180"/>
      <c r="O42" s="180"/>
      <c r="P42" s="223"/>
      <c r="Q42" s="224"/>
      <c r="R42" s="224"/>
      <c r="S42" s="224"/>
      <c r="T42" s="224"/>
      <c r="U42" s="224"/>
      <c r="V42" s="224"/>
      <c r="W42" s="224"/>
      <c r="X42" s="224"/>
      <c r="Y42" s="224"/>
      <c r="Z42" s="224"/>
      <c r="AA42" s="224"/>
      <c r="AB42" s="224"/>
      <c r="AC42" s="224"/>
      <c r="AD42" s="224"/>
      <c r="AE42" s="224"/>
      <c r="AF42" s="224"/>
      <c r="AG42" s="217"/>
      <c r="AH42" s="180"/>
      <c r="AI42" s="214"/>
      <c r="AJ42" s="227"/>
      <c r="AK42" s="185"/>
      <c r="AL42" s="185"/>
      <c r="AM42" s="185"/>
      <c r="AN42" s="180"/>
      <c r="AO42" s="180"/>
      <c r="AP42" s="180"/>
      <c r="AQ42" s="180"/>
      <c r="AR42" s="180"/>
      <c r="AS42" s="180"/>
      <c r="AT42" s="180"/>
      <c r="AU42" s="185"/>
      <c r="AV42" s="185"/>
      <c r="AW42" s="185"/>
      <c r="AX42" s="185"/>
      <c r="AY42" s="185"/>
      <c r="AZ42" s="180"/>
      <c r="BA42" s="180"/>
    </row>
    <row r="43" spans="1:53" ht="225" x14ac:dyDescent="0.25">
      <c r="A43" s="254" t="s">
        <v>201</v>
      </c>
      <c r="B43" s="254" t="s">
        <v>1801</v>
      </c>
      <c r="C43" s="254" t="s">
        <v>1836</v>
      </c>
      <c r="D43" s="254" t="s">
        <v>1837</v>
      </c>
      <c r="E43" s="254" t="s">
        <v>1838</v>
      </c>
      <c r="F43" s="254" t="s">
        <v>1839</v>
      </c>
      <c r="G43" s="254" t="s">
        <v>1840</v>
      </c>
      <c r="H43" s="254" t="s">
        <v>1841</v>
      </c>
      <c r="I43" s="254" t="s">
        <v>1842</v>
      </c>
      <c r="J43" s="251">
        <v>1</v>
      </c>
      <c r="K43" s="251" t="s">
        <v>1843</v>
      </c>
      <c r="L43" s="277">
        <v>5</v>
      </c>
      <c r="M43" s="258">
        <f>+'[1]Plan Indicativo Infraestructura'!P25</f>
        <v>1</v>
      </c>
      <c r="N43" s="180"/>
      <c r="O43" s="180"/>
      <c r="P43" s="223">
        <f>SUM(P44)</f>
        <v>2481676.838</v>
      </c>
      <c r="Q43" s="224">
        <f>SUM(Q44)</f>
        <v>2481676.838</v>
      </c>
      <c r="R43" s="224">
        <f t="shared" ref="R43:AD43" si="11">SUM(R44)</f>
        <v>0</v>
      </c>
      <c r="S43" s="224">
        <f t="shared" si="11"/>
        <v>0</v>
      </c>
      <c r="T43" s="224">
        <f t="shared" si="11"/>
        <v>0</v>
      </c>
      <c r="U43" s="224">
        <f t="shared" si="11"/>
        <v>0</v>
      </c>
      <c r="V43" s="224">
        <f t="shared" si="11"/>
        <v>0</v>
      </c>
      <c r="W43" s="224">
        <f t="shared" si="11"/>
        <v>0</v>
      </c>
      <c r="X43" s="224">
        <f t="shared" si="11"/>
        <v>0</v>
      </c>
      <c r="Y43" s="224">
        <f t="shared" si="11"/>
        <v>0</v>
      </c>
      <c r="Z43" s="224">
        <f t="shared" si="11"/>
        <v>0</v>
      </c>
      <c r="AA43" s="224">
        <f t="shared" si="11"/>
        <v>0</v>
      </c>
      <c r="AB43" s="224">
        <f t="shared" si="11"/>
        <v>0</v>
      </c>
      <c r="AC43" s="224">
        <f t="shared" si="11"/>
        <v>0</v>
      </c>
      <c r="AD43" s="224">
        <f t="shared" si="11"/>
        <v>0</v>
      </c>
      <c r="AE43" s="180"/>
      <c r="AF43" s="180"/>
      <c r="AG43" s="180"/>
      <c r="AH43" s="180"/>
      <c r="AI43" s="257">
        <f>SUM(AI44)</f>
        <v>1750</v>
      </c>
      <c r="AJ43" s="257">
        <f>SUM(AJ44)</f>
        <v>2481676.838</v>
      </c>
      <c r="AK43" s="258">
        <f>SUM(AK44)</f>
        <v>1</v>
      </c>
      <c r="AL43" s="258"/>
      <c r="AM43" s="258"/>
      <c r="AN43" s="180"/>
      <c r="AO43" s="180"/>
      <c r="AP43" s="180"/>
      <c r="AQ43" s="180"/>
      <c r="AR43" s="180"/>
      <c r="AS43" s="180"/>
      <c r="AT43" s="180"/>
      <c r="AU43" s="180"/>
      <c r="AV43" s="180"/>
      <c r="AW43" s="180"/>
      <c r="AX43" s="180"/>
      <c r="AY43" s="180"/>
      <c r="AZ43" s="180"/>
      <c r="BA43" s="180"/>
    </row>
    <row r="44" spans="1:53" ht="165.75" x14ac:dyDescent="0.25">
      <c r="A44" s="220"/>
      <c r="B44" s="220"/>
      <c r="C44" s="220"/>
      <c r="D44" s="220"/>
      <c r="E44" s="220"/>
      <c r="F44" s="220"/>
      <c r="G44" s="220"/>
      <c r="H44" s="220"/>
      <c r="I44" s="220"/>
      <c r="J44" s="251"/>
      <c r="K44" s="251"/>
      <c r="L44" s="251"/>
      <c r="M44" s="269"/>
      <c r="N44" s="180"/>
      <c r="O44" s="180"/>
      <c r="P44" s="223">
        <f>SUM(Q44:AD44)</f>
        <v>2481676.838</v>
      </c>
      <c r="Q44" s="224">
        <v>2481676.838</v>
      </c>
      <c r="R44" s="224"/>
      <c r="S44" s="224"/>
      <c r="T44" s="224"/>
      <c r="U44" s="224"/>
      <c r="V44" s="224"/>
      <c r="W44" s="224"/>
      <c r="X44" s="224"/>
      <c r="Y44" s="224"/>
      <c r="Z44" s="224"/>
      <c r="AA44" s="224"/>
      <c r="AB44" s="224"/>
      <c r="AC44" s="224"/>
      <c r="AD44" s="224"/>
      <c r="AE44" s="212" t="s">
        <v>1844</v>
      </c>
      <c r="AF44" s="230"/>
      <c r="AG44" s="180" t="s">
        <v>1845</v>
      </c>
      <c r="AH44" s="180" t="s">
        <v>481</v>
      </c>
      <c r="AI44" s="214">
        <v>1750</v>
      </c>
      <c r="AJ44" s="227">
        <f>SUM(Q44:AD44)</f>
        <v>2481676.838</v>
      </c>
      <c r="AK44" s="185">
        <v>1</v>
      </c>
      <c r="AL44" s="185"/>
      <c r="AM44" s="185"/>
      <c r="AN44" s="180"/>
      <c r="AO44" s="180"/>
      <c r="AP44" s="180"/>
      <c r="AQ44" s="180"/>
      <c r="AR44" s="185" t="s">
        <v>751</v>
      </c>
      <c r="AS44" s="185" t="s">
        <v>751</v>
      </c>
      <c r="AT44" s="185" t="s">
        <v>751</v>
      </c>
      <c r="AU44" s="185" t="s">
        <v>751</v>
      </c>
      <c r="AV44" s="185" t="s">
        <v>751</v>
      </c>
      <c r="AW44" s="185"/>
      <c r="AX44" s="185"/>
      <c r="AY44" s="185"/>
      <c r="AZ44" s="180" t="s">
        <v>1810</v>
      </c>
      <c r="BA44" s="180"/>
    </row>
    <row r="45" spans="1:53" x14ac:dyDescent="0.25">
      <c r="A45" s="220"/>
      <c r="B45" s="220"/>
      <c r="C45" s="176"/>
      <c r="D45" s="220"/>
      <c r="E45" s="176"/>
      <c r="F45" s="259"/>
      <c r="G45" s="220"/>
      <c r="H45" s="176"/>
      <c r="I45" s="220"/>
      <c r="J45" s="176"/>
      <c r="K45" s="176"/>
      <c r="L45" s="251"/>
      <c r="M45" s="269"/>
      <c r="N45" s="180"/>
      <c r="O45" s="180"/>
      <c r="P45" s="235"/>
      <c r="Q45" s="224"/>
      <c r="R45" s="224"/>
      <c r="S45" s="224"/>
      <c r="T45" s="224"/>
      <c r="U45" s="224"/>
      <c r="V45" s="224"/>
      <c r="W45" s="224"/>
      <c r="X45" s="224"/>
      <c r="Y45" s="224"/>
      <c r="Z45" s="224"/>
      <c r="AA45" s="224"/>
      <c r="AB45" s="224"/>
      <c r="AC45" s="224"/>
      <c r="AD45" s="224"/>
      <c r="AE45" s="212"/>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row>
    <row r="46" spans="1:53" ht="409.5" x14ac:dyDescent="0.25">
      <c r="A46" s="254" t="s">
        <v>201</v>
      </c>
      <c r="B46" s="254" t="s">
        <v>1801</v>
      </c>
      <c r="C46" s="253" t="s">
        <v>1846</v>
      </c>
      <c r="D46" s="254" t="s">
        <v>1847</v>
      </c>
      <c r="E46" s="253" t="s">
        <v>1848</v>
      </c>
      <c r="F46" s="254" t="s">
        <v>1849</v>
      </c>
      <c r="G46" s="252" t="s">
        <v>1850</v>
      </c>
      <c r="H46" s="252" t="s">
        <v>1851</v>
      </c>
      <c r="I46" s="252" t="s">
        <v>1852</v>
      </c>
      <c r="J46" s="176">
        <v>0</v>
      </c>
      <c r="K46" s="176" t="s">
        <v>322</v>
      </c>
      <c r="L46" s="251">
        <v>1878</v>
      </c>
      <c r="M46" s="278">
        <f>+'[1]Plan Indicativo Infraestructura'!O27</f>
        <v>1831</v>
      </c>
      <c r="N46" s="180"/>
      <c r="O46" s="180"/>
      <c r="P46" s="223">
        <f>SUM(Q46:AD46)</f>
        <v>6363063.2316666702</v>
      </c>
      <c r="Q46" s="275"/>
      <c r="R46" s="275"/>
      <c r="S46" s="275"/>
      <c r="T46" s="275"/>
      <c r="U46" s="275"/>
      <c r="V46" s="275">
        <v>5354782.0650000004</v>
      </c>
      <c r="W46" s="275"/>
      <c r="X46" s="275"/>
      <c r="Y46" s="275"/>
      <c r="Z46" s="275"/>
      <c r="AA46" s="245">
        <v>1008281.16666667</v>
      </c>
      <c r="AB46" s="275"/>
      <c r="AC46" s="275"/>
      <c r="AD46" s="275"/>
      <c r="AE46" s="212" t="s">
        <v>1853</v>
      </c>
      <c r="AF46" s="230"/>
      <c r="AG46" s="219" t="s">
        <v>1854</v>
      </c>
      <c r="AH46" s="219" t="s">
        <v>1855</v>
      </c>
      <c r="AI46" s="275">
        <v>200000</v>
      </c>
      <c r="AJ46" s="248">
        <f>SUM(Q46:AD46)</f>
        <v>6363063.2316666702</v>
      </c>
      <c r="AK46" s="248">
        <v>938</v>
      </c>
      <c r="AL46" s="275"/>
      <c r="AM46" s="275"/>
      <c r="AN46" s="275"/>
      <c r="AO46" s="275"/>
      <c r="AP46" s="275"/>
      <c r="AQ46" s="275" t="s">
        <v>395</v>
      </c>
      <c r="AR46" s="275" t="s">
        <v>395</v>
      </c>
      <c r="AS46" s="275" t="s">
        <v>395</v>
      </c>
      <c r="AT46" s="275" t="s">
        <v>395</v>
      </c>
      <c r="AU46" s="275" t="s">
        <v>395</v>
      </c>
      <c r="AV46" s="275" t="s">
        <v>395</v>
      </c>
      <c r="AW46" s="275" t="s">
        <v>395</v>
      </c>
      <c r="AX46" s="275"/>
      <c r="AY46" s="275"/>
      <c r="AZ46" s="217" t="s">
        <v>1856</v>
      </c>
      <c r="BA46" s="219"/>
    </row>
    <row r="47" spans="1:53" ht="165" x14ac:dyDescent="0.25">
      <c r="A47" s="254" t="s">
        <v>201</v>
      </c>
      <c r="B47" s="254" t="s">
        <v>1801</v>
      </c>
      <c r="C47" s="253" t="s">
        <v>1857</v>
      </c>
      <c r="D47" s="254" t="s">
        <v>1858</v>
      </c>
      <c r="E47" s="253">
        <v>12208</v>
      </c>
      <c r="F47" s="254" t="s">
        <v>1849</v>
      </c>
      <c r="G47" s="252"/>
      <c r="H47" s="252"/>
      <c r="I47" s="252"/>
      <c r="J47" s="246"/>
      <c r="K47" s="176"/>
      <c r="L47" s="279"/>
      <c r="M47" s="269"/>
      <c r="N47" s="180"/>
      <c r="O47" s="180"/>
      <c r="P47" s="235"/>
      <c r="Q47" s="227"/>
      <c r="R47" s="227"/>
      <c r="S47" s="227"/>
      <c r="T47" s="227"/>
      <c r="U47" s="227"/>
      <c r="V47" s="227"/>
      <c r="W47" s="227"/>
      <c r="X47" s="227"/>
      <c r="Y47" s="227"/>
      <c r="Z47" s="227"/>
      <c r="AA47" s="227"/>
      <c r="AB47" s="227"/>
      <c r="AC47" s="227"/>
      <c r="AD47" s="227"/>
      <c r="AE47" s="180"/>
      <c r="AF47" s="180"/>
      <c r="AG47" s="180"/>
      <c r="AH47" s="227"/>
      <c r="AI47" s="280"/>
      <c r="AJ47" s="227"/>
      <c r="AK47" s="227"/>
      <c r="AL47" s="227"/>
      <c r="AM47" s="227"/>
      <c r="AN47" s="227"/>
      <c r="AO47" s="227"/>
      <c r="AP47" s="227"/>
      <c r="AQ47" s="227"/>
      <c r="AR47" s="227"/>
      <c r="AS47" s="227"/>
      <c r="AT47" s="227"/>
      <c r="AU47" s="227"/>
      <c r="AV47" s="227"/>
      <c r="AW47" s="227"/>
      <c r="AX47" s="227"/>
      <c r="AY47" s="227"/>
      <c r="AZ47" s="180"/>
      <c r="BA47" s="180"/>
    </row>
    <row r="48" spans="1:53" ht="165" x14ac:dyDescent="0.25">
      <c r="A48" s="254" t="s">
        <v>201</v>
      </c>
      <c r="B48" s="254" t="s">
        <v>1801</v>
      </c>
      <c r="C48" s="253" t="s">
        <v>1859</v>
      </c>
      <c r="D48" s="254" t="s">
        <v>1860</v>
      </c>
      <c r="E48" s="253">
        <v>0</v>
      </c>
      <c r="F48" s="254" t="s">
        <v>1849</v>
      </c>
      <c r="G48" s="252"/>
      <c r="H48" s="252"/>
      <c r="I48" s="252"/>
      <c r="J48" s="246"/>
      <c r="K48" s="176"/>
      <c r="L48" s="279"/>
      <c r="M48" s="269"/>
      <c r="N48" s="180"/>
      <c r="O48" s="180"/>
      <c r="P48" s="235"/>
      <c r="Q48" s="227"/>
      <c r="R48" s="227"/>
      <c r="S48" s="227"/>
      <c r="T48" s="227"/>
      <c r="U48" s="227"/>
      <c r="V48" s="227"/>
      <c r="W48" s="227"/>
      <c r="X48" s="227"/>
      <c r="Y48" s="227"/>
      <c r="Z48" s="227"/>
      <c r="AA48" s="227"/>
      <c r="AB48" s="227"/>
      <c r="AC48" s="227"/>
      <c r="AD48" s="227"/>
      <c r="AE48" s="180"/>
      <c r="AF48" s="180"/>
      <c r="AG48" s="180"/>
      <c r="AH48" s="227"/>
      <c r="AI48" s="227"/>
      <c r="AJ48" s="227"/>
      <c r="AK48" s="227"/>
      <c r="AL48" s="227"/>
      <c r="AM48" s="227"/>
      <c r="AN48" s="227"/>
      <c r="AO48" s="227"/>
      <c r="AP48" s="227"/>
      <c r="AQ48" s="227"/>
      <c r="AR48" s="227"/>
      <c r="AS48" s="227"/>
      <c r="AT48" s="227"/>
      <c r="AU48" s="227"/>
      <c r="AV48" s="227"/>
      <c r="AW48" s="227"/>
      <c r="AX48" s="227"/>
      <c r="AY48" s="227"/>
      <c r="AZ48" s="180"/>
      <c r="BA48" s="180"/>
    </row>
    <row r="49" spans="1:53" x14ac:dyDescent="0.25">
      <c r="A49" s="220"/>
      <c r="B49" s="220"/>
      <c r="C49" s="176"/>
      <c r="D49" s="220"/>
      <c r="E49" s="176"/>
      <c r="F49" s="220"/>
      <c r="G49" s="176"/>
      <c r="H49" s="176"/>
      <c r="I49" s="176"/>
      <c r="J49" s="176"/>
      <c r="K49" s="176"/>
      <c r="L49" s="251"/>
      <c r="M49" s="269"/>
      <c r="N49" s="180"/>
      <c r="O49" s="180"/>
      <c r="P49" s="235"/>
      <c r="Q49" s="227"/>
      <c r="R49" s="227"/>
      <c r="S49" s="227"/>
      <c r="T49" s="227"/>
      <c r="U49" s="227"/>
      <c r="V49" s="227"/>
      <c r="W49" s="227"/>
      <c r="X49" s="227"/>
      <c r="Y49" s="227"/>
      <c r="Z49" s="227"/>
      <c r="AA49" s="227"/>
      <c r="AB49" s="227"/>
      <c r="AC49" s="227"/>
      <c r="AD49" s="227"/>
      <c r="AE49" s="180"/>
      <c r="AF49" s="180"/>
      <c r="AG49" s="180"/>
      <c r="AH49" s="227"/>
      <c r="AI49" s="227"/>
      <c r="AJ49" s="227"/>
      <c r="AK49" s="227"/>
      <c r="AL49" s="227"/>
      <c r="AM49" s="227"/>
      <c r="AN49" s="227"/>
      <c r="AO49" s="227"/>
      <c r="AP49" s="227"/>
      <c r="AQ49" s="227"/>
      <c r="AR49" s="227"/>
      <c r="AS49" s="227"/>
      <c r="AT49" s="227"/>
      <c r="AU49" s="227"/>
      <c r="AV49" s="227"/>
      <c r="AW49" s="227"/>
      <c r="AX49" s="227"/>
      <c r="AY49" s="227"/>
      <c r="AZ49" s="180"/>
      <c r="BA49" s="180"/>
    </row>
    <row r="50" spans="1:53" ht="195" x14ac:dyDescent="0.25">
      <c r="A50" s="252" t="s">
        <v>201</v>
      </c>
      <c r="B50" s="252" t="s">
        <v>1801</v>
      </c>
      <c r="C50" s="252" t="s">
        <v>1861</v>
      </c>
      <c r="D50" s="252" t="s">
        <v>1862</v>
      </c>
      <c r="E50" s="253" t="s">
        <v>1863</v>
      </c>
      <c r="F50" s="252" t="s">
        <v>1864</v>
      </c>
      <c r="G50" s="252" t="s">
        <v>1865</v>
      </c>
      <c r="H50" s="176" t="s">
        <v>1866</v>
      </c>
      <c r="I50" s="176" t="s">
        <v>1867</v>
      </c>
      <c r="J50" s="251">
        <v>0</v>
      </c>
      <c r="K50" s="176" t="s">
        <v>323</v>
      </c>
      <c r="L50" s="251">
        <v>800</v>
      </c>
      <c r="M50" s="260">
        <f>+'[1]Plan Indicativo Infraestructura'!P31</f>
        <v>175</v>
      </c>
      <c r="N50" s="180"/>
      <c r="O50" s="180"/>
      <c r="P50" s="223">
        <f>SUM(P51:P68)</f>
        <v>9654945.063000001</v>
      </c>
      <c r="Q50" s="224">
        <f>SUM(Q51:Q68)</f>
        <v>4232762.3169</v>
      </c>
      <c r="R50" s="224">
        <f t="shared" ref="R50:AD50" si="12">SUM(R51:R68)</f>
        <v>0</v>
      </c>
      <c r="S50" s="224">
        <f t="shared" si="12"/>
        <v>0</v>
      </c>
      <c r="T50" s="224">
        <f t="shared" si="12"/>
        <v>0</v>
      </c>
      <c r="U50" s="224">
        <f t="shared" si="12"/>
        <v>0</v>
      </c>
      <c r="V50" s="224">
        <f t="shared" si="12"/>
        <v>5200000</v>
      </c>
      <c r="W50" s="224">
        <f t="shared" si="12"/>
        <v>0</v>
      </c>
      <c r="X50" s="224">
        <f t="shared" si="12"/>
        <v>0</v>
      </c>
      <c r="Y50" s="224">
        <f t="shared" si="12"/>
        <v>0</v>
      </c>
      <c r="Z50" s="224">
        <f t="shared" si="12"/>
        <v>0</v>
      </c>
      <c r="AA50" s="224">
        <f t="shared" si="12"/>
        <v>0</v>
      </c>
      <c r="AB50" s="224">
        <f t="shared" si="12"/>
        <v>0</v>
      </c>
      <c r="AC50" s="224">
        <f t="shared" si="12"/>
        <v>222182.74610000002</v>
      </c>
      <c r="AD50" s="224">
        <f t="shared" si="12"/>
        <v>0</v>
      </c>
      <c r="AE50" s="180"/>
      <c r="AF50" s="180"/>
      <c r="AG50" s="180"/>
      <c r="AH50" s="180"/>
      <c r="AI50" s="223">
        <f>SUM(AI51:AI68)</f>
        <v>1100185.301</v>
      </c>
      <c r="AJ50" s="223">
        <f>SUM(AJ51:AJ68)</f>
        <v>9654945.063000001</v>
      </c>
      <c r="AK50" s="248">
        <f>SUM(AK51:AK68)</f>
        <v>271</v>
      </c>
      <c r="AL50" s="260">
        <f>SUM(AL51:AL67)</f>
        <v>0</v>
      </c>
      <c r="AM50" s="260"/>
      <c r="AN50" s="180"/>
      <c r="AO50" s="180"/>
      <c r="AP50" s="180"/>
      <c r="AQ50" s="180"/>
      <c r="AR50" s="180"/>
      <c r="AS50" s="180"/>
      <c r="AT50" s="180"/>
      <c r="AU50" s="180"/>
      <c r="AV50" s="180"/>
      <c r="AW50" s="180"/>
      <c r="AX50" s="180"/>
      <c r="AY50" s="180"/>
      <c r="AZ50" s="180"/>
      <c r="BA50" s="180"/>
    </row>
    <row r="51" spans="1:53" ht="102" x14ac:dyDescent="0.25">
      <c r="A51" s="252"/>
      <c r="B51" s="252"/>
      <c r="C51" s="252"/>
      <c r="D51" s="252"/>
      <c r="E51" s="252"/>
      <c r="F51" s="252"/>
      <c r="G51" s="252"/>
      <c r="H51" s="176"/>
      <c r="I51" s="176"/>
      <c r="J51" s="251"/>
      <c r="K51" s="176"/>
      <c r="L51" s="251"/>
      <c r="M51" s="269"/>
      <c r="N51" s="180"/>
      <c r="O51" s="180"/>
      <c r="P51" s="223">
        <f t="shared" ref="P51:P68" si="13">SUM(Q51:AD51)</f>
        <v>708787.86499999999</v>
      </c>
      <c r="Q51" s="224">
        <v>708787.86499999999</v>
      </c>
      <c r="R51" s="224"/>
      <c r="S51" s="224"/>
      <c r="T51" s="224"/>
      <c r="U51" s="224"/>
      <c r="V51" s="224"/>
      <c r="W51" s="224"/>
      <c r="X51" s="224"/>
      <c r="Y51" s="224"/>
      <c r="Z51" s="224"/>
      <c r="AA51" s="224"/>
      <c r="AB51" s="224"/>
      <c r="AC51" s="224"/>
      <c r="AD51" s="224"/>
      <c r="AE51" s="212" t="s">
        <v>1868</v>
      </c>
      <c r="AF51" s="230"/>
      <c r="AG51" s="180" t="s">
        <v>1869</v>
      </c>
      <c r="AH51" s="180" t="s">
        <v>1798</v>
      </c>
      <c r="AI51" s="242">
        <f>1468+1695</f>
        <v>3163</v>
      </c>
      <c r="AJ51" s="242">
        <f t="shared" ref="AJ51:AJ68" si="14">SUM(Q51:AD51)</f>
        <v>708787.86499999999</v>
      </c>
      <c r="AK51" s="225">
        <v>7</v>
      </c>
      <c r="AL51" s="225">
        <v>0</v>
      </c>
      <c r="AM51" s="225"/>
      <c r="AN51" s="180"/>
      <c r="AO51" s="180"/>
      <c r="AP51" s="180"/>
      <c r="AQ51" s="180"/>
      <c r="AR51" s="180"/>
      <c r="AS51" s="180"/>
      <c r="AT51" s="215" t="s">
        <v>395</v>
      </c>
      <c r="AU51" s="215" t="s">
        <v>395</v>
      </c>
      <c r="AV51" s="215" t="s">
        <v>395</v>
      </c>
      <c r="AW51" s="215" t="s">
        <v>395</v>
      </c>
      <c r="AX51" s="215" t="s">
        <v>395</v>
      </c>
      <c r="AY51" s="215" t="s">
        <v>395</v>
      </c>
      <c r="AZ51" s="212" t="s">
        <v>1870</v>
      </c>
      <c r="BA51" s="180"/>
    </row>
    <row r="52" spans="1:53" ht="127.5" x14ac:dyDescent="0.25">
      <c r="A52" s="246"/>
      <c r="B52" s="246"/>
      <c r="C52" s="246"/>
      <c r="D52" s="246"/>
      <c r="E52" s="246"/>
      <c r="F52" s="246"/>
      <c r="G52" s="246"/>
      <c r="H52" s="176"/>
      <c r="I52" s="176"/>
      <c r="J52" s="251"/>
      <c r="K52" s="176"/>
      <c r="L52" s="251"/>
      <c r="M52" s="269"/>
      <c r="N52" s="180"/>
      <c r="O52" s="180"/>
      <c r="P52" s="223">
        <f t="shared" si="13"/>
        <v>117813.012</v>
      </c>
      <c r="Q52" s="224">
        <v>117813.012</v>
      </c>
      <c r="R52" s="224"/>
      <c r="S52" s="224"/>
      <c r="T52" s="224"/>
      <c r="U52" s="224"/>
      <c r="V52" s="224"/>
      <c r="W52" s="224"/>
      <c r="X52" s="224"/>
      <c r="Y52" s="224"/>
      <c r="Z52" s="224"/>
      <c r="AA52" s="224"/>
      <c r="AB52" s="224"/>
      <c r="AC52" s="224"/>
      <c r="AD52" s="224"/>
      <c r="AE52" s="212" t="s">
        <v>1871</v>
      </c>
      <c r="AF52" s="230"/>
      <c r="AG52" s="180" t="s">
        <v>1872</v>
      </c>
      <c r="AH52" s="180" t="s">
        <v>1826</v>
      </c>
      <c r="AI52" s="242">
        <v>2711</v>
      </c>
      <c r="AJ52" s="242">
        <f t="shared" si="14"/>
        <v>117813.012</v>
      </c>
      <c r="AK52" s="225">
        <v>2</v>
      </c>
      <c r="AL52" s="225">
        <v>0</v>
      </c>
      <c r="AM52" s="225"/>
      <c r="AN52" s="180"/>
      <c r="AO52" s="180"/>
      <c r="AP52" s="180"/>
      <c r="AQ52" s="180"/>
      <c r="AR52" s="180"/>
      <c r="AS52" s="180"/>
      <c r="AT52" s="215" t="s">
        <v>395</v>
      </c>
      <c r="AU52" s="215" t="s">
        <v>395</v>
      </c>
      <c r="AV52" s="215" t="s">
        <v>395</v>
      </c>
      <c r="AW52" s="215" t="s">
        <v>395</v>
      </c>
      <c r="AX52" s="215" t="s">
        <v>395</v>
      </c>
      <c r="AY52" s="215" t="s">
        <v>395</v>
      </c>
      <c r="AZ52" s="212" t="s">
        <v>1870</v>
      </c>
      <c r="BA52" s="180"/>
    </row>
    <row r="53" spans="1:53" ht="102" x14ac:dyDescent="0.25">
      <c r="A53" s="246"/>
      <c r="B53" s="246"/>
      <c r="C53" s="246"/>
      <c r="D53" s="246"/>
      <c r="E53" s="246"/>
      <c r="F53" s="246"/>
      <c r="G53" s="246"/>
      <c r="H53" s="176"/>
      <c r="I53" s="176"/>
      <c r="J53" s="251"/>
      <c r="K53" s="176"/>
      <c r="L53" s="251"/>
      <c r="M53" s="269"/>
      <c r="N53" s="180"/>
      <c r="O53" s="180"/>
      <c r="P53" s="223">
        <f t="shared" si="13"/>
        <v>403780.95299999998</v>
      </c>
      <c r="Q53" s="224">
        <v>403780.95299999998</v>
      </c>
      <c r="R53" s="224"/>
      <c r="S53" s="224"/>
      <c r="T53" s="224"/>
      <c r="U53" s="224"/>
      <c r="V53" s="224"/>
      <c r="W53" s="224"/>
      <c r="X53" s="224"/>
      <c r="Y53" s="224"/>
      <c r="Z53" s="224"/>
      <c r="AA53" s="224"/>
      <c r="AB53" s="224"/>
      <c r="AC53" s="224"/>
      <c r="AD53" s="224"/>
      <c r="AE53" s="212" t="s">
        <v>1873</v>
      </c>
      <c r="AF53" s="230"/>
      <c r="AG53" s="180" t="s">
        <v>1874</v>
      </c>
      <c r="AH53" s="180" t="s">
        <v>1798</v>
      </c>
      <c r="AI53" s="242">
        <f>7484+3937</f>
        <v>11421</v>
      </c>
      <c r="AJ53" s="242">
        <f t="shared" si="14"/>
        <v>403780.95299999998</v>
      </c>
      <c r="AK53" s="225">
        <v>4</v>
      </c>
      <c r="AL53" s="225">
        <v>0</v>
      </c>
      <c r="AM53" s="225"/>
      <c r="AN53" s="180"/>
      <c r="AO53" s="180"/>
      <c r="AP53" s="180"/>
      <c r="AQ53" s="180"/>
      <c r="AR53" s="180"/>
      <c r="AS53" s="180"/>
      <c r="AT53" s="215" t="s">
        <v>395</v>
      </c>
      <c r="AU53" s="215" t="s">
        <v>395</v>
      </c>
      <c r="AV53" s="215" t="s">
        <v>395</v>
      </c>
      <c r="AW53" s="215" t="s">
        <v>395</v>
      </c>
      <c r="AX53" s="215" t="s">
        <v>395</v>
      </c>
      <c r="AY53" s="215" t="s">
        <v>395</v>
      </c>
      <c r="AZ53" s="212" t="s">
        <v>1870</v>
      </c>
      <c r="BA53" s="180"/>
    </row>
    <row r="54" spans="1:53" ht="76.5" x14ac:dyDescent="0.25">
      <c r="A54" s="246"/>
      <c r="B54" s="246"/>
      <c r="C54" s="246"/>
      <c r="D54" s="246"/>
      <c r="E54" s="246"/>
      <c r="F54" s="246"/>
      <c r="G54" s="246"/>
      <c r="H54" s="176"/>
      <c r="I54" s="176"/>
      <c r="J54" s="251"/>
      <c r="K54" s="176"/>
      <c r="L54" s="251"/>
      <c r="M54" s="269"/>
      <c r="N54" s="180"/>
      <c r="O54" s="180"/>
      <c r="P54" s="223">
        <f t="shared" si="13"/>
        <v>185000</v>
      </c>
      <c r="Q54" s="224">
        <v>185000</v>
      </c>
      <c r="R54" s="224"/>
      <c r="S54" s="224"/>
      <c r="T54" s="224"/>
      <c r="U54" s="224"/>
      <c r="V54" s="224"/>
      <c r="W54" s="224"/>
      <c r="X54" s="224"/>
      <c r="Y54" s="224"/>
      <c r="Z54" s="224"/>
      <c r="AA54" s="224"/>
      <c r="AB54" s="224"/>
      <c r="AC54" s="224"/>
      <c r="AD54" s="224"/>
      <c r="AE54" s="212" t="s">
        <v>1875</v>
      </c>
      <c r="AF54" s="230"/>
      <c r="AG54" s="180" t="s">
        <v>1602</v>
      </c>
      <c r="AH54" s="180" t="s">
        <v>1798</v>
      </c>
      <c r="AI54" s="242">
        <v>1608</v>
      </c>
      <c r="AJ54" s="242">
        <f t="shared" si="14"/>
        <v>185000</v>
      </c>
      <c r="AK54" s="225">
        <v>1</v>
      </c>
      <c r="AL54" s="225">
        <v>0</v>
      </c>
      <c r="AM54" s="225"/>
      <c r="AN54" s="180"/>
      <c r="AO54" s="180"/>
      <c r="AP54" s="180"/>
      <c r="AQ54" s="180"/>
      <c r="AR54" s="180"/>
      <c r="AS54" s="180"/>
      <c r="AT54" s="215" t="s">
        <v>395</v>
      </c>
      <c r="AU54" s="215" t="s">
        <v>395</v>
      </c>
      <c r="AV54" s="215" t="s">
        <v>395</v>
      </c>
      <c r="AW54" s="215" t="s">
        <v>395</v>
      </c>
      <c r="AX54" s="215" t="s">
        <v>395</v>
      </c>
      <c r="AY54" s="215" t="s">
        <v>395</v>
      </c>
      <c r="AZ54" s="212" t="s">
        <v>1870</v>
      </c>
      <c r="BA54" s="180"/>
    </row>
    <row r="55" spans="1:53" ht="102" x14ac:dyDescent="0.25">
      <c r="A55" s="246"/>
      <c r="B55" s="246"/>
      <c r="C55" s="246"/>
      <c r="D55" s="246"/>
      <c r="E55" s="246"/>
      <c r="F55" s="246"/>
      <c r="G55" s="246"/>
      <c r="H55" s="176"/>
      <c r="I55" s="176"/>
      <c r="J55" s="251"/>
      <c r="K55" s="176"/>
      <c r="L55" s="251"/>
      <c r="M55" s="269"/>
      <c r="N55" s="180"/>
      <c r="O55" s="180"/>
      <c r="P55" s="223">
        <f t="shared" si="13"/>
        <v>202163.73199999999</v>
      </c>
      <c r="Q55" s="224">
        <v>202163.73199999999</v>
      </c>
      <c r="R55" s="224"/>
      <c r="S55" s="224"/>
      <c r="T55" s="224"/>
      <c r="U55" s="224"/>
      <c r="V55" s="224"/>
      <c r="W55" s="224"/>
      <c r="X55" s="224"/>
      <c r="Y55" s="224"/>
      <c r="Z55" s="224"/>
      <c r="AA55" s="224"/>
      <c r="AB55" s="224"/>
      <c r="AC55" s="224"/>
      <c r="AD55" s="224"/>
      <c r="AE55" s="212" t="s">
        <v>1876</v>
      </c>
      <c r="AF55" s="230"/>
      <c r="AG55" s="180" t="s">
        <v>1602</v>
      </c>
      <c r="AH55" s="180" t="s">
        <v>1798</v>
      </c>
      <c r="AI55" s="242">
        <v>7670</v>
      </c>
      <c r="AJ55" s="242">
        <f t="shared" si="14"/>
        <v>202163.73199999999</v>
      </c>
      <c r="AK55" s="225">
        <v>35</v>
      </c>
      <c r="AL55" s="225">
        <v>0</v>
      </c>
      <c r="AM55" s="225"/>
      <c r="AN55" s="180"/>
      <c r="AO55" s="180"/>
      <c r="AP55" s="180"/>
      <c r="AQ55" s="180"/>
      <c r="AR55" s="180"/>
      <c r="AS55" s="180"/>
      <c r="AT55" s="215" t="s">
        <v>395</v>
      </c>
      <c r="AU55" s="215" t="s">
        <v>395</v>
      </c>
      <c r="AV55" s="215" t="s">
        <v>395</v>
      </c>
      <c r="AW55" s="215" t="s">
        <v>395</v>
      </c>
      <c r="AX55" s="215" t="s">
        <v>395</v>
      </c>
      <c r="AY55" s="215" t="s">
        <v>395</v>
      </c>
      <c r="AZ55" s="212" t="s">
        <v>1870</v>
      </c>
      <c r="BA55" s="180"/>
    </row>
    <row r="56" spans="1:53" ht="89.25" x14ac:dyDescent="0.25">
      <c r="A56" s="246"/>
      <c r="B56" s="246"/>
      <c r="C56" s="246"/>
      <c r="D56" s="246"/>
      <c r="E56" s="246"/>
      <c r="F56" s="246"/>
      <c r="G56" s="246"/>
      <c r="H56" s="176"/>
      <c r="I56" s="176"/>
      <c r="J56" s="251"/>
      <c r="K56" s="176"/>
      <c r="L56" s="251"/>
      <c r="M56" s="269"/>
      <c r="N56" s="180"/>
      <c r="O56" s="180"/>
      <c r="P56" s="223">
        <f t="shared" si="13"/>
        <v>170786.02</v>
      </c>
      <c r="Q56" s="224">
        <v>170786.02</v>
      </c>
      <c r="R56" s="224"/>
      <c r="S56" s="224"/>
      <c r="T56" s="224"/>
      <c r="U56" s="224"/>
      <c r="V56" s="224"/>
      <c r="W56" s="224"/>
      <c r="X56" s="224"/>
      <c r="Y56" s="224"/>
      <c r="Z56" s="224"/>
      <c r="AA56" s="224"/>
      <c r="AB56" s="224"/>
      <c r="AC56" s="224"/>
      <c r="AD56" s="224"/>
      <c r="AE56" s="212" t="s">
        <v>1877</v>
      </c>
      <c r="AF56" s="230" t="s">
        <v>1878</v>
      </c>
      <c r="AG56" s="180" t="s">
        <v>1778</v>
      </c>
      <c r="AH56" s="180" t="s">
        <v>580</v>
      </c>
      <c r="AI56" s="242">
        <v>26167</v>
      </c>
      <c r="AJ56" s="242">
        <f t="shared" si="14"/>
        <v>170786.02</v>
      </c>
      <c r="AK56" s="225">
        <v>20</v>
      </c>
      <c r="AL56" s="225">
        <v>0</v>
      </c>
      <c r="AM56" s="225"/>
      <c r="AN56" s="215" t="s">
        <v>395</v>
      </c>
      <c r="AO56" s="215" t="s">
        <v>395</v>
      </c>
      <c r="AP56" s="215" t="s">
        <v>395</v>
      </c>
      <c r="AQ56" s="215" t="s">
        <v>395</v>
      </c>
      <c r="AR56" s="215" t="s">
        <v>395</v>
      </c>
      <c r="AS56" s="215" t="s">
        <v>395</v>
      </c>
      <c r="AT56" s="215" t="s">
        <v>395</v>
      </c>
      <c r="AU56" s="215" t="s">
        <v>395</v>
      </c>
      <c r="AV56" s="215" t="s">
        <v>395</v>
      </c>
      <c r="AW56" s="215" t="s">
        <v>395</v>
      </c>
      <c r="AX56" s="215" t="s">
        <v>395</v>
      </c>
      <c r="AY56" s="215" t="s">
        <v>395</v>
      </c>
      <c r="AZ56" s="212" t="s">
        <v>1879</v>
      </c>
      <c r="BA56" s="180"/>
    </row>
    <row r="57" spans="1:53" ht="89.25" x14ac:dyDescent="0.25">
      <c r="A57" s="246"/>
      <c r="B57" s="246"/>
      <c r="C57" s="246"/>
      <c r="D57" s="246"/>
      <c r="E57" s="246"/>
      <c r="F57" s="246"/>
      <c r="G57" s="246"/>
      <c r="H57" s="176"/>
      <c r="I57" s="176"/>
      <c r="J57" s="251"/>
      <c r="K57" s="176"/>
      <c r="L57" s="251"/>
      <c r="M57" s="269"/>
      <c r="N57" s="180"/>
      <c r="O57" s="180"/>
      <c r="P57" s="223">
        <f t="shared" si="13"/>
        <v>213482.52499999999</v>
      </c>
      <c r="Q57" s="224">
        <v>213482.52499999999</v>
      </c>
      <c r="R57" s="224"/>
      <c r="S57" s="224"/>
      <c r="T57" s="224"/>
      <c r="U57" s="224"/>
      <c r="V57" s="224"/>
      <c r="W57" s="224"/>
      <c r="X57" s="224"/>
      <c r="Y57" s="224"/>
      <c r="Z57" s="224"/>
      <c r="AA57" s="224"/>
      <c r="AB57" s="224"/>
      <c r="AC57" s="224"/>
      <c r="AD57" s="224"/>
      <c r="AE57" s="212" t="s">
        <v>1880</v>
      </c>
      <c r="AF57" s="230" t="s">
        <v>1878</v>
      </c>
      <c r="AG57" s="180" t="s">
        <v>1881</v>
      </c>
      <c r="AH57" s="180" t="s">
        <v>1794</v>
      </c>
      <c r="AI57" s="242">
        <v>65986</v>
      </c>
      <c r="AJ57" s="242">
        <f t="shared" si="14"/>
        <v>213482.52499999999</v>
      </c>
      <c r="AK57" s="225">
        <v>25</v>
      </c>
      <c r="AL57" s="225">
        <v>0</v>
      </c>
      <c r="AM57" s="225"/>
      <c r="AN57" s="215" t="s">
        <v>395</v>
      </c>
      <c r="AO57" s="215" t="s">
        <v>395</v>
      </c>
      <c r="AP57" s="215" t="s">
        <v>395</v>
      </c>
      <c r="AQ57" s="215" t="s">
        <v>395</v>
      </c>
      <c r="AR57" s="215" t="s">
        <v>395</v>
      </c>
      <c r="AS57" s="215" t="s">
        <v>395</v>
      </c>
      <c r="AT57" s="215" t="s">
        <v>395</v>
      </c>
      <c r="AU57" s="215" t="s">
        <v>395</v>
      </c>
      <c r="AV57" s="215" t="s">
        <v>395</v>
      </c>
      <c r="AW57" s="215" t="s">
        <v>395</v>
      </c>
      <c r="AX57" s="215" t="s">
        <v>395</v>
      </c>
      <c r="AY57" s="215" t="s">
        <v>395</v>
      </c>
      <c r="AZ57" s="212" t="s">
        <v>1879</v>
      </c>
      <c r="BA57" s="180"/>
    </row>
    <row r="58" spans="1:53" ht="63.75" x14ac:dyDescent="0.25">
      <c r="A58" s="246"/>
      <c r="B58" s="246"/>
      <c r="C58" s="246"/>
      <c r="D58" s="246"/>
      <c r="E58" s="246"/>
      <c r="F58" s="246"/>
      <c r="G58" s="246"/>
      <c r="H58" s="176"/>
      <c r="I58" s="176"/>
      <c r="J58" s="251"/>
      <c r="K58" s="176"/>
      <c r="L58" s="251"/>
      <c r="M58" s="269"/>
      <c r="N58" s="180"/>
      <c r="O58" s="180"/>
      <c r="P58" s="223">
        <f>SUM(Q58:AD58)</f>
        <v>128089.515</v>
      </c>
      <c r="Q58" s="224">
        <v>128089.515</v>
      </c>
      <c r="R58" s="224"/>
      <c r="S58" s="224"/>
      <c r="T58" s="224"/>
      <c r="U58" s="224"/>
      <c r="V58" s="224"/>
      <c r="W58" s="224"/>
      <c r="X58" s="224"/>
      <c r="Y58" s="224"/>
      <c r="Z58" s="224"/>
      <c r="AA58" s="224"/>
      <c r="AB58" s="224"/>
      <c r="AC58" s="224"/>
      <c r="AD58" s="224"/>
      <c r="AE58" s="212" t="s">
        <v>1882</v>
      </c>
      <c r="AF58" s="230" t="s">
        <v>1878</v>
      </c>
      <c r="AG58" s="180" t="s">
        <v>1883</v>
      </c>
      <c r="AH58" s="180" t="s">
        <v>580</v>
      </c>
      <c r="AI58" s="242">
        <v>37848</v>
      </c>
      <c r="AJ58" s="242">
        <f t="shared" si="14"/>
        <v>128089.515</v>
      </c>
      <c r="AK58" s="225">
        <v>15</v>
      </c>
      <c r="AL58" s="225"/>
      <c r="AM58" s="225"/>
      <c r="AN58" s="215" t="s">
        <v>395</v>
      </c>
      <c r="AO58" s="215" t="s">
        <v>395</v>
      </c>
      <c r="AP58" s="215" t="s">
        <v>395</v>
      </c>
      <c r="AQ58" s="215" t="s">
        <v>395</v>
      </c>
      <c r="AR58" s="215" t="s">
        <v>395</v>
      </c>
      <c r="AS58" s="215" t="s">
        <v>395</v>
      </c>
      <c r="AT58" s="215" t="s">
        <v>395</v>
      </c>
      <c r="AU58" s="215" t="s">
        <v>395</v>
      </c>
      <c r="AV58" s="215" t="s">
        <v>395</v>
      </c>
      <c r="AW58" s="215" t="s">
        <v>395</v>
      </c>
      <c r="AX58" s="215" t="s">
        <v>395</v>
      </c>
      <c r="AY58" s="215" t="s">
        <v>395</v>
      </c>
      <c r="AZ58" s="212" t="s">
        <v>1879</v>
      </c>
      <c r="BA58" s="180"/>
    </row>
    <row r="59" spans="1:53" ht="102" x14ac:dyDescent="0.25">
      <c r="A59" s="246"/>
      <c r="B59" s="246"/>
      <c r="C59" s="246"/>
      <c r="D59" s="246"/>
      <c r="E59" s="246"/>
      <c r="F59" s="246"/>
      <c r="G59" s="246"/>
      <c r="H59" s="176"/>
      <c r="I59" s="176"/>
      <c r="J59" s="251"/>
      <c r="K59" s="176"/>
      <c r="L59" s="251"/>
      <c r="M59" s="269"/>
      <c r="N59" s="180"/>
      <c r="O59" s="180"/>
      <c r="P59" s="223">
        <f t="shared" si="13"/>
        <v>170786.02</v>
      </c>
      <c r="Q59" s="224">
        <v>170786.02</v>
      </c>
      <c r="R59" s="224"/>
      <c r="S59" s="224"/>
      <c r="T59" s="224"/>
      <c r="U59" s="224"/>
      <c r="V59" s="224"/>
      <c r="W59" s="224"/>
      <c r="X59" s="224"/>
      <c r="Y59" s="224"/>
      <c r="Z59" s="224"/>
      <c r="AA59" s="224"/>
      <c r="AB59" s="224"/>
      <c r="AC59" s="224"/>
      <c r="AD59" s="224"/>
      <c r="AE59" s="212" t="s">
        <v>1884</v>
      </c>
      <c r="AF59" s="230" t="s">
        <v>1878</v>
      </c>
      <c r="AG59" s="180" t="s">
        <v>1885</v>
      </c>
      <c r="AH59" s="180" t="s">
        <v>1886</v>
      </c>
      <c r="AI59" s="242">
        <v>136215</v>
      </c>
      <c r="AJ59" s="242">
        <f t="shared" si="14"/>
        <v>170786.02</v>
      </c>
      <c r="AK59" s="225">
        <v>20</v>
      </c>
      <c r="AL59" s="225"/>
      <c r="AM59" s="225"/>
      <c r="AN59" s="215" t="s">
        <v>395</v>
      </c>
      <c r="AO59" s="215" t="s">
        <v>395</v>
      </c>
      <c r="AP59" s="215" t="s">
        <v>395</v>
      </c>
      <c r="AQ59" s="215" t="s">
        <v>395</v>
      </c>
      <c r="AR59" s="215" t="s">
        <v>395</v>
      </c>
      <c r="AS59" s="215" t="s">
        <v>395</v>
      </c>
      <c r="AT59" s="215" t="s">
        <v>395</v>
      </c>
      <c r="AU59" s="215" t="s">
        <v>395</v>
      </c>
      <c r="AV59" s="215" t="s">
        <v>395</v>
      </c>
      <c r="AW59" s="215" t="s">
        <v>395</v>
      </c>
      <c r="AX59" s="215" t="s">
        <v>395</v>
      </c>
      <c r="AY59" s="215" t="s">
        <v>395</v>
      </c>
      <c r="AZ59" s="212" t="s">
        <v>1879</v>
      </c>
      <c r="BA59" s="180"/>
    </row>
    <row r="60" spans="1:53" ht="63.75" x14ac:dyDescent="0.25">
      <c r="A60" s="246"/>
      <c r="B60" s="246"/>
      <c r="C60" s="246"/>
      <c r="D60" s="246"/>
      <c r="E60" s="246"/>
      <c r="F60" s="246"/>
      <c r="G60" s="246"/>
      <c r="H60" s="176"/>
      <c r="I60" s="176"/>
      <c r="J60" s="251"/>
      <c r="K60" s="176"/>
      <c r="L60" s="251"/>
      <c r="M60" s="269"/>
      <c r="N60" s="180"/>
      <c r="O60" s="180"/>
      <c r="P60" s="223">
        <f t="shared" si="13"/>
        <v>153707.41800000001</v>
      </c>
      <c r="Q60" s="224">
        <v>153707.41800000001</v>
      </c>
      <c r="R60" s="224"/>
      <c r="S60" s="224"/>
      <c r="T60" s="224"/>
      <c r="U60" s="224"/>
      <c r="V60" s="224"/>
      <c r="W60" s="224"/>
      <c r="X60" s="224"/>
      <c r="Y60" s="224"/>
      <c r="Z60" s="224"/>
      <c r="AA60" s="224"/>
      <c r="AB60" s="224"/>
      <c r="AC60" s="224"/>
      <c r="AD60" s="224"/>
      <c r="AE60" s="212" t="s">
        <v>1887</v>
      </c>
      <c r="AF60" s="230" t="s">
        <v>1878</v>
      </c>
      <c r="AG60" s="180" t="s">
        <v>1888</v>
      </c>
      <c r="AH60" s="180" t="s">
        <v>1794</v>
      </c>
      <c r="AI60" s="242">
        <v>46080</v>
      </c>
      <c r="AJ60" s="242">
        <f t="shared" si="14"/>
        <v>153707.41800000001</v>
      </c>
      <c r="AK60" s="225">
        <v>18</v>
      </c>
      <c r="AL60" s="225"/>
      <c r="AM60" s="225"/>
      <c r="AN60" s="215" t="s">
        <v>395</v>
      </c>
      <c r="AO60" s="215" t="s">
        <v>395</v>
      </c>
      <c r="AP60" s="215" t="s">
        <v>395</v>
      </c>
      <c r="AQ60" s="215" t="s">
        <v>395</v>
      </c>
      <c r="AR60" s="215" t="s">
        <v>395</v>
      </c>
      <c r="AS60" s="215" t="s">
        <v>395</v>
      </c>
      <c r="AT60" s="215" t="s">
        <v>395</v>
      </c>
      <c r="AU60" s="215" t="s">
        <v>395</v>
      </c>
      <c r="AV60" s="215" t="s">
        <v>395</v>
      </c>
      <c r="AW60" s="215" t="s">
        <v>395</v>
      </c>
      <c r="AX60" s="215" t="s">
        <v>395</v>
      </c>
      <c r="AY60" s="215" t="s">
        <v>395</v>
      </c>
      <c r="AZ60" s="212" t="s">
        <v>1879</v>
      </c>
      <c r="BA60" s="180"/>
    </row>
    <row r="61" spans="1:53" ht="76.5" x14ac:dyDescent="0.25">
      <c r="A61" s="246"/>
      <c r="B61" s="246"/>
      <c r="C61" s="246"/>
      <c r="D61" s="246"/>
      <c r="E61" s="246"/>
      <c r="F61" s="246"/>
      <c r="G61" s="246"/>
      <c r="H61" s="176"/>
      <c r="I61" s="176"/>
      <c r="J61" s="251"/>
      <c r="K61" s="176"/>
      <c r="L61" s="251"/>
      <c r="M61" s="269"/>
      <c r="N61" s="180"/>
      <c r="O61" s="180"/>
      <c r="P61" s="223">
        <f t="shared" si="13"/>
        <v>170786.02</v>
      </c>
      <c r="Q61" s="224">
        <v>170786.02</v>
      </c>
      <c r="R61" s="224"/>
      <c r="S61" s="224"/>
      <c r="T61" s="224"/>
      <c r="U61" s="224"/>
      <c r="V61" s="224"/>
      <c r="W61" s="224"/>
      <c r="X61" s="224"/>
      <c r="Y61" s="224"/>
      <c r="Z61" s="224"/>
      <c r="AA61" s="224"/>
      <c r="AB61" s="224"/>
      <c r="AC61" s="224"/>
      <c r="AD61" s="224"/>
      <c r="AE61" s="212" t="s">
        <v>1889</v>
      </c>
      <c r="AF61" s="230" t="s">
        <v>1878</v>
      </c>
      <c r="AG61" s="180" t="s">
        <v>1890</v>
      </c>
      <c r="AH61" s="180" t="s">
        <v>580</v>
      </c>
      <c r="AI61" s="242">
        <v>312447</v>
      </c>
      <c r="AJ61" s="242">
        <f t="shared" si="14"/>
        <v>170786.02</v>
      </c>
      <c r="AK61" s="225">
        <v>20</v>
      </c>
      <c r="AL61" s="225"/>
      <c r="AM61" s="225"/>
      <c r="AN61" s="215" t="s">
        <v>395</v>
      </c>
      <c r="AO61" s="215" t="s">
        <v>395</v>
      </c>
      <c r="AP61" s="215" t="s">
        <v>395</v>
      </c>
      <c r="AQ61" s="215" t="s">
        <v>395</v>
      </c>
      <c r="AR61" s="215" t="s">
        <v>395</v>
      </c>
      <c r="AS61" s="215" t="s">
        <v>395</v>
      </c>
      <c r="AT61" s="215" t="s">
        <v>395</v>
      </c>
      <c r="AU61" s="215" t="s">
        <v>395</v>
      </c>
      <c r="AV61" s="215" t="s">
        <v>395</v>
      </c>
      <c r="AW61" s="215" t="s">
        <v>395</v>
      </c>
      <c r="AX61" s="215" t="s">
        <v>395</v>
      </c>
      <c r="AY61" s="215" t="s">
        <v>395</v>
      </c>
      <c r="AZ61" s="212" t="s">
        <v>1879</v>
      </c>
      <c r="BA61" s="180"/>
    </row>
    <row r="62" spans="1:53" ht="76.5" x14ac:dyDescent="0.25">
      <c r="A62" s="246"/>
      <c r="B62" s="246"/>
      <c r="C62" s="246"/>
      <c r="D62" s="246"/>
      <c r="E62" s="246"/>
      <c r="F62" s="246"/>
      <c r="G62" s="246"/>
      <c r="H62" s="176"/>
      <c r="I62" s="176"/>
      <c r="J62" s="251"/>
      <c r="K62" s="176"/>
      <c r="L62" s="251"/>
      <c r="M62" s="269"/>
      <c r="N62" s="180"/>
      <c r="O62" s="180"/>
      <c r="P62" s="223">
        <f t="shared" si="13"/>
        <v>256179.03</v>
      </c>
      <c r="Q62" s="224">
        <v>256179.03</v>
      </c>
      <c r="R62" s="224"/>
      <c r="S62" s="224"/>
      <c r="T62" s="224"/>
      <c r="U62" s="224"/>
      <c r="V62" s="224"/>
      <c r="W62" s="224"/>
      <c r="X62" s="224"/>
      <c r="Y62" s="224"/>
      <c r="Z62" s="224"/>
      <c r="AA62" s="224"/>
      <c r="AB62" s="224"/>
      <c r="AC62" s="224"/>
      <c r="AD62" s="224"/>
      <c r="AE62" s="212" t="s">
        <v>1891</v>
      </c>
      <c r="AF62" s="230" t="s">
        <v>1878</v>
      </c>
      <c r="AG62" s="180" t="s">
        <v>1892</v>
      </c>
      <c r="AH62" s="180" t="s">
        <v>481</v>
      </c>
      <c r="AI62" s="242">
        <v>32834</v>
      </c>
      <c r="AJ62" s="242">
        <f t="shared" si="14"/>
        <v>256179.03</v>
      </c>
      <c r="AK62" s="225">
        <v>30</v>
      </c>
      <c r="AL62" s="225"/>
      <c r="AM62" s="225"/>
      <c r="AN62" s="215" t="s">
        <v>395</v>
      </c>
      <c r="AO62" s="215" t="s">
        <v>395</v>
      </c>
      <c r="AP62" s="215" t="s">
        <v>395</v>
      </c>
      <c r="AQ62" s="215" t="s">
        <v>395</v>
      </c>
      <c r="AR62" s="215" t="s">
        <v>395</v>
      </c>
      <c r="AS62" s="215" t="s">
        <v>395</v>
      </c>
      <c r="AT62" s="215" t="s">
        <v>395</v>
      </c>
      <c r="AU62" s="215" t="s">
        <v>395</v>
      </c>
      <c r="AV62" s="215" t="s">
        <v>395</v>
      </c>
      <c r="AW62" s="215" t="s">
        <v>395</v>
      </c>
      <c r="AX62" s="215" t="s">
        <v>395</v>
      </c>
      <c r="AY62" s="215" t="s">
        <v>395</v>
      </c>
      <c r="AZ62" s="212" t="s">
        <v>1879</v>
      </c>
      <c r="BA62" s="180"/>
    </row>
    <row r="63" spans="1:53" ht="76.5" x14ac:dyDescent="0.25">
      <c r="A63" s="246"/>
      <c r="B63" s="246"/>
      <c r="C63" s="246"/>
      <c r="D63" s="246"/>
      <c r="E63" s="246"/>
      <c r="F63" s="246"/>
      <c r="G63" s="246"/>
      <c r="H63" s="176"/>
      <c r="I63" s="176"/>
      <c r="J63" s="251"/>
      <c r="K63" s="176"/>
      <c r="L63" s="251"/>
      <c r="M63" s="269"/>
      <c r="N63" s="180"/>
      <c r="O63" s="180"/>
      <c r="P63" s="223">
        <f t="shared" si="13"/>
        <v>256179.03</v>
      </c>
      <c r="Q63" s="224">
        <v>256179.03</v>
      </c>
      <c r="R63" s="224"/>
      <c r="S63" s="224"/>
      <c r="T63" s="224"/>
      <c r="U63" s="224"/>
      <c r="V63" s="224"/>
      <c r="W63" s="224"/>
      <c r="X63" s="224"/>
      <c r="Y63" s="224"/>
      <c r="Z63" s="224"/>
      <c r="AA63" s="224"/>
      <c r="AB63" s="224"/>
      <c r="AC63" s="224"/>
      <c r="AD63" s="224"/>
      <c r="AE63" s="212" t="s">
        <v>1893</v>
      </c>
      <c r="AF63" s="230" t="s">
        <v>1878</v>
      </c>
      <c r="AG63" s="180" t="s">
        <v>1894</v>
      </c>
      <c r="AH63" s="180" t="s">
        <v>580</v>
      </c>
      <c r="AI63" s="242">
        <f>+AJ63/AK63</f>
        <v>8539.3009999999995</v>
      </c>
      <c r="AJ63" s="242">
        <f t="shared" si="14"/>
        <v>256179.03</v>
      </c>
      <c r="AK63" s="225">
        <v>30</v>
      </c>
      <c r="AL63" s="225"/>
      <c r="AM63" s="225"/>
      <c r="AN63" s="215" t="s">
        <v>395</v>
      </c>
      <c r="AO63" s="215" t="s">
        <v>395</v>
      </c>
      <c r="AP63" s="215" t="s">
        <v>395</v>
      </c>
      <c r="AQ63" s="215" t="s">
        <v>395</v>
      </c>
      <c r="AR63" s="215" t="s">
        <v>395</v>
      </c>
      <c r="AS63" s="215" t="s">
        <v>395</v>
      </c>
      <c r="AT63" s="215" t="s">
        <v>395</v>
      </c>
      <c r="AU63" s="215" t="s">
        <v>395</v>
      </c>
      <c r="AV63" s="215" t="s">
        <v>395</v>
      </c>
      <c r="AW63" s="215" t="s">
        <v>395</v>
      </c>
      <c r="AX63" s="215" t="s">
        <v>395</v>
      </c>
      <c r="AY63" s="215" t="s">
        <v>395</v>
      </c>
      <c r="AZ63" s="212" t="s">
        <v>1879</v>
      </c>
      <c r="BA63" s="180"/>
    </row>
    <row r="64" spans="1:53" ht="75" x14ac:dyDescent="0.25">
      <c r="A64" s="246"/>
      <c r="B64" s="246"/>
      <c r="C64" s="246"/>
      <c r="D64" s="246"/>
      <c r="E64" s="246"/>
      <c r="F64" s="246"/>
      <c r="G64" s="246"/>
      <c r="H64" s="176"/>
      <c r="I64" s="176"/>
      <c r="J64" s="251"/>
      <c r="K64" s="176"/>
      <c r="L64" s="251"/>
      <c r="M64" s="269"/>
      <c r="N64" s="180"/>
      <c r="O64" s="180"/>
      <c r="P64" s="223">
        <f t="shared" si="13"/>
        <v>1000000</v>
      </c>
      <c r="Q64" s="224">
        <v>1000000</v>
      </c>
      <c r="R64" s="224"/>
      <c r="S64" s="224"/>
      <c r="T64" s="224"/>
      <c r="U64" s="224"/>
      <c r="V64" s="224"/>
      <c r="W64" s="224"/>
      <c r="X64" s="224"/>
      <c r="Y64" s="224"/>
      <c r="Z64" s="224"/>
      <c r="AA64" s="224"/>
      <c r="AB64" s="224"/>
      <c r="AC64" s="224"/>
      <c r="AD64" s="224"/>
      <c r="AE64" s="212" t="s">
        <v>1895</v>
      </c>
      <c r="AF64" s="230"/>
      <c r="AG64" s="261" t="s">
        <v>1896</v>
      </c>
      <c r="AH64" s="180" t="s">
        <v>481</v>
      </c>
      <c r="AI64" s="242">
        <v>132580</v>
      </c>
      <c r="AJ64" s="242">
        <f t="shared" si="14"/>
        <v>1000000</v>
      </c>
      <c r="AK64" s="225">
        <v>16</v>
      </c>
      <c r="AL64" s="225"/>
      <c r="AM64" s="225"/>
      <c r="AN64" s="215"/>
      <c r="AO64" s="215"/>
      <c r="AP64" s="215"/>
      <c r="AQ64" s="215" t="s">
        <v>395</v>
      </c>
      <c r="AR64" s="215" t="s">
        <v>395</v>
      </c>
      <c r="AS64" s="215" t="s">
        <v>395</v>
      </c>
      <c r="AT64" s="215" t="s">
        <v>395</v>
      </c>
      <c r="AU64" s="215" t="s">
        <v>395</v>
      </c>
      <c r="AV64" s="215" t="s">
        <v>395</v>
      </c>
      <c r="AW64" s="215"/>
      <c r="AX64" s="215"/>
      <c r="AY64" s="215"/>
      <c r="AZ64" s="212" t="s">
        <v>1897</v>
      </c>
      <c r="BA64" s="180"/>
    </row>
    <row r="65" spans="1:53" ht="63.75" x14ac:dyDescent="0.25">
      <c r="A65" s="246"/>
      <c r="B65" s="246"/>
      <c r="C65" s="246"/>
      <c r="D65" s="246"/>
      <c r="E65" s="246"/>
      <c r="F65" s="246"/>
      <c r="G65" s="246"/>
      <c r="H65" s="176"/>
      <c r="I65" s="176"/>
      <c r="J65" s="251"/>
      <c r="K65" s="176"/>
      <c r="L65" s="251"/>
      <c r="M65" s="269"/>
      <c r="N65" s="180"/>
      <c r="O65" s="180"/>
      <c r="P65" s="223">
        <f t="shared" si="13"/>
        <v>5200000</v>
      </c>
      <c r="Q65" s="224"/>
      <c r="R65" s="224"/>
      <c r="S65" s="224"/>
      <c r="T65" s="224"/>
      <c r="U65" s="224"/>
      <c r="V65" s="224">
        <v>5200000</v>
      </c>
      <c r="W65" s="224"/>
      <c r="X65" s="224"/>
      <c r="Y65" s="224"/>
      <c r="Z65" s="224"/>
      <c r="AA65" s="224"/>
      <c r="AB65" s="224"/>
      <c r="AC65" s="224"/>
      <c r="AD65" s="224"/>
      <c r="AE65" s="212" t="s">
        <v>1898</v>
      </c>
      <c r="AF65" s="230"/>
      <c r="AG65" s="180" t="s">
        <v>1899</v>
      </c>
      <c r="AH65" s="180" t="s">
        <v>580</v>
      </c>
      <c r="AI65" s="242">
        <v>51446</v>
      </c>
      <c r="AJ65" s="242">
        <f t="shared" si="14"/>
        <v>5200000</v>
      </c>
      <c r="AK65" s="225">
        <v>4</v>
      </c>
      <c r="AL65" s="225"/>
      <c r="AM65" s="225"/>
      <c r="AN65" s="215"/>
      <c r="AO65" s="215"/>
      <c r="AP65" s="215" t="s">
        <v>395</v>
      </c>
      <c r="AQ65" s="215" t="s">
        <v>395</v>
      </c>
      <c r="AR65" s="215" t="s">
        <v>395</v>
      </c>
      <c r="AS65" s="215" t="s">
        <v>395</v>
      </c>
      <c r="AT65" s="215" t="s">
        <v>395</v>
      </c>
      <c r="AU65" s="215" t="s">
        <v>395</v>
      </c>
      <c r="AV65" s="215"/>
      <c r="AW65" s="215"/>
      <c r="AX65" s="215"/>
      <c r="AY65" s="215"/>
      <c r="AZ65" s="212" t="s">
        <v>1900</v>
      </c>
      <c r="BA65" s="180"/>
    </row>
    <row r="66" spans="1:53" ht="102" x14ac:dyDescent="0.25">
      <c r="A66" s="246"/>
      <c r="B66" s="246"/>
      <c r="C66" s="246"/>
      <c r="D66" s="246"/>
      <c r="E66" s="246"/>
      <c r="F66" s="246"/>
      <c r="G66" s="246"/>
      <c r="H66" s="176"/>
      <c r="I66" s="176"/>
      <c r="J66" s="251"/>
      <c r="K66" s="176"/>
      <c r="L66" s="251"/>
      <c r="M66" s="269"/>
      <c r="N66" s="180"/>
      <c r="O66" s="180"/>
      <c r="P66" s="223">
        <f t="shared" si="13"/>
        <v>121000</v>
      </c>
      <c r="Q66" s="224">
        <v>36300</v>
      </c>
      <c r="R66" s="224"/>
      <c r="S66" s="224"/>
      <c r="T66" s="224"/>
      <c r="U66" s="224"/>
      <c r="V66" s="224"/>
      <c r="W66" s="224"/>
      <c r="X66" s="224"/>
      <c r="Y66" s="224"/>
      <c r="Z66" s="224"/>
      <c r="AA66" s="224"/>
      <c r="AB66" s="224"/>
      <c r="AC66" s="224">
        <v>84700</v>
      </c>
      <c r="AD66" s="224"/>
      <c r="AE66" s="212" t="s">
        <v>1901</v>
      </c>
      <c r="AF66" s="230"/>
      <c r="AG66" s="180" t="s">
        <v>1902</v>
      </c>
      <c r="AH66" s="180" t="s">
        <v>481</v>
      </c>
      <c r="AI66" s="242">
        <v>95041</v>
      </c>
      <c r="AJ66" s="242">
        <f t="shared" si="14"/>
        <v>121000</v>
      </c>
      <c r="AK66" s="225">
        <v>1</v>
      </c>
      <c r="AL66" s="225"/>
      <c r="AM66" s="225"/>
      <c r="AN66" s="215"/>
      <c r="AO66" s="215"/>
      <c r="AP66" s="215"/>
      <c r="AQ66" s="215" t="s">
        <v>395</v>
      </c>
      <c r="AR66" s="215" t="s">
        <v>395</v>
      </c>
      <c r="AS66" s="215" t="s">
        <v>395</v>
      </c>
      <c r="AT66" s="215" t="s">
        <v>395</v>
      </c>
      <c r="AU66" s="215"/>
      <c r="AV66" s="215"/>
      <c r="AW66" s="215"/>
      <c r="AX66" s="215"/>
      <c r="AY66" s="215"/>
      <c r="AZ66" s="212" t="s">
        <v>1870</v>
      </c>
      <c r="BA66" s="180"/>
    </row>
    <row r="67" spans="1:53" ht="63.75" x14ac:dyDescent="0.25">
      <c r="A67" s="246"/>
      <c r="B67" s="246"/>
      <c r="C67" s="246"/>
      <c r="D67" s="246"/>
      <c r="E67" s="246"/>
      <c r="F67" s="246"/>
      <c r="G67" s="246"/>
      <c r="H67" s="176"/>
      <c r="I67" s="176"/>
      <c r="J67" s="251"/>
      <c r="K67" s="176"/>
      <c r="L67" s="251"/>
      <c r="M67" s="269"/>
      <c r="N67" s="180"/>
      <c r="O67" s="180"/>
      <c r="P67" s="223">
        <f>SUM(Q67:AD67)</f>
        <v>153707.41800000001</v>
      </c>
      <c r="Q67" s="224">
        <v>46112.225400000003</v>
      </c>
      <c r="R67" s="224"/>
      <c r="S67" s="224"/>
      <c r="T67" s="224"/>
      <c r="U67" s="224"/>
      <c r="V67" s="224"/>
      <c r="W67" s="224"/>
      <c r="X67" s="224"/>
      <c r="Y67" s="224"/>
      <c r="Z67" s="224"/>
      <c r="AA67" s="224"/>
      <c r="AB67" s="224"/>
      <c r="AC67" s="224">
        <v>107595.19259999999</v>
      </c>
      <c r="AD67" s="224"/>
      <c r="AE67" s="212" t="s">
        <v>1903</v>
      </c>
      <c r="AF67" s="230"/>
      <c r="AG67" s="180" t="s">
        <v>1904</v>
      </c>
      <c r="AH67" s="180" t="s">
        <v>481</v>
      </c>
      <c r="AI67" s="242">
        <v>33388</v>
      </c>
      <c r="AJ67" s="242">
        <f t="shared" si="14"/>
        <v>153707.41800000001</v>
      </c>
      <c r="AK67" s="225">
        <v>18</v>
      </c>
      <c r="AL67" s="225"/>
      <c r="AM67" s="225"/>
      <c r="AN67" s="215" t="s">
        <v>395</v>
      </c>
      <c r="AO67" s="215" t="s">
        <v>395</v>
      </c>
      <c r="AP67" s="215"/>
      <c r="AQ67" s="215"/>
      <c r="AR67" s="215"/>
      <c r="AS67" s="215"/>
      <c r="AT67" s="215"/>
      <c r="AU67" s="215"/>
      <c r="AV67" s="215"/>
      <c r="AW67" s="215"/>
      <c r="AX67" s="215"/>
      <c r="AY67" s="215"/>
      <c r="AZ67" s="212" t="s">
        <v>1879</v>
      </c>
      <c r="BA67" s="180"/>
    </row>
    <row r="68" spans="1:53" ht="51" x14ac:dyDescent="0.25">
      <c r="A68" s="246"/>
      <c r="B68" s="246"/>
      <c r="C68" s="246"/>
      <c r="D68" s="246"/>
      <c r="E68" s="246"/>
      <c r="F68" s="246"/>
      <c r="G68" s="246"/>
      <c r="H68" s="176"/>
      <c r="I68" s="176"/>
      <c r="J68" s="251"/>
      <c r="K68" s="176"/>
      <c r="L68" s="251"/>
      <c r="M68" s="269"/>
      <c r="N68" s="180"/>
      <c r="O68" s="180"/>
      <c r="P68" s="223">
        <f t="shared" si="13"/>
        <v>42696.505000000005</v>
      </c>
      <c r="Q68" s="224">
        <v>12808.951499999999</v>
      </c>
      <c r="R68" s="224"/>
      <c r="S68" s="224"/>
      <c r="T68" s="224"/>
      <c r="U68" s="224"/>
      <c r="V68" s="224"/>
      <c r="W68" s="224"/>
      <c r="X68" s="224"/>
      <c r="Y68" s="224"/>
      <c r="Z68" s="224"/>
      <c r="AA68" s="224"/>
      <c r="AB68" s="224"/>
      <c r="AC68" s="224">
        <v>29887.553500000002</v>
      </c>
      <c r="AD68" s="224"/>
      <c r="AE68" s="212" t="s">
        <v>1905</v>
      </c>
      <c r="AF68" s="230"/>
      <c r="AG68" s="180" t="s">
        <v>1902</v>
      </c>
      <c r="AH68" s="180" t="s">
        <v>481</v>
      </c>
      <c r="AI68" s="242">
        <v>95041</v>
      </c>
      <c r="AJ68" s="242">
        <f t="shared" si="14"/>
        <v>42696.505000000005</v>
      </c>
      <c r="AK68" s="225">
        <v>5</v>
      </c>
      <c r="AL68" s="225"/>
      <c r="AM68" s="225"/>
      <c r="AN68" s="215"/>
      <c r="AO68" s="215"/>
      <c r="AP68" s="215" t="s">
        <v>395</v>
      </c>
      <c r="AQ68" s="215" t="s">
        <v>395</v>
      </c>
      <c r="AR68" s="215" t="s">
        <v>395</v>
      </c>
      <c r="AS68" s="215"/>
      <c r="AT68" s="215"/>
      <c r="AU68" s="215"/>
      <c r="AV68" s="215"/>
      <c r="AW68" s="215"/>
      <c r="AX68" s="215"/>
      <c r="AY68" s="215"/>
      <c r="AZ68" s="212" t="s">
        <v>1879</v>
      </c>
      <c r="BA68" s="180"/>
    </row>
    <row r="69" spans="1:53" x14ac:dyDescent="0.25">
      <c r="A69" s="220"/>
      <c r="B69" s="220"/>
      <c r="C69" s="176"/>
      <c r="D69" s="220"/>
      <c r="E69" s="176"/>
      <c r="F69" s="220"/>
      <c r="G69" s="176"/>
      <c r="H69" s="176"/>
      <c r="I69" s="220"/>
      <c r="J69" s="176"/>
      <c r="K69" s="176"/>
      <c r="L69" s="251"/>
      <c r="M69" s="269"/>
      <c r="N69" s="180"/>
      <c r="O69" s="180"/>
      <c r="P69" s="223"/>
      <c r="Q69" s="224"/>
      <c r="R69" s="224"/>
      <c r="S69" s="224"/>
      <c r="T69" s="224"/>
      <c r="U69" s="224"/>
      <c r="V69" s="224"/>
      <c r="W69" s="224"/>
      <c r="X69" s="224"/>
      <c r="Y69" s="224"/>
      <c r="Z69" s="224"/>
      <c r="AA69" s="224"/>
      <c r="AB69" s="224"/>
      <c r="AC69" s="224"/>
      <c r="AD69" s="224"/>
      <c r="AE69" s="212"/>
      <c r="AF69" s="230"/>
      <c r="AG69" s="180"/>
      <c r="AH69" s="180"/>
      <c r="AI69" s="180"/>
      <c r="AJ69" s="225"/>
      <c r="AK69" s="225"/>
      <c r="AL69" s="225"/>
      <c r="AM69" s="225"/>
      <c r="AN69" s="180"/>
      <c r="AO69" s="180"/>
      <c r="AP69" s="180"/>
      <c r="AQ69" s="180"/>
      <c r="AR69" s="180"/>
      <c r="AS69" s="180"/>
      <c r="AT69" s="215"/>
      <c r="AU69" s="215"/>
      <c r="AV69" s="215"/>
      <c r="AW69" s="215"/>
      <c r="AX69" s="215"/>
      <c r="AY69" s="215"/>
      <c r="AZ69" s="212"/>
      <c r="BA69" s="180"/>
    </row>
    <row r="70" spans="1:53" ht="195" x14ac:dyDescent="0.25">
      <c r="A70" s="252" t="s">
        <v>201</v>
      </c>
      <c r="B70" s="252" t="s">
        <v>1801</v>
      </c>
      <c r="C70" s="252" t="s">
        <v>1906</v>
      </c>
      <c r="D70" s="252" t="s">
        <v>1907</v>
      </c>
      <c r="E70" s="281">
        <v>0.05</v>
      </c>
      <c r="F70" s="254" t="s">
        <v>1864</v>
      </c>
      <c r="G70" s="252" t="s">
        <v>1865</v>
      </c>
      <c r="H70" s="254" t="s">
        <v>1908</v>
      </c>
      <c r="I70" s="254" t="s">
        <v>1909</v>
      </c>
      <c r="J70" s="251">
        <v>0</v>
      </c>
      <c r="K70" s="251" t="s">
        <v>323</v>
      </c>
      <c r="L70" s="251">
        <v>300</v>
      </c>
      <c r="M70" s="260">
        <f>+'[1]Plan Indicativo Infraestructura'!P33</f>
        <v>85</v>
      </c>
      <c r="N70" s="180"/>
      <c r="O70" s="180"/>
      <c r="P70" s="223">
        <f>SUM(P71:P74)</f>
        <v>1308000</v>
      </c>
      <c r="Q70" s="224">
        <f>SUM(Q71:Q74)</f>
        <v>1198000</v>
      </c>
      <c r="R70" s="224">
        <f t="shared" ref="R70:AD70" si="15">SUM(R71:R74)</f>
        <v>0</v>
      </c>
      <c r="S70" s="224">
        <f t="shared" si="15"/>
        <v>0</v>
      </c>
      <c r="T70" s="224">
        <f t="shared" si="15"/>
        <v>0</v>
      </c>
      <c r="U70" s="224">
        <f t="shared" si="15"/>
        <v>0</v>
      </c>
      <c r="V70" s="224">
        <f t="shared" si="15"/>
        <v>0</v>
      </c>
      <c r="W70" s="224">
        <f t="shared" si="15"/>
        <v>0</v>
      </c>
      <c r="X70" s="224">
        <f t="shared" si="15"/>
        <v>0</v>
      </c>
      <c r="Y70" s="224">
        <f t="shared" si="15"/>
        <v>0</v>
      </c>
      <c r="Z70" s="224">
        <f t="shared" si="15"/>
        <v>0</v>
      </c>
      <c r="AA70" s="224">
        <f t="shared" si="15"/>
        <v>110000</v>
      </c>
      <c r="AB70" s="224">
        <f t="shared" si="15"/>
        <v>0</v>
      </c>
      <c r="AC70" s="224">
        <f t="shared" si="15"/>
        <v>0</v>
      </c>
      <c r="AD70" s="224">
        <f t="shared" si="15"/>
        <v>0</v>
      </c>
      <c r="AE70" s="180"/>
      <c r="AF70" s="180"/>
      <c r="AG70" s="180"/>
      <c r="AH70" s="180"/>
      <c r="AI70" s="223">
        <f>SUM(AI71:AI74)</f>
        <v>69882</v>
      </c>
      <c r="AJ70" s="223">
        <f>SUM(AJ71:AJ74)</f>
        <v>1308000</v>
      </c>
      <c r="AK70" s="260">
        <f>SUM(AK71:AK74)</f>
        <v>143.30000000000001</v>
      </c>
      <c r="AL70" s="260">
        <f>SUM(AL71:AL71)</f>
        <v>0</v>
      </c>
      <c r="AM70" s="260"/>
      <c r="AN70" s="180"/>
      <c r="AO70" s="180"/>
      <c r="AP70" s="180"/>
      <c r="AQ70" s="180"/>
      <c r="AR70" s="180"/>
      <c r="AS70" s="180"/>
      <c r="AT70" s="180"/>
      <c r="AU70" s="180"/>
      <c r="AV70" s="180"/>
      <c r="AW70" s="180"/>
      <c r="AX70" s="180"/>
      <c r="AY70" s="180"/>
      <c r="AZ70" s="180"/>
      <c r="BA70" s="180"/>
    </row>
    <row r="71" spans="1:53" ht="409.5" x14ac:dyDescent="0.25">
      <c r="A71" s="246"/>
      <c r="B71" s="246"/>
      <c r="C71" s="246"/>
      <c r="D71" s="246"/>
      <c r="E71" s="246"/>
      <c r="F71" s="220"/>
      <c r="G71" s="246"/>
      <c r="H71" s="220"/>
      <c r="I71" s="220"/>
      <c r="J71" s="251"/>
      <c r="K71" s="251"/>
      <c r="L71" s="251"/>
      <c r="M71" s="269"/>
      <c r="N71" s="180"/>
      <c r="O71" s="180"/>
      <c r="P71" s="223">
        <f>SUM(Q71:AD71)</f>
        <v>810000</v>
      </c>
      <c r="Q71" s="224">
        <f>+AK71*10000</f>
        <v>810000</v>
      </c>
      <c r="R71" s="224"/>
      <c r="S71" s="224"/>
      <c r="T71" s="224"/>
      <c r="U71" s="224"/>
      <c r="V71" s="224"/>
      <c r="W71" s="224"/>
      <c r="X71" s="224"/>
      <c r="Y71" s="224"/>
      <c r="Z71" s="224"/>
      <c r="AA71" s="224"/>
      <c r="AB71" s="224"/>
      <c r="AC71" s="224"/>
      <c r="AD71" s="224"/>
      <c r="AE71" s="212" t="s">
        <v>1910</v>
      </c>
      <c r="AF71" s="230" t="s">
        <v>1878</v>
      </c>
      <c r="AG71" s="219" t="s">
        <v>1911</v>
      </c>
      <c r="AH71" s="219" t="s">
        <v>1912</v>
      </c>
      <c r="AI71" s="242">
        <v>7000</v>
      </c>
      <c r="AJ71" s="227">
        <f>SUM(Q71:AD71)</f>
        <v>810000</v>
      </c>
      <c r="AK71" s="225">
        <f>61+20</f>
        <v>81</v>
      </c>
      <c r="AL71" s="225"/>
      <c r="AM71" s="225"/>
      <c r="AN71" s="215" t="s">
        <v>395</v>
      </c>
      <c r="AO71" s="215" t="s">
        <v>395</v>
      </c>
      <c r="AP71" s="215" t="s">
        <v>395</v>
      </c>
      <c r="AQ71" s="215" t="s">
        <v>395</v>
      </c>
      <c r="AR71" s="215" t="s">
        <v>395</v>
      </c>
      <c r="AS71" s="215" t="s">
        <v>395</v>
      </c>
      <c r="AT71" s="215" t="s">
        <v>395</v>
      </c>
      <c r="AU71" s="215" t="s">
        <v>395</v>
      </c>
      <c r="AV71" s="215" t="s">
        <v>395</v>
      </c>
      <c r="AW71" s="215" t="s">
        <v>395</v>
      </c>
      <c r="AX71" s="215" t="s">
        <v>395</v>
      </c>
      <c r="AY71" s="215" t="s">
        <v>395</v>
      </c>
      <c r="AZ71" s="212" t="s">
        <v>1879</v>
      </c>
      <c r="BA71" s="180"/>
    </row>
    <row r="72" spans="1:53" ht="114.75" x14ac:dyDescent="0.25">
      <c r="A72" s="246"/>
      <c r="B72" s="246"/>
      <c r="C72" s="246"/>
      <c r="D72" s="246"/>
      <c r="E72" s="246"/>
      <c r="F72" s="220"/>
      <c r="G72" s="246"/>
      <c r="H72" s="220"/>
      <c r="I72" s="220"/>
      <c r="J72" s="251"/>
      <c r="K72" s="251"/>
      <c r="L72" s="251"/>
      <c r="M72" s="269"/>
      <c r="N72" s="180"/>
      <c r="O72" s="180"/>
      <c r="P72" s="223">
        <f t="shared" ref="P72:P74" si="16">SUM(Q72:AD72)</f>
        <v>150000</v>
      </c>
      <c r="Q72" s="224">
        <v>80000</v>
      </c>
      <c r="R72" s="224"/>
      <c r="S72" s="224"/>
      <c r="T72" s="224"/>
      <c r="U72" s="224"/>
      <c r="V72" s="224"/>
      <c r="W72" s="224"/>
      <c r="X72" s="224"/>
      <c r="Y72" s="224"/>
      <c r="Z72" s="224"/>
      <c r="AA72" s="224">
        <v>70000</v>
      </c>
      <c r="AB72" s="224"/>
      <c r="AC72" s="224"/>
      <c r="AD72" s="224"/>
      <c r="AE72" s="212" t="s">
        <v>1913</v>
      </c>
      <c r="AF72" s="230"/>
      <c r="AG72" s="180" t="s">
        <v>1818</v>
      </c>
      <c r="AH72" s="219" t="s">
        <v>1798</v>
      </c>
      <c r="AI72" s="242">
        <v>18105</v>
      </c>
      <c r="AJ72" s="227">
        <f t="shared" ref="AJ72:AJ74" si="17">SUM(Q72:AD72)</f>
        <v>150000</v>
      </c>
      <c r="AK72" s="262">
        <v>4.3</v>
      </c>
      <c r="AL72" s="225"/>
      <c r="AM72" s="225"/>
      <c r="AN72" s="215"/>
      <c r="AO72" s="215"/>
      <c r="AP72" s="215"/>
      <c r="AQ72" s="215" t="s">
        <v>395</v>
      </c>
      <c r="AR72" s="215" t="s">
        <v>395</v>
      </c>
      <c r="AS72" s="215" t="s">
        <v>395</v>
      </c>
      <c r="AT72" s="215" t="s">
        <v>395</v>
      </c>
      <c r="AU72" s="215"/>
      <c r="AV72" s="215"/>
      <c r="AW72" s="215"/>
      <c r="AX72" s="215"/>
      <c r="AY72" s="215"/>
      <c r="AZ72" s="212" t="s">
        <v>1879</v>
      </c>
      <c r="BA72" s="180"/>
    </row>
    <row r="73" spans="1:53" ht="63.75" x14ac:dyDescent="0.25">
      <c r="A73" s="246"/>
      <c r="B73" s="246"/>
      <c r="C73" s="246"/>
      <c r="D73" s="246"/>
      <c r="E73" s="246"/>
      <c r="F73" s="220"/>
      <c r="G73" s="246"/>
      <c r="H73" s="220"/>
      <c r="I73" s="220"/>
      <c r="J73" s="251"/>
      <c r="K73" s="251"/>
      <c r="L73" s="251"/>
      <c r="M73" s="269"/>
      <c r="N73" s="180"/>
      <c r="O73" s="180"/>
      <c r="P73" s="223">
        <f>SUM(Q73:AD73)</f>
        <v>180000</v>
      </c>
      <c r="Q73" s="224">
        <f>6000*AK73-AA73</f>
        <v>160000</v>
      </c>
      <c r="R73" s="224"/>
      <c r="S73" s="224"/>
      <c r="T73" s="224"/>
      <c r="U73" s="224"/>
      <c r="V73" s="224"/>
      <c r="W73" s="224"/>
      <c r="X73" s="224"/>
      <c r="Y73" s="224"/>
      <c r="Z73" s="224"/>
      <c r="AA73" s="224">
        <v>20000</v>
      </c>
      <c r="AB73" s="224"/>
      <c r="AC73" s="224"/>
      <c r="AD73" s="224"/>
      <c r="AE73" s="212" t="s">
        <v>1914</v>
      </c>
      <c r="AF73" s="230"/>
      <c r="AG73" s="180" t="s">
        <v>1915</v>
      </c>
      <c r="AH73" s="219" t="s">
        <v>580</v>
      </c>
      <c r="AI73" s="242">
        <v>18610</v>
      </c>
      <c r="AJ73" s="227">
        <f t="shared" si="17"/>
        <v>180000</v>
      </c>
      <c r="AK73" s="262">
        <v>30</v>
      </c>
      <c r="AL73" s="225"/>
      <c r="AM73" s="225"/>
      <c r="AN73" s="215"/>
      <c r="AO73" s="215"/>
      <c r="AP73" s="215"/>
      <c r="AQ73" s="215" t="s">
        <v>395</v>
      </c>
      <c r="AR73" s="215" t="s">
        <v>395</v>
      </c>
      <c r="AS73" s="215" t="s">
        <v>395</v>
      </c>
      <c r="AT73" s="215" t="s">
        <v>395</v>
      </c>
      <c r="AU73" s="215"/>
      <c r="AV73" s="215"/>
      <c r="AW73" s="215"/>
      <c r="AX73" s="215"/>
      <c r="AY73" s="215"/>
      <c r="AZ73" s="212" t="s">
        <v>1879</v>
      </c>
      <c r="BA73" s="180"/>
    </row>
    <row r="74" spans="1:53" ht="51" x14ac:dyDescent="0.25">
      <c r="A74" s="246"/>
      <c r="B74" s="246"/>
      <c r="C74" s="246"/>
      <c r="D74" s="246"/>
      <c r="E74" s="246"/>
      <c r="F74" s="220"/>
      <c r="G74" s="246"/>
      <c r="H74" s="220"/>
      <c r="I74" s="220"/>
      <c r="J74" s="251"/>
      <c r="K74" s="251"/>
      <c r="L74" s="251"/>
      <c r="M74" s="269"/>
      <c r="N74" s="180"/>
      <c r="O74" s="180"/>
      <c r="P74" s="223">
        <f t="shared" si="16"/>
        <v>168000</v>
      </c>
      <c r="Q74" s="224">
        <f>6000*AK74-AA74</f>
        <v>148000</v>
      </c>
      <c r="R74" s="224"/>
      <c r="S74" s="224"/>
      <c r="T74" s="224"/>
      <c r="U74" s="224"/>
      <c r="V74" s="224"/>
      <c r="W74" s="224"/>
      <c r="X74" s="224"/>
      <c r="Y74" s="224"/>
      <c r="Z74" s="224"/>
      <c r="AA74" s="224">
        <v>20000</v>
      </c>
      <c r="AB74" s="224"/>
      <c r="AC74" s="224"/>
      <c r="AD74" s="224"/>
      <c r="AE74" s="212" t="s">
        <v>1916</v>
      </c>
      <c r="AF74" s="230"/>
      <c r="AG74" s="180" t="s">
        <v>1778</v>
      </c>
      <c r="AH74" s="219" t="s">
        <v>580</v>
      </c>
      <c r="AI74" s="242">
        <v>26167</v>
      </c>
      <c r="AJ74" s="227">
        <f t="shared" si="17"/>
        <v>168000</v>
      </c>
      <c r="AK74" s="262">
        <f>17+5+6</f>
        <v>28</v>
      </c>
      <c r="AL74" s="225"/>
      <c r="AM74" s="225"/>
      <c r="AN74" s="215"/>
      <c r="AO74" s="215"/>
      <c r="AP74" s="215"/>
      <c r="AQ74" s="215" t="s">
        <v>395</v>
      </c>
      <c r="AR74" s="215" t="s">
        <v>395</v>
      </c>
      <c r="AS74" s="215" t="s">
        <v>395</v>
      </c>
      <c r="AT74" s="215" t="s">
        <v>395</v>
      </c>
      <c r="AU74" s="215"/>
      <c r="AV74" s="215"/>
      <c r="AW74" s="215"/>
      <c r="AX74" s="215"/>
      <c r="AY74" s="215"/>
      <c r="AZ74" s="212" t="s">
        <v>1879</v>
      </c>
      <c r="BA74" s="180"/>
    </row>
    <row r="75" spans="1:53" x14ac:dyDescent="0.25">
      <c r="A75" s="220"/>
      <c r="B75" s="220"/>
      <c r="C75" s="246"/>
      <c r="D75" s="246"/>
      <c r="E75" s="246"/>
      <c r="F75" s="220"/>
      <c r="G75" s="176"/>
      <c r="H75" s="176"/>
      <c r="I75" s="220"/>
      <c r="J75" s="176"/>
      <c r="K75" s="176"/>
      <c r="L75" s="251"/>
      <c r="M75" s="269"/>
      <c r="N75" s="180"/>
      <c r="O75" s="180"/>
      <c r="P75" s="235"/>
      <c r="Q75" s="224"/>
      <c r="R75" s="224"/>
      <c r="S75" s="224"/>
      <c r="T75" s="224"/>
      <c r="U75" s="224"/>
      <c r="V75" s="224"/>
      <c r="W75" s="224"/>
      <c r="X75" s="224"/>
      <c r="Y75" s="224"/>
      <c r="Z75" s="224"/>
      <c r="AA75" s="224"/>
      <c r="AB75" s="224"/>
      <c r="AC75" s="224"/>
      <c r="AD75" s="224"/>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row>
    <row r="76" spans="1:53" ht="195" x14ac:dyDescent="0.25">
      <c r="A76" s="254" t="s">
        <v>201</v>
      </c>
      <c r="B76" s="254" t="s">
        <v>1801</v>
      </c>
      <c r="C76" s="254"/>
      <c r="D76" s="254"/>
      <c r="E76" s="254"/>
      <c r="F76" s="254" t="s">
        <v>1864</v>
      </c>
      <c r="G76" s="254" t="s">
        <v>1865</v>
      </c>
      <c r="H76" s="254" t="s">
        <v>1917</v>
      </c>
      <c r="I76" s="254" t="s">
        <v>1918</v>
      </c>
      <c r="J76" s="176">
        <v>0</v>
      </c>
      <c r="K76" s="176" t="s">
        <v>322</v>
      </c>
      <c r="L76" s="228">
        <v>1</v>
      </c>
      <c r="M76" s="264">
        <f>+'[1]Plan Indicativo Infraestructura'!P35</f>
        <v>0.25</v>
      </c>
      <c r="N76" s="180"/>
      <c r="O76" s="180"/>
      <c r="P76" s="223">
        <f>+P77</f>
        <v>75000</v>
      </c>
      <c r="Q76" s="224">
        <f>+Q77</f>
        <v>75000</v>
      </c>
      <c r="R76" s="224">
        <f t="shared" ref="R76:AD76" si="18">+R77</f>
        <v>0</v>
      </c>
      <c r="S76" s="224">
        <f t="shared" si="18"/>
        <v>0</v>
      </c>
      <c r="T76" s="224">
        <f t="shared" si="18"/>
        <v>0</v>
      </c>
      <c r="U76" s="224">
        <f t="shared" si="18"/>
        <v>0</v>
      </c>
      <c r="V76" s="224">
        <f t="shared" si="18"/>
        <v>0</v>
      </c>
      <c r="W76" s="224">
        <f t="shared" si="18"/>
        <v>0</v>
      </c>
      <c r="X76" s="224">
        <f t="shared" si="18"/>
        <v>0</v>
      </c>
      <c r="Y76" s="224">
        <f t="shared" si="18"/>
        <v>0</v>
      </c>
      <c r="Z76" s="224">
        <f t="shared" si="18"/>
        <v>0</v>
      </c>
      <c r="AA76" s="224">
        <f t="shared" si="18"/>
        <v>0</v>
      </c>
      <c r="AB76" s="224">
        <f t="shared" si="18"/>
        <v>0</v>
      </c>
      <c r="AC76" s="224">
        <f t="shared" si="18"/>
        <v>0</v>
      </c>
      <c r="AD76" s="224">
        <f t="shared" si="18"/>
        <v>0</v>
      </c>
      <c r="AE76" s="180"/>
      <c r="AF76" s="180"/>
      <c r="AG76" s="219"/>
      <c r="AH76" s="226"/>
      <c r="AI76" s="257">
        <f>SUM(AI77)</f>
        <v>1391836</v>
      </c>
      <c r="AJ76" s="257">
        <f>SUM(AJ77)</f>
        <v>75000</v>
      </c>
      <c r="AK76" s="264">
        <f>SUM(AK77)</f>
        <v>0.25</v>
      </c>
      <c r="AL76" s="228">
        <v>0.25</v>
      </c>
      <c r="AM76" s="228"/>
      <c r="AN76" s="215"/>
      <c r="AO76" s="215"/>
      <c r="AP76" s="215"/>
      <c r="AQ76" s="215"/>
      <c r="AR76" s="215"/>
      <c r="AS76" s="215"/>
      <c r="AT76" s="215"/>
      <c r="AU76" s="215"/>
      <c r="AV76" s="215"/>
      <c r="AW76" s="215"/>
      <c r="AX76" s="215"/>
      <c r="AY76" s="215"/>
      <c r="AZ76" s="180"/>
      <c r="BA76" s="180"/>
    </row>
    <row r="77" spans="1:53" ht="140.25" x14ac:dyDescent="0.25">
      <c r="A77" s="246"/>
      <c r="B77" s="246"/>
      <c r="C77" s="246"/>
      <c r="D77" s="246"/>
      <c r="E77" s="246"/>
      <c r="F77" s="246"/>
      <c r="G77" s="246"/>
      <c r="H77" s="246"/>
      <c r="I77" s="220"/>
      <c r="J77" s="251"/>
      <c r="K77" s="251"/>
      <c r="L77" s="251"/>
      <c r="M77" s="269"/>
      <c r="N77" s="180"/>
      <c r="O77" s="180"/>
      <c r="P77" s="223">
        <f>SUM(Q77:AD77)</f>
        <v>75000</v>
      </c>
      <c r="Q77" s="224">
        <v>75000</v>
      </c>
      <c r="R77" s="224"/>
      <c r="S77" s="224"/>
      <c r="T77" s="224"/>
      <c r="U77" s="224"/>
      <c r="V77" s="224"/>
      <c r="W77" s="224"/>
      <c r="X77" s="224"/>
      <c r="Y77" s="224"/>
      <c r="Z77" s="224"/>
      <c r="AA77" s="224"/>
      <c r="AB77" s="224"/>
      <c r="AC77" s="224"/>
      <c r="AD77" s="224"/>
      <c r="AE77" s="212" t="s">
        <v>1919</v>
      </c>
      <c r="AF77" s="230"/>
      <c r="AG77" s="183" t="s">
        <v>1920</v>
      </c>
      <c r="AH77" s="226" t="s">
        <v>1921</v>
      </c>
      <c r="AI77" s="180">
        <v>1391836</v>
      </c>
      <c r="AJ77" s="227">
        <f>SUM(Q77:AD77)</f>
        <v>75000</v>
      </c>
      <c r="AK77" s="228">
        <v>0.25</v>
      </c>
      <c r="AL77" s="225" t="s">
        <v>1922</v>
      </c>
      <c r="AM77" s="225"/>
      <c r="AN77" s="215" t="s">
        <v>395</v>
      </c>
      <c r="AO77" s="215" t="s">
        <v>395</v>
      </c>
      <c r="AP77" s="215" t="s">
        <v>395</v>
      </c>
      <c r="AQ77" s="215" t="s">
        <v>395</v>
      </c>
      <c r="AR77" s="215" t="s">
        <v>395</v>
      </c>
      <c r="AS77" s="215" t="s">
        <v>395</v>
      </c>
      <c r="AT77" s="215" t="s">
        <v>395</v>
      </c>
      <c r="AU77" s="215" t="s">
        <v>395</v>
      </c>
      <c r="AV77" s="215" t="s">
        <v>395</v>
      </c>
      <c r="AW77" s="215" t="s">
        <v>395</v>
      </c>
      <c r="AX77" s="215" t="s">
        <v>395</v>
      </c>
      <c r="AY77" s="215" t="s">
        <v>395</v>
      </c>
      <c r="AZ77" s="180" t="s">
        <v>1879</v>
      </c>
      <c r="BA77" s="180"/>
    </row>
    <row r="78" spans="1:53" x14ac:dyDescent="0.25">
      <c r="A78" s="220"/>
      <c r="B78" s="220"/>
      <c r="C78" s="176"/>
      <c r="D78" s="176"/>
      <c r="E78" s="176"/>
      <c r="F78" s="220"/>
      <c r="G78" s="246"/>
      <c r="H78" s="176"/>
      <c r="I78" s="220"/>
      <c r="J78" s="176"/>
      <c r="K78" s="176"/>
      <c r="L78" s="228"/>
      <c r="M78" s="269"/>
      <c r="N78" s="180"/>
      <c r="O78" s="180"/>
      <c r="P78" s="235"/>
      <c r="Q78" s="224"/>
      <c r="R78" s="224"/>
      <c r="S78" s="224"/>
      <c r="T78" s="224"/>
      <c r="U78" s="224"/>
      <c r="V78" s="224"/>
      <c r="W78" s="224"/>
      <c r="X78" s="224"/>
      <c r="Y78" s="224"/>
      <c r="Z78" s="224"/>
      <c r="AA78" s="224"/>
      <c r="AB78" s="224"/>
      <c r="AC78" s="224"/>
      <c r="AD78" s="224"/>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row>
    <row r="79" spans="1:53" ht="195" x14ac:dyDescent="0.25">
      <c r="A79" s="253" t="s">
        <v>201</v>
      </c>
      <c r="B79" s="253" t="s">
        <v>1801</v>
      </c>
      <c r="C79" s="253" t="s">
        <v>1923</v>
      </c>
      <c r="D79" s="253" t="s">
        <v>1924</v>
      </c>
      <c r="E79" s="253" t="s">
        <v>1925</v>
      </c>
      <c r="F79" s="253" t="s">
        <v>1926</v>
      </c>
      <c r="G79" s="253" t="s">
        <v>1927</v>
      </c>
      <c r="H79" s="253" t="s">
        <v>1928</v>
      </c>
      <c r="I79" s="253" t="s">
        <v>1929</v>
      </c>
      <c r="J79" s="251">
        <v>194.33600000000001</v>
      </c>
      <c r="K79" s="251" t="s">
        <v>323</v>
      </c>
      <c r="L79" s="251">
        <v>70</v>
      </c>
      <c r="M79" s="265">
        <f>+'[1]Plan Indicativo Infraestructura'!P37</f>
        <v>0</v>
      </c>
      <c r="N79" s="180"/>
      <c r="O79" s="180"/>
      <c r="P79" s="223">
        <f>SUM(P80:P88)</f>
        <v>80988498.35800001</v>
      </c>
      <c r="Q79" s="224">
        <f>SUM(Q80:Q88)</f>
        <v>0</v>
      </c>
      <c r="R79" s="224">
        <f t="shared" ref="R79:AD79" si="19">SUM(R80:R88)</f>
        <v>0</v>
      </c>
      <c r="S79" s="224">
        <f t="shared" si="19"/>
        <v>0</v>
      </c>
      <c r="T79" s="224">
        <f t="shared" si="19"/>
        <v>0</v>
      </c>
      <c r="U79" s="224">
        <f>SUM(U80:U88)</f>
        <v>17727501.513</v>
      </c>
      <c r="V79" s="224">
        <f t="shared" si="19"/>
        <v>3500000</v>
      </c>
      <c r="W79" s="224">
        <f t="shared" si="19"/>
        <v>0</v>
      </c>
      <c r="X79" s="224">
        <f t="shared" si="19"/>
        <v>0</v>
      </c>
      <c r="Y79" s="224">
        <f t="shared" si="19"/>
        <v>0</v>
      </c>
      <c r="Z79" s="224">
        <f t="shared" si="19"/>
        <v>5996830</v>
      </c>
      <c r="AA79" s="224">
        <f t="shared" si="19"/>
        <v>0</v>
      </c>
      <c r="AB79" s="224">
        <f t="shared" si="19"/>
        <v>0</v>
      </c>
      <c r="AC79" s="224">
        <f t="shared" si="19"/>
        <v>0</v>
      </c>
      <c r="AD79" s="224">
        <f t="shared" si="19"/>
        <v>53764166.844999999</v>
      </c>
      <c r="AE79" s="180"/>
      <c r="AF79" s="180"/>
      <c r="AG79" s="180"/>
      <c r="AH79" s="180"/>
      <c r="AI79" s="223">
        <f>SUM(AI80:AI88)</f>
        <v>1975133</v>
      </c>
      <c r="AJ79" s="223">
        <f>SUM(AJ80:AJ88)</f>
        <v>80988498.35800001</v>
      </c>
      <c r="AK79" s="265">
        <f>SUM(AK80:AK88)</f>
        <v>25.599999999999998</v>
      </c>
      <c r="AL79" s="265">
        <f>SUM(AL80:AL88)</f>
        <v>15.2</v>
      </c>
      <c r="AM79" s="223">
        <f>SUM(AM80:AM88)</f>
        <v>16863200</v>
      </c>
      <c r="AN79" s="180"/>
      <c r="AO79" s="180"/>
      <c r="AP79" s="180"/>
      <c r="AQ79" s="180"/>
      <c r="AR79" s="180"/>
      <c r="AS79" s="180"/>
      <c r="AT79" s="180"/>
      <c r="AU79" s="180"/>
      <c r="AV79" s="180"/>
      <c r="AW79" s="180"/>
      <c r="AX79" s="180"/>
      <c r="AY79" s="180"/>
      <c r="AZ79" s="180"/>
      <c r="BA79" s="180"/>
    </row>
    <row r="80" spans="1:53" ht="127.5" x14ac:dyDescent="0.25">
      <c r="A80" s="176"/>
      <c r="B80" s="176"/>
      <c r="C80" s="176"/>
      <c r="D80" s="176"/>
      <c r="E80" s="176"/>
      <c r="F80" s="176"/>
      <c r="G80" s="176"/>
      <c r="H80" s="176"/>
      <c r="I80" s="176"/>
      <c r="J80" s="251"/>
      <c r="K80" s="251"/>
      <c r="L80" s="251"/>
      <c r="M80" s="269"/>
      <c r="N80" s="180"/>
      <c r="O80" s="180"/>
      <c r="P80" s="223">
        <f>SUM(Q80:AD80)</f>
        <v>2563200</v>
      </c>
      <c r="Q80" s="224"/>
      <c r="R80" s="224"/>
      <c r="S80" s="224"/>
      <c r="T80" s="224"/>
      <c r="U80" s="224"/>
      <c r="V80" s="224"/>
      <c r="W80" s="224"/>
      <c r="X80" s="224"/>
      <c r="Y80" s="224"/>
      <c r="Z80" s="224">
        <f>2136000*1.2</f>
        <v>2563200</v>
      </c>
      <c r="AA80" s="224"/>
      <c r="AB80" s="224"/>
      <c r="AC80" s="224"/>
      <c r="AD80" s="224"/>
      <c r="AE80" s="236" t="s">
        <v>1930</v>
      </c>
      <c r="AF80" s="230" t="s">
        <v>1931</v>
      </c>
      <c r="AG80" s="229" t="s">
        <v>1932</v>
      </c>
      <c r="AH80" s="180" t="s">
        <v>481</v>
      </c>
      <c r="AI80" s="282">
        <v>33874</v>
      </c>
      <c r="AJ80" s="227">
        <f t="shared" ref="AJ80:AJ88" si="20">SUM(Q80:AD80)</f>
        <v>2563200</v>
      </c>
      <c r="AK80" s="266">
        <v>0.72</v>
      </c>
      <c r="AL80" s="262">
        <f>7-1.8</f>
        <v>5.2</v>
      </c>
      <c r="AM80" s="245">
        <f>+AJ80</f>
        <v>2563200</v>
      </c>
      <c r="AN80" s="216" t="s">
        <v>751</v>
      </c>
      <c r="AO80" s="216" t="s">
        <v>751</v>
      </c>
      <c r="AP80" s="216" t="s">
        <v>751</v>
      </c>
      <c r="AQ80" s="216" t="s">
        <v>751</v>
      </c>
      <c r="AR80" s="216"/>
      <c r="AS80" s="216"/>
      <c r="AT80" s="216"/>
      <c r="AU80" s="216"/>
      <c r="AV80" s="216"/>
      <c r="AW80" s="216"/>
      <c r="AX80" s="216"/>
      <c r="AY80" s="216"/>
      <c r="AZ80" s="180" t="s">
        <v>1933</v>
      </c>
      <c r="BA80" s="180"/>
    </row>
    <row r="81" spans="1:53" ht="63.75" x14ac:dyDescent="0.25">
      <c r="A81" s="176"/>
      <c r="B81" s="176"/>
      <c r="C81" s="176"/>
      <c r="D81" s="176"/>
      <c r="E81" s="176"/>
      <c r="F81" s="176"/>
      <c r="G81" s="176"/>
      <c r="H81" s="176"/>
      <c r="I81" s="176"/>
      <c r="J81" s="251"/>
      <c r="K81" s="251"/>
      <c r="L81" s="251"/>
      <c r="M81" s="269"/>
      <c r="N81" s="180"/>
      <c r="O81" s="180"/>
      <c r="P81" s="223">
        <f t="shared" ref="P81:P88" si="21">SUM(Q81:AD81)</f>
        <v>21000000</v>
      </c>
      <c r="Q81" s="224"/>
      <c r="R81" s="224"/>
      <c r="S81" s="224"/>
      <c r="T81" s="224"/>
      <c r="U81" s="224"/>
      <c r="V81" s="224"/>
      <c r="W81" s="224"/>
      <c r="X81" s="224"/>
      <c r="Y81" s="224"/>
      <c r="Z81" s="224"/>
      <c r="AA81" s="224"/>
      <c r="AB81" s="224"/>
      <c r="AC81" s="224"/>
      <c r="AD81" s="224">
        <v>21000000</v>
      </c>
      <c r="AE81" s="236" t="s">
        <v>1934</v>
      </c>
      <c r="AF81" s="230"/>
      <c r="AG81" s="229" t="s">
        <v>1935</v>
      </c>
      <c r="AH81" s="180" t="s">
        <v>481</v>
      </c>
      <c r="AI81" s="282">
        <v>17590</v>
      </c>
      <c r="AJ81" s="227">
        <f t="shared" si="20"/>
        <v>21000000</v>
      </c>
      <c r="AK81" s="267">
        <v>10</v>
      </c>
      <c r="AL81" s="225">
        <v>4</v>
      </c>
      <c r="AM81" s="245">
        <v>8800000</v>
      </c>
      <c r="AN81" s="185" t="s">
        <v>751</v>
      </c>
      <c r="AO81" s="216" t="s">
        <v>751</v>
      </c>
      <c r="AP81" s="216" t="s">
        <v>751</v>
      </c>
      <c r="AQ81" s="216" t="s">
        <v>751</v>
      </c>
      <c r="AR81" s="216" t="s">
        <v>751</v>
      </c>
      <c r="AS81" s="216" t="s">
        <v>751</v>
      </c>
      <c r="AT81" s="216" t="s">
        <v>751</v>
      </c>
      <c r="AU81" s="216" t="s">
        <v>751</v>
      </c>
      <c r="AV81" s="216" t="s">
        <v>751</v>
      </c>
      <c r="AW81" s="216" t="s">
        <v>751</v>
      </c>
      <c r="AX81" s="216" t="s">
        <v>751</v>
      </c>
      <c r="AY81" s="216" t="s">
        <v>751</v>
      </c>
      <c r="AZ81" s="180" t="s">
        <v>1933</v>
      </c>
      <c r="BA81" s="180"/>
    </row>
    <row r="82" spans="1:53" ht="178.5" x14ac:dyDescent="0.25">
      <c r="A82" s="176"/>
      <c r="B82" s="176"/>
      <c r="C82" s="176"/>
      <c r="D82" s="176"/>
      <c r="E82" s="176"/>
      <c r="F82" s="176"/>
      <c r="G82" s="176"/>
      <c r="H82" s="176"/>
      <c r="I82" s="176"/>
      <c r="J82" s="251"/>
      <c r="K82" s="251"/>
      <c r="L82" s="251"/>
      <c r="M82" s="269"/>
      <c r="N82" s="180"/>
      <c r="O82" s="180"/>
      <c r="P82" s="223">
        <f t="shared" si="21"/>
        <v>5764750.8449999997</v>
      </c>
      <c r="Q82" s="224"/>
      <c r="R82" s="224"/>
      <c r="S82" s="224"/>
      <c r="T82" s="224"/>
      <c r="U82" s="224"/>
      <c r="V82" s="224"/>
      <c r="W82" s="224"/>
      <c r="X82" s="224"/>
      <c r="Y82" s="224"/>
      <c r="Z82" s="224"/>
      <c r="AA82" s="224"/>
      <c r="AB82" s="224"/>
      <c r="AC82" s="224"/>
      <c r="AD82" s="224">
        <v>5764750.8449999997</v>
      </c>
      <c r="AE82" s="236" t="s">
        <v>1936</v>
      </c>
      <c r="AF82" s="230" t="s">
        <v>1937</v>
      </c>
      <c r="AG82" s="229" t="s">
        <v>1938</v>
      </c>
      <c r="AH82" s="180" t="s">
        <v>481</v>
      </c>
      <c r="AI82" s="282">
        <v>17380</v>
      </c>
      <c r="AJ82" s="227">
        <f t="shared" si="20"/>
        <v>5764750.8449999997</v>
      </c>
      <c r="AK82" s="267">
        <v>2.8</v>
      </c>
      <c r="AL82" s="225">
        <v>6</v>
      </c>
      <c r="AM82" s="245">
        <v>5500000</v>
      </c>
      <c r="AN82" s="216" t="s">
        <v>751</v>
      </c>
      <c r="AO82" s="216" t="s">
        <v>751</v>
      </c>
      <c r="AP82" s="216" t="s">
        <v>751</v>
      </c>
      <c r="AQ82" s="216" t="s">
        <v>751</v>
      </c>
      <c r="AR82" s="216"/>
      <c r="AS82" s="216"/>
      <c r="AT82" s="216"/>
      <c r="AU82" s="216"/>
      <c r="AV82" s="216"/>
      <c r="AW82" s="216"/>
      <c r="AX82" s="216"/>
      <c r="AY82" s="216"/>
      <c r="AZ82" s="180" t="s">
        <v>1933</v>
      </c>
      <c r="BA82" s="180"/>
    </row>
    <row r="83" spans="1:53" ht="63.75" x14ac:dyDescent="0.25">
      <c r="A83" s="176"/>
      <c r="B83" s="176"/>
      <c r="C83" s="176"/>
      <c r="D83" s="176"/>
      <c r="E83" s="176"/>
      <c r="F83" s="176"/>
      <c r="G83" s="176"/>
      <c r="H83" s="176"/>
      <c r="I83" s="176"/>
      <c r="J83" s="251"/>
      <c r="K83" s="251"/>
      <c r="L83" s="251"/>
      <c r="M83" s="269"/>
      <c r="N83" s="180"/>
      <c r="O83" s="180"/>
      <c r="P83" s="223">
        <f t="shared" si="21"/>
        <v>3500000</v>
      </c>
      <c r="Q83" s="224"/>
      <c r="R83" s="224"/>
      <c r="S83" s="224"/>
      <c r="T83" s="224"/>
      <c r="U83" s="224"/>
      <c r="V83" s="224">
        <v>3500000</v>
      </c>
      <c r="W83" s="224"/>
      <c r="X83" s="224"/>
      <c r="Y83" s="224"/>
      <c r="Z83" s="224"/>
      <c r="AA83" s="224"/>
      <c r="AB83" s="224"/>
      <c r="AC83" s="224"/>
      <c r="AD83" s="224"/>
      <c r="AE83" s="236" t="s">
        <v>1939</v>
      </c>
      <c r="AF83" s="230"/>
      <c r="AG83" s="236" t="s">
        <v>1940</v>
      </c>
      <c r="AH83" s="180" t="s">
        <v>1798</v>
      </c>
      <c r="AI83" s="282">
        <v>26976</v>
      </c>
      <c r="AJ83" s="227">
        <f t="shared" si="20"/>
        <v>3500000</v>
      </c>
      <c r="AK83" s="267">
        <v>2.1</v>
      </c>
      <c r="AL83" s="262"/>
      <c r="AM83" s="245"/>
      <c r="AN83" s="216" t="s">
        <v>751</v>
      </c>
      <c r="AO83" s="216" t="s">
        <v>751</v>
      </c>
      <c r="AP83" s="216" t="s">
        <v>751</v>
      </c>
      <c r="AQ83" s="216" t="s">
        <v>751</v>
      </c>
      <c r="AR83" s="216" t="s">
        <v>751</v>
      </c>
      <c r="AS83" s="216" t="s">
        <v>751</v>
      </c>
      <c r="AT83" s="180"/>
      <c r="AU83" s="180"/>
      <c r="AV83" s="180"/>
      <c r="AW83" s="180"/>
      <c r="AX83" s="180"/>
      <c r="AY83" s="180"/>
      <c r="AZ83" s="212" t="s">
        <v>1870</v>
      </c>
      <c r="BA83" s="180"/>
    </row>
    <row r="84" spans="1:53" ht="293.25" x14ac:dyDescent="0.25">
      <c r="A84" s="176"/>
      <c r="B84" s="176"/>
      <c r="C84" s="176"/>
      <c r="D84" s="176"/>
      <c r="E84" s="176"/>
      <c r="F84" s="176"/>
      <c r="G84" s="176"/>
      <c r="H84" s="176"/>
      <c r="I84" s="176"/>
      <c r="J84" s="251"/>
      <c r="K84" s="251"/>
      <c r="L84" s="251"/>
      <c r="M84" s="269"/>
      <c r="N84" s="180"/>
      <c r="O84" s="180"/>
      <c r="P84" s="223">
        <f t="shared" si="21"/>
        <v>26999416</v>
      </c>
      <c r="Q84" s="224"/>
      <c r="R84" s="224"/>
      <c r="S84" s="224"/>
      <c r="T84" s="224"/>
      <c r="U84" s="224"/>
      <c r="V84" s="224"/>
      <c r="W84" s="224"/>
      <c r="X84" s="224"/>
      <c r="Y84" s="224"/>
      <c r="Z84" s="224"/>
      <c r="AA84" s="224"/>
      <c r="AB84" s="224"/>
      <c r="AC84" s="224"/>
      <c r="AD84" s="224">
        <v>26999416</v>
      </c>
      <c r="AE84" s="236" t="s">
        <v>1941</v>
      </c>
      <c r="AF84" s="230" t="s">
        <v>1942</v>
      </c>
      <c r="AG84" s="236" t="s">
        <v>1943</v>
      </c>
      <c r="AH84" s="180" t="s">
        <v>580</v>
      </c>
      <c r="AI84" s="282">
        <v>916657</v>
      </c>
      <c r="AJ84" s="227">
        <f t="shared" si="20"/>
        <v>26999416</v>
      </c>
      <c r="AK84" s="267">
        <v>0.32</v>
      </c>
      <c r="AL84" s="225">
        <v>0</v>
      </c>
      <c r="AM84" s="245"/>
      <c r="AN84" s="180"/>
      <c r="AO84" s="180"/>
      <c r="AP84" s="180"/>
      <c r="AQ84" s="216" t="s">
        <v>751</v>
      </c>
      <c r="AR84" s="216" t="s">
        <v>751</v>
      </c>
      <c r="AS84" s="216" t="s">
        <v>751</v>
      </c>
      <c r="AT84" s="216" t="s">
        <v>751</v>
      </c>
      <c r="AU84" s="216" t="s">
        <v>751</v>
      </c>
      <c r="AV84" s="216"/>
      <c r="AW84" s="216"/>
      <c r="AX84" s="216"/>
      <c r="AY84" s="216"/>
      <c r="AZ84" s="212" t="s">
        <v>1870</v>
      </c>
      <c r="BA84" s="180"/>
    </row>
    <row r="85" spans="1:53" ht="216.75" x14ac:dyDescent="0.25">
      <c r="A85" s="176"/>
      <c r="B85" s="176"/>
      <c r="C85" s="176"/>
      <c r="D85" s="176"/>
      <c r="E85" s="176"/>
      <c r="F85" s="176"/>
      <c r="G85" s="176"/>
      <c r="H85" s="176"/>
      <c r="I85" s="176"/>
      <c r="J85" s="251"/>
      <c r="K85" s="251"/>
      <c r="L85" s="251"/>
      <c r="M85" s="269"/>
      <c r="N85" s="180"/>
      <c r="O85" s="180"/>
      <c r="P85" s="223">
        <f t="shared" si="21"/>
        <v>1999073.825</v>
      </c>
      <c r="Q85" s="224"/>
      <c r="R85" s="224"/>
      <c r="S85" s="224"/>
      <c r="T85" s="224"/>
      <c r="U85" s="224">
        <v>1999073.825</v>
      </c>
      <c r="V85" s="224"/>
      <c r="W85" s="224"/>
      <c r="X85" s="224"/>
      <c r="Y85" s="224"/>
      <c r="Z85" s="224"/>
      <c r="AA85" s="224"/>
      <c r="AB85" s="224"/>
      <c r="AC85" s="224"/>
      <c r="AD85" s="224"/>
      <c r="AE85" s="236" t="s">
        <v>1944</v>
      </c>
      <c r="AF85" s="230" t="s">
        <v>1945</v>
      </c>
      <c r="AG85" s="236" t="s">
        <v>1943</v>
      </c>
      <c r="AH85" s="180" t="s">
        <v>580</v>
      </c>
      <c r="AI85" s="282">
        <v>916657</v>
      </c>
      <c r="AJ85" s="227">
        <f t="shared" si="20"/>
        <v>1999073.825</v>
      </c>
      <c r="AK85" s="266">
        <v>1.35</v>
      </c>
      <c r="AL85" s="225">
        <v>0</v>
      </c>
      <c r="AM85" s="245"/>
      <c r="AN85" s="180"/>
      <c r="AO85" s="180"/>
      <c r="AP85" s="180"/>
      <c r="AQ85" s="216" t="s">
        <v>751</v>
      </c>
      <c r="AR85" s="216" t="s">
        <v>751</v>
      </c>
      <c r="AS85" s="216" t="s">
        <v>751</v>
      </c>
      <c r="AT85" s="216" t="s">
        <v>751</v>
      </c>
      <c r="AU85" s="216" t="s">
        <v>751</v>
      </c>
      <c r="AV85" s="216"/>
      <c r="AW85" s="216"/>
      <c r="AX85" s="216"/>
      <c r="AY85" s="216"/>
      <c r="AZ85" s="212" t="s">
        <v>1870</v>
      </c>
      <c r="BA85" s="180"/>
    </row>
    <row r="86" spans="1:53" ht="114.75" x14ac:dyDescent="0.25">
      <c r="A86" s="176"/>
      <c r="B86" s="176"/>
      <c r="C86" s="176"/>
      <c r="D86" s="176"/>
      <c r="E86" s="176"/>
      <c r="F86" s="176"/>
      <c r="G86" s="176"/>
      <c r="H86" s="176"/>
      <c r="I86" s="176"/>
      <c r="J86" s="251"/>
      <c r="K86" s="251"/>
      <c r="L86" s="251"/>
      <c r="M86" s="269"/>
      <c r="N86" s="180"/>
      <c r="O86" s="180"/>
      <c r="P86" s="223">
        <f>SUM(Q86:AD86)</f>
        <v>13119506.231000001</v>
      </c>
      <c r="Q86" s="224"/>
      <c r="R86" s="224"/>
      <c r="S86" s="224"/>
      <c r="T86" s="224"/>
      <c r="U86" s="224">
        <v>13119506.231000001</v>
      </c>
      <c r="V86" s="224"/>
      <c r="W86" s="224"/>
      <c r="X86" s="224"/>
      <c r="Y86" s="224"/>
      <c r="Z86" s="224"/>
      <c r="AA86" s="224"/>
      <c r="AB86" s="224"/>
      <c r="AC86" s="224"/>
      <c r="AD86" s="224"/>
      <c r="AE86" s="236" t="s">
        <v>1946</v>
      </c>
      <c r="AF86" s="230"/>
      <c r="AG86" s="236" t="s">
        <v>1793</v>
      </c>
      <c r="AH86" s="180" t="s">
        <v>1794</v>
      </c>
      <c r="AI86" s="227">
        <v>21243</v>
      </c>
      <c r="AJ86" s="227">
        <f t="shared" si="20"/>
        <v>13119506.231000001</v>
      </c>
      <c r="AK86" s="266">
        <v>6.2</v>
      </c>
      <c r="AL86" s="225">
        <v>0</v>
      </c>
      <c r="AM86" s="245"/>
      <c r="AN86" s="180"/>
      <c r="AO86" s="180"/>
      <c r="AP86" s="180"/>
      <c r="AQ86" s="216" t="s">
        <v>751</v>
      </c>
      <c r="AR86" s="216" t="s">
        <v>751</v>
      </c>
      <c r="AS86" s="216" t="s">
        <v>751</v>
      </c>
      <c r="AT86" s="216" t="s">
        <v>751</v>
      </c>
      <c r="AU86" s="216" t="s">
        <v>751</v>
      </c>
      <c r="AV86" s="180"/>
      <c r="AW86" s="180"/>
      <c r="AX86" s="180"/>
      <c r="AY86" s="180"/>
      <c r="AZ86" s="212" t="s">
        <v>1870</v>
      </c>
      <c r="BA86" s="180"/>
    </row>
    <row r="87" spans="1:53" ht="127.5" x14ac:dyDescent="0.25">
      <c r="A87" s="176"/>
      <c r="B87" s="176"/>
      <c r="C87" s="176"/>
      <c r="D87" s="176"/>
      <c r="E87" s="176"/>
      <c r="F87" s="176"/>
      <c r="G87" s="176"/>
      <c r="H87" s="176"/>
      <c r="I87" s="176"/>
      <c r="J87" s="251"/>
      <c r="K87" s="251"/>
      <c r="L87" s="251"/>
      <c r="M87" s="269"/>
      <c r="N87" s="180"/>
      <c r="O87" s="180"/>
      <c r="P87" s="223">
        <f>SUM(Q87:AD87)</f>
        <v>3433630</v>
      </c>
      <c r="Q87" s="224"/>
      <c r="R87" s="224"/>
      <c r="S87" s="224"/>
      <c r="T87" s="224"/>
      <c r="U87" s="224"/>
      <c r="V87" s="224"/>
      <c r="W87" s="224"/>
      <c r="X87" s="224"/>
      <c r="Y87" s="224"/>
      <c r="Z87" s="224">
        <f>3209000*1.07</f>
        <v>3433630</v>
      </c>
      <c r="AA87" s="224"/>
      <c r="AB87" s="224"/>
      <c r="AC87" s="224"/>
      <c r="AD87" s="224"/>
      <c r="AE87" s="236" t="s">
        <v>1947</v>
      </c>
      <c r="AF87" s="230"/>
      <c r="AG87" s="236" t="s">
        <v>1948</v>
      </c>
      <c r="AH87" s="180" t="s">
        <v>481</v>
      </c>
      <c r="AI87" s="227">
        <v>18610</v>
      </c>
      <c r="AJ87" s="227">
        <f t="shared" si="20"/>
        <v>3433630</v>
      </c>
      <c r="AK87" s="266">
        <v>1.06</v>
      </c>
      <c r="AL87" s="225"/>
      <c r="AM87" s="245"/>
      <c r="AN87" s="216" t="s">
        <v>751</v>
      </c>
      <c r="AO87" s="216" t="s">
        <v>751</v>
      </c>
      <c r="AP87" s="216" t="s">
        <v>751</v>
      </c>
      <c r="AQ87" s="216" t="s">
        <v>751</v>
      </c>
      <c r="AR87" s="216" t="s">
        <v>751</v>
      </c>
      <c r="AS87" s="216" t="s">
        <v>751</v>
      </c>
      <c r="AT87" s="180"/>
      <c r="AU87" s="180"/>
      <c r="AV87" s="216"/>
      <c r="AW87" s="216"/>
      <c r="AX87" s="216"/>
      <c r="AY87" s="216"/>
      <c r="AZ87" s="212" t="s">
        <v>1900</v>
      </c>
      <c r="BA87" s="180"/>
    </row>
    <row r="88" spans="1:53" ht="204" x14ac:dyDescent="0.25">
      <c r="A88" s="176"/>
      <c r="B88" s="176"/>
      <c r="C88" s="176"/>
      <c r="D88" s="176"/>
      <c r="E88" s="176"/>
      <c r="F88" s="176"/>
      <c r="G88" s="176"/>
      <c r="H88" s="176"/>
      <c r="I88" s="176"/>
      <c r="J88" s="251"/>
      <c r="K88" s="251"/>
      <c r="L88" s="251"/>
      <c r="M88" s="269"/>
      <c r="N88" s="180"/>
      <c r="O88" s="180"/>
      <c r="P88" s="223">
        <f t="shared" si="21"/>
        <v>2608921.4569999999</v>
      </c>
      <c r="Q88" s="224"/>
      <c r="R88" s="224"/>
      <c r="S88" s="224"/>
      <c r="T88" s="224"/>
      <c r="U88" s="224">
        <v>2608921.4569999999</v>
      </c>
      <c r="V88" s="224"/>
      <c r="W88" s="224"/>
      <c r="X88" s="224"/>
      <c r="Y88" s="224"/>
      <c r="Z88" s="224"/>
      <c r="AA88" s="224"/>
      <c r="AB88" s="224"/>
      <c r="AC88" s="224"/>
      <c r="AD88" s="224"/>
      <c r="AE88" s="236" t="s">
        <v>1949</v>
      </c>
      <c r="AF88" s="230"/>
      <c r="AG88" s="236" t="s">
        <v>1950</v>
      </c>
      <c r="AH88" s="180" t="s">
        <v>1798</v>
      </c>
      <c r="AI88" s="282">
        <v>6146</v>
      </c>
      <c r="AJ88" s="227">
        <f t="shared" si="20"/>
        <v>2608921.4569999999</v>
      </c>
      <c r="AK88" s="266">
        <v>1.05</v>
      </c>
      <c r="AL88" s="225">
        <v>0</v>
      </c>
      <c r="AM88" s="245"/>
      <c r="AN88" s="180"/>
      <c r="AO88" s="216" t="s">
        <v>751</v>
      </c>
      <c r="AP88" s="216" t="s">
        <v>751</v>
      </c>
      <c r="AQ88" s="216" t="s">
        <v>751</v>
      </c>
      <c r="AR88" s="216" t="s">
        <v>751</v>
      </c>
      <c r="AS88" s="180"/>
      <c r="AT88" s="180"/>
      <c r="AU88" s="180"/>
      <c r="AV88" s="180"/>
      <c r="AW88" s="180"/>
      <c r="AX88" s="180"/>
      <c r="AY88" s="180"/>
      <c r="AZ88" s="212" t="s">
        <v>1870</v>
      </c>
      <c r="BA88" s="180"/>
    </row>
    <row r="89" spans="1:53" x14ac:dyDescent="0.25">
      <c r="A89" s="220"/>
      <c r="B89" s="220"/>
      <c r="C89" s="176"/>
      <c r="D89" s="220"/>
      <c r="E89" s="176"/>
      <c r="F89" s="176"/>
      <c r="G89" s="176"/>
      <c r="H89" s="176"/>
      <c r="I89" s="176"/>
      <c r="J89" s="176"/>
      <c r="K89" s="176"/>
      <c r="L89" s="251"/>
      <c r="M89" s="269"/>
      <c r="N89" s="180"/>
      <c r="O89" s="180"/>
      <c r="P89" s="235"/>
      <c r="Q89" s="224"/>
      <c r="R89" s="224"/>
      <c r="S89" s="224"/>
      <c r="T89" s="224"/>
      <c r="U89" s="224"/>
      <c r="V89" s="224"/>
      <c r="W89" s="224"/>
      <c r="X89" s="224"/>
      <c r="Y89" s="224"/>
      <c r="Z89" s="224"/>
      <c r="AA89" s="224"/>
      <c r="AB89" s="224"/>
      <c r="AC89" s="224"/>
      <c r="AD89" s="224"/>
      <c r="AE89" s="236"/>
      <c r="AF89" s="230"/>
      <c r="AG89" s="229"/>
      <c r="AH89" s="180"/>
      <c r="AI89" s="180"/>
      <c r="AJ89" s="180"/>
      <c r="AK89" s="180"/>
      <c r="AL89" s="180"/>
      <c r="AM89" s="180"/>
      <c r="AN89" s="180"/>
      <c r="AO89" s="180"/>
      <c r="AP89" s="180"/>
      <c r="AQ89" s="180"/>
      <c r="AR89" s="180"/>
      <c r="AS89" s="180"/>
      <c r="AT89" s="180"/>
      <c r="AU89" s="180"/>
      <c r="AV89" s="180"/>
      <c r="AW89" s="180"/>
      <c r="AX89" s="180"/>
      <c r="AY89" s="180"/>
      <c r="AZ89" s="180"/>
      <c r="BA89" s="180"/>
    </row>
    <row r="90" spans="1:53" ht="180" x14ac:dyDescent="0.25">
      <c r="A90" s="252" t="s">
        <v>201</v>
      </c>
      <c r="B90" s="252" t="s">
        <v>1801</v>
      </c>
      <c r="C90" s="252" t="s">
        <v>1951</v>
      </c>
      <c r="D90" s="252" t="s">
        <v>1952</v>
      </c>
      <c r="E90" s="253">
        <v>0</v>
      </c>
      <c r="F90" s="252" t="s">
        <v>1953</v>
      </c>
      <c r="G90" s="252" t="s">
        <v>1954</v>
      </c>
      <c r="H90" s="247" t="s">
        <v>1955</v>
      </c>
      <c r="I90" s="247" t="s">
        <v>1956</v>
      </c>
      <c r="J90" s="251">
        <v>10</v>
      </c>
      <c r="K90" s="251" t="s">
        <v>323</v>
      </c>
      <c r="L90" s="251">
        <v>20</v>
      </c>
      <c r="M90" s="258">
        <f>+'[1]Plan Indicativo Infraestructura'!P39</f>
        <v>4</v>
      </c>
      <c r="N90" s="180"/>
      <c r="O90" s="180"/>
      <c r="P90" s="223">
        <f>SUM(P91)</f>
        <v>24375</v>
      </c>
      <c r="Q90" s="224">
        <f>SUM(Q91)</f>
        <v>24375</v>
      </c>
      <c r="R90" s="224">
        <f t="shared" ref="R90:AD90" si="22">SUM(R91)</f>
        <v>0</v>
      </c>
      <c r="S90" s="224">
        <f t="shared" si="22"/>
        <v>0</v>
      </c>
      <c r="T90" s="224">
        <f t="shared" si="22"/>
        <v>0</v>
      </c>
      <c r="U90" s="224">
        <f t="shared" si="22"/>
        <v>0</v>
      </c>
      <c r="V90" s="224">
        <f t="shared" si="22"/>
        <v>0</v>
      </c>
      <c r="W90" s="224">
        <f t="shared" si="22"/>
        <v>0</v>
      </c>
      <c r="X90" s="224">
        <f t="shared" si="22"/>
        <v>0</v>
      </c>
      <c r="Y90" s="224">
        <f t="shared" si="22"/>
        <v>0</v>
      </c>
      <c r="Z90" s="224">
        <f t="shared" si="22"/>
        <v>0</v>
      </c>
      <c r="AA90" s="224">
        <f t="shared" si="22"/>
        <v>0</v>
      </c>
      <c r="AB90" s="224">
        <f t="shared" si="22"/>
        <v>0</v>
      </c>
      <c r="AC90" s="224">
        <f t="shared" si="22"/>
        <v>0</v>
      </c>
      <c r="AD90" s="224">
        <f t="shared" si="22"/>
        <v>0</v>
      </c>
      <c r="AE90" s="236"/>
      <c r="AF90" s="230"/>
      <c r="AG90" s="229"/>
      <c r="AH90" s="180"/>
      <c r="AI90" s="257">
        <f>SUM(AI91)</f>
        <v>200000</v>
      </c>
      <c r="AJ90" s="257">
        <f>SUM(AJ91)</f>
        <v>24375</v>
      </c>
      <c r="AK90" s="185">
        <f>SUM(AK91)</f>
        <v>5</v>
      </c>
      <c r="AL90" s="185"/>
      <c r="AM90" s="185"/>
      <c r="AN90" s="180"/>
      <c r="AO90" s="180"/>
      <c r="AP90" s="180"/>
      <c r="AQ90" s="180"/>
      <c r="AR90" s="180"/>
      <c r="AS90" s="180"/>
      <c r="AT90" s="180"/>
      <c r="AU90" s="180"/>
      <c r="AV90" s="180"/>
      <c r="AW90" s="180"/>
      <c r="AX90" s="180"/>
      <c r="AY90" s="180"/>
      <c r="AZ90" s="180"/>
      <c r="BA90" s="180"/>
    </row>
    <row r="91" spans="1:53" ht="409.5" x14ac:dyDescent="0.25">
      <c r="A91" s="246"/>
      <c r="B91" s="246"/>
      <c r="C91" s="246"/>
      <c r="D91" s="246"/>
      <c r="E91" s="246"/>
      <c r="F91" s="246"/>
      <c r="G91" s="246"/>
      <c r="H91" s="247"/>
      <c r="I91" s="247"/>
      <c r="J91" s="251"/>
      <c r="K91" s="251"/>
      <c r="L91" s="251"/>
      <c r="M91" s="269"/>
      <c r="N91" s="180"/>
      <c r="O91" s="180"/>
      <c r="P91" s="223">
        <f>SUM(Q91:AD91)</f>
        <v>24375</v>
      </c>
      <c r="Q91" s="224">
        <v>24375</v>
      </c>
      <c r="R91" s="224"/>
      <c r="S91" s="224"/>
      <c r="T91" s="224"/>
      <c r="U91" s="224"/>
      <c r="V91" s="224"/>
      <c r="W91" s="224"/>
      <c r="X91" s="224"/>
      <c r="Y91" s="224"/>
      <c r="Z91" s="224"/>
      <c r="AA91" s="224"/>
      <c r="AB91" s="224"/>
      <c r="AC91" s="224"/>
      <c r="AD91" s="224"/>
      <c r="AE91" s="236" t="s">
        <v>1957</v>
      </c>
      <c r="AF91" s="230" t="s">
        <v>1958</v>
      </c>
      <c r="AG91" s="236" t="s">
        <v>1854</v>
      </c>
      <c r="AH91" s="219" t="s">
        <v>1855</v>
      </c>
      <c r="AI91" s="231">
        <v>200000</v>
      </c>
      <c r="AJ91" s="227">
        <f>SUM(Q91:AD91)</f>
        <v>24375</v>
      </c>
      <c r="AK91" s="185">
        <v>5</v>
      </c>
      <c r="AL91" s="185">
        <v>5</v>
      </c>
      <c r="AM91" s="245">
        <f>+AJ91</f>
        <v>24375</v>
      </c>
      <c r="AN91" s="180"/>
      <c r="AO91" s="180"/>
      <c r="AP91" s="180"/>
      <c r="AQ91" s="215" t="s">
        <v>395</v>
      </c>
      <c r="AR91" s="215" t="s">
        <v>395</v>
      </c>
      <c r="AS91" s="215" t="s">
        <v>395</v>
      </c>
      <c r="AT91" s="215" t="s">
        <v>395</v>
      </c>
      <c r="AU91" s="215" t="s">
        <v>395</v>
      </c>
      <c r="AV91" s="215" t="s">
        <v>395</v>
      </c>
      <c r="AW91" s="215" t="s">
        <v>395</v>
      </c>
      <c r="AX91" s="215" t="s">
        <v>395</v>
      </c>
      <c r="AY91" s="215"/>
      <c r="AZ91" s="217" t="s">
        <v>1856</v>
      </c>
      <c r="BA91" s="180"/>
    </row>
    <row r="92" spans="1:53" x14ac:dyDescent="0.25">
      <c r="A92" s="220"/>
      <c r="B92" s="220"/>
      <c r="C92" s="246"/>
      <c r="D92" s="246"/>
      <c r="E92" s="246"/>
      <c r="F92" s="220"/>
      <c r="G92" s="247"/>
      <c r="H92" s="247"/>
      <c r="I92" s="247"/>
      <c r="J92" s="176"/>
      <c r="K92" s="176"/>
      <c r="L92" s="251"/>
      <c r="M92" s="269"/>
      <c r="N92" s="180"/>
      <c r="O92" s="180"/>
      <c r="P92" s="223"/>
      <c r="Q92" s="224"/>
      <c r="R92" s="224"/>
      <c r="S92" s="224"/>
      <c r="T92" s="224"/>
      <c r="U92" s="224"/>
      <c r="V92" s="224"/>
      <c r="W92" s="224"/>
      <c r="X92" s="224"/>
      <c r="Y92" s="224"/>
      <c r="Z92" s="224"/>
      <c r="AA92" s="224"/>
      <c r="AB92" s="224"/>
      <c r="AC92" s="224"/>
      <c r="AD92" s="224"/>
      <c r="AE92" s="283"/>
      <c r="AF92" s="236"/>
      <c r="AG92" s="236"/>
      <c r="AH92" s="180"/>
      <c r="AI92" s="231"/>
      <c r="AJ92" s="227"/>
      <c r="AK92" s="185"/>
      <c r="AL92" s="185"/>
      <c r="AM92" s="185"/>
      <c r="AN92" s="180"/>
      <c r="AO92" s="180"/>
      <c r="AP92" s="180"/>
      <c r="AQ92" s="180"/>
      <c r="AR92" s="180"/>
      <c r="AS92" s="215"/>
      <c r="AT92" s="215"/>
      <c r="AU92" s="215"/>
      <c r="AV92" s="215"/>
      <c r="AW92" s="215"/>
      <c r="AX92" s="215"/>
      <c r="AY92" s="215"/>
      <c r="AZ92" s="180"/>
      <c r="BA92" s="180"/>
    </row>
    <row r="93" spans="1:53" ht="180" x14ac:dyDescent="0.25">
      <c r="A93" s="254" t="s">
        <v>201</v>
      </c>
      <c r="B93" s="254" t="s">
        <v>1801</v>
      </c>
      <c r="C93" s="254"/>
      <c r="D93" s="254"/>
      <c r="E93" s="254"/>
      <c r="F93" s="254" t="s">
        <v>1953</v>
      </c>
      <c r="G93" s="254" t="s">
        <v>1954</v>
      </c>
      <c r="H93" s="254" t="s">
        <v>1959</v>
      </c>
      <c r="I93" s="254" t="s">
        <v>1960</v>
      </c>
      <c r="J93" s="251">
        <v>5</v>
      </c>
      <c r="K93" s="251" t="s">
        <v>323</v>
      </c>
      <c r="L93" s="251">
        <v>3</v>
      </c>
      <c r="M93" s="258">
        <f>+'[1]Plan Indicativo Infraestructura'!P41</f>
        <v>2</v>
      </c>
      <c r="N93" s="180"/>
      <c r="O93" s="180"/>
      <c r="P93" s="223">
        <f>SUM(P94:P96)</f>
        <v>2347619.7850000001</v>
      </c>
      <c r="Q93" s="224">
        <f>SUM(Q94:Q96)</f>
        <v>69000</v>
      </c>
      <c r="R93" s="224">
        <f t="shared" ref="R93:AD93" si="23">SUM(R94:R96)</f>
        <v>0</v>
      </c>
      <c r="S93" s="224">
        <f t="shared" si="23"/>
        <v>0</v>
      </c>
      <c r="T93" s="224">
        <f t="shared" si="23"/>
        <v>0</v>
      </c>
      <c r="U93" s="224">
        <f t="shared" si="23"/>
        <v>50000</v>
      </c>
      <c r="V93" s="224">
        <f t="shared" si="23"/>
        <v>117156.47199999999</v>
      </c>
      <c r="W93" s="224">
        <f t="shared" si="23"/>
        <v>0</v>
      </c>
      <c r="X93" s="224">
        <f t="shared" si="23"/>
        <v>0</v>
      </c>
      <c r="Y93" s="224">
        <f t="shared" si="23"/>
        <v>0</v>
      </c>
      <c r="Z93" s="224">
        <f t="shared" si="23"/>
        <v>1463891.3130000001</v>
      </c>
      <c r="AA93" s="224">
        <f t="shared" si="23"/>
        <v>60000</v>
      </c>
      <c r="AB93" s="224">
        <f t="shared" si="23"/>
        <v>0</v>
      </c>
      <c r="AC93" s="224">
        <f t="shared" si="23"/>
        <v>0</v>
      </c>
      <c r="AD93" s="224">
        <f t="shared" si="23"/>
        <v>587572</v>
      </c>
      <c r="AE93" s="180"/>
      <c r="AF93" s="180"/>
      <c r="AG93" s="180"/>
      <c r="AH93" s="180"/>
      <c r="AI93" s="180"/>
      <c r="AJ93" s="257">
        <f>SUM(AJ94:AJ96)</f>
        <v>2347619.7850000001</v>
      </c>
      <c r="AK93" s="258">
        <f>SUM(AK94:AK96)</f>
        <v>3</v>
      </c>
      <c r="AL93" s="258">
        <f>SUM(AL94:AL95)</f>
        <v>1.5</v>
      </c>
      <c r="AM93" s="258"/>
      <c r="AN93" s="180"/>
      <c r="AO93" s="180"/>
      <c r="AP93" s="180"/>
      <c r="AQ93" s="180"/>
      <c r="AR93" s="180"/>
      <c r="AS93" s="180"/>
      <c r="AT93" s="180"/>
      <c r="AU93" s="180"/>
      <c r="AV93" s="180"/>
      <c r="AW93" s="180"/>
      <c r="AX93" s="180"/>
      <c r="AY93" s="180"/>
      <c r="AZ93" s="180"/>
      <c r="BA93" s="180"/>
    </row>
    <row r="94" spans="1:53" ht="153" x14ac:dyDescent="0.25">
      <c r="A94" s="220"/>
      <c r="B94" s="220"/>
      <c r="C94" s="220"/>
      <c r="D94" s="220"/>
      <c r="E94" s="220"/>
      <c r="F94" s="220"/>
      <c r="G94" s="220"/>
      <c r="H94" s="220"/>
      <c r="I94" s="220"/>
      <c r="J94" s="251"/>
      <c r="K94" s="251"/>
      <c r="L94" s="251"/>
      <c r="M94" s="269"/>
      <c r="N94" s="180"/>
      <c r="O94" s="180"/>
      <c r="P94" s="223">
        <f>SUM(Q94:AD94)</f>
        <v>754728.47200000007</v>
      </c>
      <c r="Q94" s="224"/>
      <c r="R94" s="224"/>
      <c r="S94" s="224"/>
      <c r="T94" s="224"/>
      <c r="U94" s="224">
        <v>50000</v>
      </c>
      <c r="V94" s="224">
        <v>117156.47199999999</v>
      </c>
      <c r="W94" s="224"/>
      <c r="X94" s="224"/>
      <c r="Y94" s="224"/>
      <c r="Z94" s="224"/>
      <c r="AA94" s="224"/>
      <c r="AB94" s="224"/>
      <c r="AC94" s="224"/>
      <c r="AD94" s="224">
        <f>587572</f>
        <v>587572</v>
      </c>
      <c r="AE94" s="236" t="s">
        <v>1961</v>
      </c>
      <c r="AF94" s="230" t="s">
        <v>1962</v>
      </c>
      <c r="AG94" s="180" t="s">
        <v>1963</v>
      </c>
      <c r="AH94" s="219" t="s">
        <v>1964</v>
      </c>
      <c r="AI94" s="231">
        <v>9983</v>
      </c>
      <c r="AJ94" s="227">
        <f>SUM(Q94:AD94)</f>
        <v>754728.47200000007</v>
      </c>
      <c r="AK94" s="185">
        <v>1</v>
      </c>
      <c r="AL94" s="185">
        <v>0.5</v>
      </c>
      <c r="AM94" s="185"/>
      <c r="AN94" s="215" t="s">
        <v>395</v>
      </c>
      <c r="AO94" s="215" t="s">
        <v>395</v>
      </c>
      <c r="AP94" s="215" t="s">
        <v>395</v>
      </c>
      <c r="AQ94" s="215"/>
      <c r="AR94" s="180"/>
      <c r="AS94" s="180"/>
      <c r="AT94" s="180"/>
      <c r="AU94" s="180"/>
      <c r="AV94" s="180"/>
      <c r="AW94" s="180"/>
      <c r="AX94" s="180"/>
      <c r="AY94" s="215"/>
      <c r="AZ94" s="217" t="s">
        <v>1856</v>
      </c>
      <c r="BA94" s="180"/>
    </row>
    <row r="95" spans="1:53" ht="140.25" x14ac:dyDescent="0.25">
      <c r="A95" s="220"/>
      <c r="B95" s="220"/>
      <c r="C95" s="220"/>
      <c r="D95" s="220"/>
      <c r="E95" s="220"/>
      <c r="F95" s="220"/>
      <c r="G95" s="220"/>
      <c r="H95" s="220"/>
      <c r="I95" s="220"/>
      <c r="J95" s="251"/>
      <c r="K95" s="251"/>
      <c r="L95" s="251"/>
      <c r="M95" s="269"/>
      <c r="N95" s="180"/>
      <c r="O95" s="180"/>
      <c r="P95" s="223">
        <f>SUM(Q95:AD95)</f>
        <v>129000</v>
      </c>
      <c r="Q95" s="224">
        <v>69000</v>
      </c>
      <c r="R95" s="224"/>
      <c r="S95" s="224"/>
      <c r="T95" s="224"/>
      <c r="U95" s="224"/>
      <c r="V95" s="224"/>
      <c r="W95" s="224"/>
      <c r="X95" s="224"/>
      <c r="Y95" s="224"/>
      <c r="Z95" s="224"/>
      <c r="AA95" s="224">
        <v>60000</v>
      </c>
      <c r="AB95" s="224"/>
      <c r="AC95" s="224"/>
      <c r="AD95" s="224"/>
      <c r="AE95" s="236" t="s">
        <v>1965</v>
      </c>
      <c r="AF95" s="230"/>
      <c r="AG95" s="180" t="s">
        <v>1966</v>
      </c>
      <c r="AH95" s="219" t="s">
        <v>580</v>
      </c>
      <c r="AI95" s="231">
        <v>9984</v>
      </c>
      <c r="AJ95" s="227">
        <f>SUM(Q95:AD95)</f>
        <v>129000</v>
      </c>
      <c r="AK95" s="185">
        <v>1</v>
      </c>
      <c r="AL95" s="185">
        <v>1</v>
      </c>
      <c r="AM95" s="268">
        <v>130000</v>
      </c>
      <c r="AN95" s="215" t="s">
        <v>395</v>
      </c>
      <c r="AO95" s="215" t="s">
        <v>395</v>
      </c>
      <c r="AP95" s="215" t="s">
        <v>395</v>
      </c>
      <c r="AQ95" s="215" t="s">
        <v>395</v>
      </c>
      <c r="AR95" s="180"/>
      <c r="AS95" s="180"/>
      <c r="AT95" s="180"/>
      <c r="AU95" s="180"/>
      <c r="AV95" s="215"/>
      <c r="AW95" s="215"/>
      <c r="AX95" s="215"/>
      <c r="AY95" s="215"/>
      <c r="AZ95" s="217"/>
      <c r="BA95" s="180"/>
    </row>
    <row r="96" spans="1:53" ht="140.25" x14ac:dyDescent="0.25">
      <c r="A96" s="220"/>
      <c r="B96" s="220"/>
      <c r="C96" s="220"/>
      <c r="D96" s="220"/>
      <c r="E96" s="220"/>
      <c r="F96" s="220"/>
      <c r="G96" s="220"/>
      <c r="H96" s="220"/>
      <c r="I96" s="220"/>
      <c r="J96" s="251"/>
      <c r="K96" s="251"/>
      <c r="L96" s="251"/>
      <c r="M96" s="269"/>
      <c r="N96" s="180"/>
      <c r="O96" s="180"/>
      <c r="P96" s="223">
        <f t="shared" ref="P96" si="24">SUM(Q96:AD96)</f>
        <v>1463891.3130000001</v>
      </c>
      <c r="Q96" s="224"/>
      <c r="R96" s="224"/>
      <c r="S96" s="224"/>
      <c r="T96" s="224"/>
      <c r="U96" s="224"/>
      <c r="V96" s="224"/>
      <c r="W96" s="224"/>
      <c r="X96" s="224"/>
      <c r="Y96" s="224"/>
      <c r="Z96" s="224">
        <v>1463891.3130000001</v>
      </c>
      <c r="AA96" s="224"/>
      <c r="AB96" s="224"/>
      <c r="AC96" s="224"/>
      <c r="AD96" s="224"/>
      <c r="AE96" s="236" t="s">
        <v>1967</v>
      </c>
      <c r="AF96" s="230"/>
      <c r="AG96" s="180" t="s">
        <v>1938</v>
      </c>
      <c r="AH96" s="219" t="s">
        <v>481</v>
      </c>
      <c r="AI96" s="231">
        <v>19859</v>
      </c>
      <c r="AJ96" s="227">
        <f>SUM(Q96:AD96)</f>
        <v>1463891.3130000001</v>
      </c>
      <c r="AK96" s="185">
        <v>1</v>
      </c>
      <c r="AL96" s="185">
        <v>1</v>
      </c>
      <c r="AM96" s="245">
        <v>1463891.3130000001</v>
      </c>
      <c r="AN96" s="180"/>
      <c r="AO96" s="215" t="s">
        <v>395</v>
      </c>
      <c r="AP96" s="215" t="s">
        <v>395</v>
      </c>
      <c r="AQ96" s="215" t="s">
        <v>395</v>
      </c>
      <c r="AR96" s="215" t="s">
        <v>395</v>
      </c>
      <c r="AS96" s="180"/>
      <c r="AT96" s="180"/>
      <c r="AU96" s="180"/>
      <c r="AV96" s="215"/>
      <c r="AW96" s="215"/>
      <c r="AX96" s="215"/>
      <c r="AY96" s="215"/>
      <c r="AZ96" s="217" t="s">
        <v>1897</v>
      </c>
      <c r="BA96" s="180"/>
    </row>
    <row r="97" spans="1:53" x14ac:dyDescent="0.25">
      <c r="A97" s="220"/>
      <c r="B97" s="220"/>
      <c r="C97" s="246"/>
      <c r="D97" s="246"/>
      <c r="E97" s="246"/>
      <c r="F97" s="220"/>
      <c r="G97" s="246"/>
      <c r="H97" s="176"/>
      <c r="I97" s="220"/>
      <c r="J97" s="176"/>
      <c r="K97" s="176"/>
      <c r="L97" s="251"/>
      <c r="M97" s="269"/>
      <c r="N97" s="180"/>
      <c r="O97" s="180"/>
      <c r="P97" s="223"/>
      <c r="Q97" s="224"/>
      <c r="R97" s="224"/>
      <c r="S97" s="224"/>
      <c r="T97" s="224"/>
      <c r="U97" s="224"/>
      <c r="V97" s="224"/>
      <c r="W97" s="224"/>
      <c r="X97" s="224"/>
      <c r="Y97" s="224"/>
      <c r="Z97" s="224"/>
      <c r="AA97" s="224"/>
      <c r="AB97" s="224"/>
      <c r="AC97" s="224"/>
      <c r="AD97" s="224"/>
      <c r="AE97" s="284"/>
      <c r="AF97" s="180"/>
      <c r="AG97" s="180"/>
      <c r="AH97" s="180"/>
      <c r="AI97" s="180"/>
      <c r="AJ97" s="180"/>
      <c r="AK97" s="185"/>
      <c r="AL97" s="185"/>
      <c r="AM97" s="185"/>
      <c r="AN97" s="180"/>
      <c r="AO97" s="180"/>
      <c r="AP97" s="180"/>
      <c r="AQ97" s="180"/>
      <c r="AR97" s="180"/>
      <c r="AS97" s="180"/>
      <c r="AT97" s="180"/>
      <c r="AU97" s="180"/>
      <c r="AV97" s="180"/>
      <c r="AW97" s="180"/>
      <c r="AX97" s="180"/>
      <c r="AY97" s="180"/>
      <c r="AZ97" s="180"/>
      <c r="BA97" s="180"/>
    </row>
    <row r="98" spans="1:53" ht="180" x14ac:dyDescent="0.25">
      <c r="A98" s="254" t="s">
        <v>201</v>
      </c>
      <c r="B98" s="254" t="s">
        <v>1801</v>
      </c>
      <c r="C98" s="254"/>
      <c r="D98" s="254"/>
      <c r="E98" s="254"/>
      <c r="F98" s="254" t="s">
        <v>1953</v>
      </c>
      <c r="G98" s="254"/>
      <c r="H98" s="254" t="s">
        <v>1968</v>
      </c>
      <c r="I98" s="254" t="s">
        <v>1969</v>
      </c>
      <c r="J98" s="251">
        <v>5</v>
      </c>
      <c r="K98" s="251" t="s">
        <v>323</v>
      </c>
      <c r="L98" s="251">
        <v>4</v>
      </c>
      <c r="M98" s="258">
        <f>+'[1]Plan Indicativo Infraestructura'!P43</f>
        <v>2</v>
      </c>
      <c r="N98" s="180"/>
      <c r="O98" s="180"/>
      <c r="P98" s="223">
        <f>SUM(P99:P101)</f>
        <v>222376.76699999999</v>
      </c>
      <c r="Q98" s="224">
        <f>SUM(Q99:Q101)</f>
        <v>150780.98699999999</v>
      </c>
      <c r="R98" s="224">
        <f t="shared" ref="R98:AD98" si="25">SUM(R99:R101)</f>
        <v>0</v>
      </c>
      <c r="S98" s="224">
        <f t="shared" si="25"/>
        <v>0</v>
      </c>
      <c r="T98" s="224">
        <f t="shared" si="25"/>
        <v>0</v>
      </c>
      <c r="U98" s="224">
        <f t="shared" si="25"/>
        <v>0</v>
      </c>
      <c r="V98" s="224">
        <f t="shared" si="25"/>
        <v>0</v>
      </c>
      <c r="W98" s="224">
        <f t="shared" si="25"/>
        <v>0</v>
      </c>
      <c r="X98" s="224">
        <f t="shared" si="25"/>
        <v>0</v>
      </c>
      <c r="Y98" s="224">
        <f t="shared" si="25"/>
        <v>0</v>
      </c>
      <c r="Z98" s="224">
        <f t="shared" si="25"/>
        <v>71595.78</v>
      </c>
      <c r="AA98" s="224">
        <f t="shared" si="25"/>
        <v>0</v>
      </c>
      <c r="AB98" s="224">
        <f t="shared" si="25"/>
        <v>0</v>
      </c>
      <c r="AC98" s="224">
        <f t="shared" si="25"/>
        <v>0</v>
      </c>
      <c r="AD98" s="224">
        <f t="shared" si="25"/>
        <v>0</v>
      </c>
      <c r="AE98" s="180"/>
      <c r="AF98" s="180"/>
      <c r="AG98" s="180"/>
      <c r="AH98" s="180"/>
      <c r="AI98" s="257">
        <f>SUM(AI99:AI101)</f>
        <v>5350</v>
      </c>
      <c r="AJ98" s="257">
        <f>SUM(AJ99:AJ101)</f>
        <v>222376.76699999999</v>
      </c>
      <c r="AK98" s="185">
        <f>SUM(AK99:AK101)</f>
        <v>3</v>
      </c>
      <c r="AL98" s="185">
        <f>SUM(AL99:AL101)</f>
        <v>1</v>
      </c>
      <c r="AM98" s="248">
        <f>SUM(AM99:AM101)</f>
        <v>77457</v>
      </c>
      <c r="AN98" s="180"/>
      <c r="AO98" s="180"/>
      <c r="AP98" s="180"/>
      <c r="AQ98" s="180"/>
      <c r="AR98" s="180"/>
      <c r="AS98" s="180"/>
      <c r="AT98" s="180"/>
      <c r="AU98" s="180"/>
      <c r="AV98" s="180"/>
      <c r="AW98" s="180"/>
      <c r="AX98" s="180"/>
      <c r="AY98" s="180"/>
      <c r="AZ98" s="180"/>
      <c r="BA98" s="180"/>
    </row>
    <row r="99" spans="1:53" ht="140.25" x14ac:dyDescent="0.25">
      <c r="A99" s="220"/>
      <c r="B99" s="220"/>
      <c r="C99" s="220"/>
      <c r="D99" s="220"/>
      <c r="E99" s="220"/>
      <c r="F99" s="220"/>
      <c r="G99" s="220"/>
      <c r="H99" s="220"/>
      <c r="I99" s="220"/>
      <c r="J99" s="251"/>
      <c r="K99" s="251"/>
      <c r="L99" s="251"/>
      <c r="M99" s="269"/>
      <c r="N99" s="180"/>
      <c r="O99" s="180"/>
      <c r="P99" s="223">
        <f>SUM(Q99:AD99)</f>
        <v>88166.142999999996</v>
      </c>
      <c r="Q99" s="224">
        <v>88166.142999999996</v>
      </c>
      <c r="R99" s="224"/>
      <c r="S99" s="224"/>
      <c r="T99" s="224"/>
      <c r="U99" s="224"/>
      <c r="V99" s="224"/>
      <c r="W99" s="224"/>
      <c r="X99" s="224"/>
      <c r="Y99" s="224"/>
      <c r="Z99" s="224"/>
      <c r="AA99" s="224"/>
      <c r="AB99" s="224"/>
      <c r="AC99" s="224"/>
      <c r="AD99" s="224"/>
      <c r="AE99" s="236" t="s">
        <v>1970</v>
      </c>
      <c r="AF99" s="230"/>
      <c r="AG99" s="180" t="s">
        <v>579</v>
      </c>
      <c r="AH99" s="180" t="s">
        <v>580</v>
      </c>
      <c r="AI99" s="231">
        <v>5000</v>
      </c>
      <c r="AJ99" s="227">
        <f>SUM(Q99:AD99)</f>
        <v>88166.142999999996</v>
      </c>
      <c r="AK99" s="185">
        <v>1</v>
      </c>
      <c r="AL99" s="185"/>
      <c r="AM99" s="245"/>
      <c r="AN99" s="180"/>
      <c r="AO99" s="215" t="s">
        <v>395</v>
      </c>
      <c r="AP99" s="215" t="s">
        <v>395</v>
      </c>
      <c r="AQ99" s="215" t="s">
        <v>395</v>
      </c>
      <c r="AR99" s="215" t="s">
        <v>395</v>
      </c>
      <c r="AS99" s="180"/>
      <c r="AT99" s="180"/>
      <c r="AU99" s="180"/>
      <c r="AV99" s="180"/>
      <c r="AW99" s="180"/>
      <c r="AX99" s="180"/>
      <c r="AY99" s="180"/>
      <c r="AZ99" s="217" t="s">
        <v>1856</v>
      </c>
      <c r="BA99" s="180"/>
    </row>
    <row r="100" spans="1:53" ht="178.5" x14ac:dyDescent="0.25">
      <c r="A100" s="220"/>
      <c r="B100" s="220"/>
      <c r="C100" s="220"/>
      <c r="D100" s="220"/>
      <c r="E100" s="220"/>
      <c r="F100" s="220"/>
      <c r="G100" s="220"/>
      <c r="H100" s="220"/>
      <c r="I100" s="220"/>
      <c r="J100" s="251"/>
      <c r="K100" s="251"/>
      <c r="L100" s="251"/>
      <c r="M100" s="269"/>
      <c r="N100" s="180"/>
      <c r="O100" s="180"/>
      <c r="P100" s="223">
        <f>SUM(Q100:AD100)</f>
        <v>71595.78</v>
      </c>
      <c r="Q100" s="224"/>
      <c r="R100" s="224"/>
      <c r="S100" s="224"/>
      <c r="T100" s="224"/>
      <c r="U100" s="224"/>
      <c r="V100" s="224"/>
      <c r="W100" s="224"/>
      <c r="X100" s="224"/>
      <c r="Y100" s="224"/>
      <c r="Z100" s="224">
        <v>71595.78</v>
      </c>
      <c r="AA100" s="224"/>
      <c r="AB100" s="224"/>
      <c r="AC100" s="224"/>
      <c r="AD100" s="224"/>
      <c r="AE100" s="236" t="s">
        <v>1971</v>
      </c>
      <c r="AF100" s="230"/>
      <c r="AG100" s="180" t="s">
        <v>1845</v>
      </c>
      <c r="AH100" s="180" t="s">
        <v>481</v>
      </c>
      <c r="AI100" s="231"/>
      <c r="AJ100" s="227">
        <f>SUM(Q100:AD100)</f>
        <v>71595.78</v>
      </c>
      <c r="AK100" s="185">
        <v>1</v>
      </c>
      <c r="AL100" s="185">
        <v>1</v>
      </c>
      <c r="AM100" s="245">
        <v>77457</v>
      </c>
      <c r="AN100" s="185" t="s">
        <v>395</v>
      </c>
      <c r="AO100" s="185" t="s">
        <v>395</v>
      </c>
      <c r="AP100" s="185" t="s">
        <v>395</v>
      </c>
      <c r="AQ100" s="185" t="s">
        <v>395</v>
      </c>
      <c r="AR100" s="180"/>
      <c r="AS100" s="180"/>
      <c r="AT100" s="180"/>
      <c r="AU100" s="180"/>
      <c r="AV100" s="215"/>
      <c r="AW100" s="215"/>
      <c r="AX100" s="215"/>
      <c r="AY100" s="215"/>
      <c r="AZ100" s="217" t="s">
        <v>1897</v>
      </c>
      <c r="BA100" s="180"/>
    </row>
    <row r="101" spans="1:53" ht="102" x14ac:dyDescent="0.25">
      <c r="A101" s="220"/>
      <c r="B101" s="220"/>
      <c r="C101" s="220"/>
      <c r="D101" s="220"/>
      <c r="E101" s="220"/>
      <c r="F101" s="220"/>
      <c r="G101" s="220"/>
      <c r="H101" s="220"/>
      <c r="I101" s="220"/>
      <c r="J101" s="251"/>
      <c r="K101" s="251"/>
      <c r="L101" s="251"/>
      <c r="M101" s="269"/>
      <c r="N101" s="180"/>
      <c r="O101" s="180"/>
      <c r="P101" s="223">
        <f>SUM(Q101:AD101)</f>
        <v>62614.843999999997</v>
      </c>
      <c r="Q101" s="224">
        <v>62614.843999999997</v>
      </c>
      <c r="R101" s="224"/>
      <c r="S101" s="224"/>
      <c r="T101" s="224"/>
      <c r="U101" s="224"/>
      <c r="V101" s="224"/>
      <c r="W101" s="224"/>
      <c r="X101" s="224"/>
      <c r="Y101" s="224"/>
      <c r="Z101" s="224"/>
      <c r="AA101" s="224"/>
      <c r="AB101" s="224"/>
      <c r="AC101" s="224"/>
      <c r="AD101" s="224"/>
      <c r="AE101" s="236" t="s">
        <v>1972</v>
      </c>
      <c r="AF101" s="230"/>
      <c r="AG101" s="180" t="s">
        <v>1973</v>
      </c>
      <c r="AH101" s="180" t="s">
        <v>580</v>
      </c>
      <c r="AI101" s="231">
        <v>350</v>
      </c>
      <c r="AJ101" s="227">
        <f>SUM(Q101:AD101)</f>
        <v>62614.843999999997</v>
      </c>
      <c r="AK101" s="185">
        <v>1</v>
      </c>
      <c r="AL101" s="185"/>
      <c r="AM101" s="185"/>
      <c r="AN101" s="180"/>
      <c r="AO101" s="180"/>
      <c r="AP101" s="180"/>
      <c r="AQ101" s="180"/>
      <c r="AR101" s="180"/>
      <c r="AS101" s="180"/>
      <c r="AT101" s="180"/>
      <c r="AU101" s="215" t="s">
        <v>395</v>
      </c>
      <c r="AV101" s="215" t="s">
        <v>395</v>
      </c>
      <c r="AW101" s="215" t="s">
        <v>395</v>
      </c>
      <c r="AX101" s="215" t="s">
        <v>395</v>
      </c>
      <c r="AY101" s="180"/>
      <c r="AZ101" s="217" t="s">
        <v>1856</v>
      </c>
      <c r="BA101" s="180"/>
    </row>
    <row r="102" spans="1:53" x14ac:dyDescent="0.25">
      <c r="A102" s="220"/>
      <c r="B102" s="220"/>
      <c r="C102" s="176"/>
      <c r="D102" s="176"/>
      <c r="E102" s="176"/>
      <c r="F102" s="220"/>
      <c r="G102" s="176"/>
      <c r="H102" s="176"/>
      <c r="I102" s="220"/>
      <c r="J102" s="176"/>
      <c r="K102" s="176"/>
      <c r="L102" s="251"/>
      <c r="M102" s="269"/>
      <c r="N102" s="180"/>
      <c r="O102" s="180"/>
      <c r="P102" s="235"/>
      <c r="Q102" s="232"/>
      <c r="R102" s="224"/>
      <c r="S102" s="224"/>
      <c r="T102" s="224"/>
      <c r="U102" s="224"/>
      <c r="V102" s="224"/>
      <c r="W102" s="224"/>
      <c r="X102" s="224"/>
      <c r="Y102" s="224"/>
      <c r="Z102" s="224"/>
      <c r="AA102" s="224"/>
      <c r="AB102" s="224"/>
      <c r="AC102" s="224"/>
      <c r="AD102" s="224"/>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row>
    <row r="103" spans="1:53" ht="165" x14ac:dyDescent="0.25">
      <c r="A103" s="254" t="s">
        <v>201</v>
      </c>
      <c r="B103" s="254" t="s">
        <v>1801</v>
      </c>
      <c r="C103" s="253" t="s">
        <v>1974</v>
      </c>
      <c r="D103" s="254" t="s">
        <v>1975</v>
      </c>
      <c r="E103" s="253" t="s">
        <v>1976</v>
      </c>
      <c r="F103" s="776" t="s">
        <v>1977</v>
      </c>
      <c r="G103" s="776" t="s">
        <v>1978</v>
      </c>
      <c r="H103" s="776" t="s">
        <v>1979</v>
      </c>
      <c r="I103" s="776" t="s">
        <v>1980</v>
      </c>
      <c r="J103" s="840">
        <f>6255+1878</f>
        <v>8133</v>
      </c>
      <c r="K103" s="840" t="s">
        <v>323</v>
      </c>
      <c r="L103" s="840">
        <v>5</v>
      </c>
      <c r="M103" s="258">
        <f>+'[1]Plan Indicativo Infraestructura'!P45</f>
        <v>0</v>
      </c>
      <c r="N103" s="180"/>
      <c r="O103" s="180"/>
      <c r="P103" s="223">
        <f>SUM(P104)</f>
        <v>875000</v>
      </c>
      <c r="Q103" s="224">
        <f>SUM(Q104)</f>
        <v>75000</v>
      </c>
      <c r="R103" s="224">
        <f t="shared" ref="R103:AD103" si="26">SUM(R104)</f>
        <v>0</v>
      </c>
      <c r="S103" s="224">
        <f t="shared" si="26"/>
        <v>0</v>
      </c>
      <c r="T103" s="224">
        <f t="shared" si="26"/>
        <v>0</v>
      </c>
      <c r="U103" s="224">
        <f t="shared" si="26"/>
        <v>800000</v>
      </c>
      <c r="V103" s="224">
        <f t="shared" si="26"/>
        <v>0</v>
      </c>
      <c r="W103" s="224">
        <f t="shared" si="26"/>
        <v>0</v>
      </c>
      <c r="X103" s="224">
        <f t="shared" si="26"/>
        <v>0</v>
      </c>
      <c r="Y103" s="224">
        <f t="shared" si="26"/>
        <v>0</v>
      </c>
      <c r="Z103" s="224">
        <f t="shared" si="26"/>
        <v>0</v>
      </c>
      <c r="AA103" s="224">
        <f t="shared" si="26"/>
        <v>0</v>
      </c>
      <c r="AB103" s="224">
        <f t="shared" si="26"/>
        <v>0</v>
      </c>
      <c r="AC103" s="224">
        <f t="shared" si="26"/>
        <v>0</v>
      </c>
      <c r="AD103" s="224">
        <f t="shared" si="26"/>
        <v>0</v>
      </c>
      <c r="AE103" s="180"/>
      <c r="AF103" s="180"/>
      <c r="AG103" s="180"/>
      <c r="AH103" s="180"/>
      <c r="AI103" s="257">
        <f>SUM(AI104)</f>
        <v>1654</v>
      </c>
      <c r="AJ103" s="257">
        <f>SUM(AJ104)</f>
        <v>875000</v>
      </c>
      <c r="AK103" s="258">
        <f>SUM(AK104:AK104)</f>
        <v>1</v>
      </c>
      <c r="AL103" s="258">
        <f>SUM(AL104:AL104)</f>
        <v>0</v>
      </c>
      <c r="AM103" s="257">
        <f>SUM(AM104:AM104)</f>
        <v>0</v>
      </c>
      <c r="AN103" s="180"/>
      <c r="AO103" s="180"/>
      <c r="AP103" s="180"/>
      <c r="AQ103" s="180"/>
      <c r="AR103" s="180"/>
      <c r="AS103" s="180"/>
      <c r="AT103" s="180"/>
      <c r="AU103" s="180"/>
      <c r="AV103" s="180"/>
      <c r="AW103" s="180"/>
      <c r="AX103" s="180"/>
      <c r="AY103" s="180"/>
      <c r="AZ103" s="180"/>
      <c r="BA103" s="180"/>
    </row>
    <row r="104" spans="1:53" ht="178.5" x14ac:dyDescent="0.25">
      <c r="A104" s="253" t="s">
        <v>201</v>
      </c>
      <c r="B104" s="253" t="s">
        <v>1801</v>
      </c>
      <c r="C104" s="253" t="s">
        <v>1981</v>
      </c>
      <c r="D104" s="253" t="s">
        <v>1982</v>
      </c>
      <c r="E104" s="253">
        <v>0</v>
      </c>
      <c r="F104" s="776"/>
      <c r="G104" s="776"/>
      <c r="H104" s="776"/>
      <c r="I104" s="776"/>
      <c r="J104" s="840"/>
      <c r="K104" s="840"/>
      <c r="L104" s="840"/>
      <c r="M104" s="269"/>
      <c r="N104" s="180"/>
      <c r="O104" s="180"/>
      <c r="P104" s="223">
        <f>SUM(Q104:AD104)</f>
        <v>875000</v>
      </c>
      <c r="Q104" s="224">
        <v>75000</v>
      </c>
      <c r="R104" s="224"/>
      <c r="S104" s="224"/>
      <c r="T104" s="224"/>
      <c r="U104" s="224">
        <v>800000</v>
      </c>
      <c r="V104" s="224"/>
      <c r="W104" s="224"/>
      <c r="X104" s="224"/>
      <c r="Y104" s="224"/>
      <c r="Z104" s="224"/>
      <c r="AA104" s="224"/>
      <c r="AB104" s="224"/>
      <c r="AC104" s="224"/>
      <c r="AD104" s="224"/>
      <c r="AE104" s="236" t="s">
        <v>1983</v>
      </c>
      <c r="AF104" s="230"/>
      <c r="AG104" s="180" t="s">
        <v>1984</v>
      </c>
      <c r="AH104" s="180" t="s">
        <v>580</v>
      </c>
      <c r="AI104" s="231">
        <v>1654</v>
      </c>
      <c r="AJ104" s="227">
        <f>SUM(Q104:AD104)</f>
        <v>875000</v>
      </c>
      <c r="AK104" s="185">
        <v>1</v>
      </c>
      <c r="AL104" s="225">
        <v>0</v>
      </c>
      <c r="AM104" s="185"/>
      <c r="AN104" s="180"/>
      <c r="AO104" s="180"/>
      <c r="AP104" s="215" t="s">
        <v>395</v>
      </c>
      <c r="AQ104" s="215" t="s">
        <v>395</v>
      </c>
      <c r="AR104" s="215" t="s">
        <v>395</v>
      </c>
      <c r="AS104" s="215" t="s">
        <v>395</v>
      </c>
      <c r="AT104" s="180"/>
      <c r="AU104" s="180"/>
      <c r="AV104" s="180"/>
      <c r="AW104" s="180"/>
      <c r="AX104" s="180"/>
      <c r="AY104" s="180"/>
      <c r="AZ104" s="217" t="s">
        <v>1856</v>
      </c>
      <c r="BA104" s="180"/>
    </row>
    <row r="105" spans="1:53" x14ac:dyDescent="0.25">
      <c r="A105" s="220"/>
      <c r="B105" s="220"/>
      <c r="C105" s="176"/>
      <c r="D105" s="220"/>
      <c r="E105" s="176"/>
      <c r="F105" s="247"/>
      <c r="G105" s="176"/>
      <c r="H105" s="176"/>
      <c r="I105" s="176"/>
      <c r="J105" s="176"/>
      <c r="K105" s="176"/>
      <c r="L105" s="251"/>
      <c r="M105" s="269"/>
      <c r="N105" s="180"/>
      <c r="O105" s="180"/>
      <c r="P105" s="235"/>
      <c r="Q105" s="224"/>
      <c r="R105" s="224"/>
      <c r="S105" s="224"/>
      <c r="T105" s="224"/>
      <c r="U105" s="224"/>
      <c r="V105" s="224"/>
      <c r="W105" s="224"/>
      <c r="X105" s="224"/>
      <c r="Y105" s="224"/>
      <c r="Z105" s="224"/>
      <c r="AA105" s="224"/>
      <c r="AB105" s="224"/>
      <c r="AC105" s="224"/>
      <c r="AD105" s="224"/>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row>
    <row r="106" spans="1:53" ht="195" x14ac:dyDescent="0.25">
      <c r="A106" s="254" t="s">
        <v>201</v>
      </c>
      <c r="B106" s="254" t="s">
        <v>1801</v>
      </c>
      <c r="C106" s="254" t="s">
        <v>1985</v>
      </c>
      <c r="D106" s="254" t="s">
        <v>1986</v>
      </c>
      <c r="E106" s="253" t="s">
        <v>1987</v>
      </c>
      <c r="F106" s="254" t="s">
        <v>1988</v>
      </c>
      <c r="G106" s="254" t="s">
        <v>1989</v>
      </c>
      <c r="H106" s="254" t="s">
        <v>1990</v>
      </c>
      <c r="I106" s="254" t="s">
        <v>1991</v>
      </c>
      <c r="J106" s="251" t="s">
        <v>1992</v>
      </c>
      <c r="K106" s="251" t="s">
        <v>323</v>
      </c>
      <c r="L106" s="251">
        <v>15</v>
      </c>
      <c r="M106" s="258">
        <f>+'[1]Plan Indicativo Infraestructura'!P48</f>
        <v>15</v>
      </c>
      <c r="N106" s="180"/>
      <c r="O106" s="180"/>
      <c r="P106" s="223">
        <f>SUM(P107)</f>
        <v>3500000</v>
      </c>
      <c r="Q106" s="224">
        <f>SUM(Q107)</f>
        <v>0</v>
      </c>
      <c r="R106" s="224">
        <f t="shared" ref="R106:AD106" si="27">SUM(R107)</f>
        <v>0</v>
      </c>
      <c r="S106" s="224">
        <f t="shared" si="27"/>
        <v>0</v>
      </c>
      <c r="T106" s="224">
        <f t="shared" si="27"/>
        <v>0</v>
      </c>
      <c r="U106" s="224">
        <f t="shared" si="27"/>
        <v>2450000</v>
      </c>
      <c r="V106" s="224">
        <f t="shared" si="27"/>
        <v>0</v>
      </c>
      <c r="W106" s="224">
        <f t="shared" si="27"/>
        <v>0</v>
      </c>
      <c r="X106" s="224">
        <f t="shared" si="27"/>
        <v>0</v>
      </c>
      <c r="Y106" s="224">
        <f t="shared" si="27"/>
        <v>0</v>
      </c>
      <c r="Z106" s="224">
        <f t="shared" si="27"/>
        <v>0</v>
      </c>
      <c r="AA106" s="224">
        <f t="shared" si="27"/>
        <v>1050000</v>
      </c>
      <c r="AB106" s="224">
        <f t="shared" si="27"/>
        <v>0</v>
      </c>
      <c r="AC106" s="224">
        <f t="shared" si="27"/>
        <v>0</v>
      </c>
      <c r="AD106" s="224">
        <f t="shared" si="27"/>
        <v>0</v>
      </c>
      <c r="AE106" s="180"/>
      <c r="AF106" s="180"/>
      <c r="AG106" s="180"/>
      <c r="AH106" s="180"/>
      <c r="AI106" s="257">
        <f>SUM(AI107)</f>
        <v>200000</v>
      </c>
      <c r="AJ106" s="257">
        <f>SUM(AJ107)</f>
        <v>3500000</v>
      </c>
      <c r="AK106" s="258">
        <f>SUM(AK107)</f>
        <v>5</v>
      </c>
      <c r="AL106" s="258"/>
      <c r="AM106" s="258"/>
      <c r="AN106" s="180"/>
      <c r="AO106" s="180"/>
      <c r="AP106" s="180"/>
      <c r="AQ106" s="180"/>
      <c r="AR106" s="180"/>
      <c r="AS106" s="180"/>
      <c r="AT106" s="180"/>
      <c r="AU106" s="180"/>
      <c r="AV106" s="180"/>
      <c r="AW106" s="180"/>
      <c r="AX106" s="180"/>
      <c r="AY106" s="180"/>
      <c r="AZ106" s="180"/>
      <c r="BA106" s="180"/>
    </row>
    <row r="107" spans="1:53" ht="409.5" x14ac:dyDescent="0.25">
      <c r="A107" s="220"/>
      <c r="B107" s="220"/>
      <c r="C107" s="220"/>
      <c r="D107" s="220"/>
      <c r="E107" s="220"/>
      <c r="F107" s="220"/>
      <c r="G107" s="220"/>
      <c r="H107" s="220"/>
      <c r="I107" s="220"/>
      <c r="J107" s="251"/>
      <c r="K107" s="251"/>
      <c r="L107" s="251"/>
      <c r="M107" s="269"/>
      <c r="N107" s="180"/>
      <c r="O107" s="180"/>
      <c r="P107" s="223">
        <f>SUM(Q107:AD107)</f>
        <v>3500000</v>
      </c>
      <c r="Q107" s="224"/>
      <c r="R107" s="224"/>
      <c r="S107" s="224"/>
      <c r="T107" s="224"/>
      <c r="U107" s="224">
        <f>3500000*0.7</f>
        <v>2450000</v>
      </c>
      <c r="V107" s="224"/>
      <c r="W107" s="224"/>
      <c r="X107" s="224"/>
      <c r="Y107" s="224"/>
      <c r="Z107" s="224"/>
      <c r="AA107" s="224">
        <f>3500000*0.3</f>
        <v>1050000</v>
      </c>
      <c r="AB107" s="224"/>
      <c r="AC107" s="224"/>
      <c r="AD107" s="224"/>
      <c r="AE107" s="236" t="s">
        <v>1993</v>
      </c>
      <c r="AF107" s="230"/>
      <c r="AG107" s="236" t="s">
        <v>1994</v>
      </c>
      <c r="AH107" s="219" t="s">
        <v>1855</v>
      </c>
      <c r="AI107" s="227">
        <v>200000</v>
      </c>
      <c r="AJ107" s="227">
        <f>SUM(Q107:AD107)</f>
        <v>3500000</v>
      </c>
      <c r="AK107" s="185">
        <v>5</v>
      </c>
      <c r="AL107" s="185"/>
      <c r="AM107" s="185"/>
      <c r="AN107" s="180"/>
      <c r="AO107" s="180"/>
      <c r="AP107" s="215" t="s">
        <v>395</v>
      </c>
      <c r="AQ107" s="215" t="s">
        <v>395</v>
      </c>
      <c r="AR107" s="215" t="s">
        <v>395</v>
      </c>
      <c r="AS107" s="215" t="s">
        <v>395</v>
      </c>
      <c r="AT107" s="215" t="s">
        <v>395</v>
      </c>
      <c r="AU107" s="215" t="s">
        <v>395</v>
      </c>
      <c r="AV107" s="180"/>
      <c r="AW107" s="180"/>
      <c r="AX107" s="180"/>
      <c r="AY107" s="180"/>
      <c r="AZ107" s="217" t="s">
        <v>1856</v>
      </c>
      <c r="BA107" s="180"/>
    </row>
    <row r="108" spans="1:53" x14ac:dyDescent="0.25">
      <c r="A108" s="220"/>
      <c r="B108" s="220"/>
      <c r="C108" s="246"/>
      <c r="D108" s="246"/>
      <c r="E108" s="246"/>
      <c r="F108" s="246"/>
      <c r="G108" s="246"/>
      <c r="H108" s="176"/>
      <c r="I108" s="220"/>
      <c r="J108" s="176"/>
      <c r="K108" s="176"/>
      <c r="L108" s="251"/>
      <c r="M108" s="269"/>
      <c r="N108" s="180"/>
      <c r="O108" s="180"/>
      <c r="P108" s="235"/>
      <c r="Q108" s="224"/>
      <c r="R108" s="224"/>
      <c r="S108" s="224"/>
      <c r="T108" s="224"/>
      <c r="U108" s="224"/>
      <c r="V108" s="224"/>
      <c r="W108" s="224"/>
      <c r="X108" s="224"/>
      <c r="Y108" s="224"/>
      <c r="Z108" s="224"/>
      <c r="AA108" s="224"/>
      <c r="AB108" s="224"/>
      <c r="AC108" s="224"/>
      <c r="AD108" s="224"/>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row>
    <row r="109" spans="1:53" ht="150" x14ac:dyDescent="0.25">
      <c r="A109" s="24" t="s">
        <v>201</v>
      </c>
      <c r="B109" s="24" t="s">
        <v>1801</v>
      </c>
      <c r="C109" s="24"/>
      <c r="D109" s="24"/>
      <c r="E109" s="24"/>
      <c r="F109" s="24" t="s">
        <v>1988</v>
      </c>
      <c r="G109" s="254" t="s">
        <v>1989</v>
      </c>
      <c r="H109" s="24" t="s">
        <v>1995</v>
      </c>
      <c r="I109" s="24" t="s">
        <v>1996</v>
      </c>
      <c r="J109" s="251">
        <v>0</v>
      </c>
      <c r="K109" s="251" t="s">
        <v>323</v>
      </c>
      <c r="L109" s="251">
        <v>1</v>
      </c>
      <c r="M109" s="258">
        <f>+'[1]Plan Indicativo Infraestructura'!P50</f>
        <v>1</v>
      </c>
      <c r="N109" s="180"/>
      <c r="O109" s="180"/>
      <c r="P109" s="223">
        <f>SUM(P110)</f>
        <v>400000</v>
      </c>
      <c r="Q109" s="224">
        <f>SUM(Q110)</f>
        <v>400000</v>
      </c>
      <c r="R109" s="224">
        <f t="shared" ref="R109:AD109" si="28">SUM(R110)</f>
        <v>0</v>
      </c>
      <c r="S109" s="224">
        <f t="shared" si="28"/>
        <v>0</v>
      </c>
      <c r="T109" s="224">
        <f t="shared" si="28"/>
        <v>0</v>
      </c>
      <c r="U109" s="224">
        <f t="shared" si="28"/>
        <v>0</v>
      </c>
      <c r="V109" s="224">
        <f t="shared" si="28"/>
        <v>0</v>
      </c>
      <c r="W109" s="224">
        <f t="shared" si="28"/>
        <v>0</v>
      </c>
      <c r="X109" s="224">
        <f t="shared" si="28"/>
        <v>0</v>
      </c>
      <c r="Y109" s="224">
        <f t="shared" si="28"/>
        <v>0</v>
      </c>
      <c r="Z109" s="224">
        <f t="shared" si="28"/>
        <v>0</v>
      </c>
      <c r="AA109" s="224">
        <f t="shared" si="28"/>
        <v>0</v>
      </c>
      <c r="AB109" s="224">
        <f t="shared" si="28"/>
        <v>0</v>
      </c>
      <c r="AC109" s="224">
        <f t="shared" si="28"/>
        <v>0</v>
      </c>
      <c r="AD109" s="224">
        <f t="shared" si="28"/>
        <v>0</v>
      </c>
      <c r="AE109" s="180"/>
      <c r="AF109" s="180"/>
      <c r="AG109" s="180"/>
      <c r="AH109" s="180"/>
      <c r="AI109" s="257">
        <f>SUM(AI110)</f>
        <v>200000</v>
      </c>
      <c r="AJ109" s="257">
        <f>SUM(AJ110)</f>
        <v>400000</v>
      </c>
      <c r="AK109" s="258">
        <f>SUM(AK110)</f>
        <v>1</v>
      </c>
      <c r="AL109" s="258"/>
      <c r="AM109" s="258"/>
      <c r="AN109" s="180"/>
      <c r="AO109" s="180"/>
      <c r="AP109" s="180"/>
      <c r="AQ109" s="180"/>
      <c r="AR109" s="180"/>
      <c r="AS109" s="180"/>
      <c r="AT109" s="180"/>
      <c r="AU109" s="180"/>
      <c r="AV109" s="180"/>
      <c r="AW109" s="180"/>
      <c r="AX109" s="180"/>
      <c r="AY109" s="180"/>
      <c r="AZ109" s="180"/>
      <c r="BA109" s="180"/>
    </row>
    <row r="110" spans="1:53" ht="409.5" x14ac:dyDescent="0.25">
      <c r="A110" s="247"/>
      <c r="B110" s="247"/>
      <c r="C110" s="247"/>
      <c r="D110" s="247"/>
      <c r="E110" s="247"/>
      <c r="F110" s="247"/>
      <c r="G110" s="247"/>
      <c r="H110" s="247"/>
      <c r="I110" s="247"/>
      <c r="J110" s="251"/>
      <c r="K110" s="251"/>
      <c r="L110" s="251"/>
      <c r="M110" s="269"/>
      <c r="N110" s="180"/>
      <c r="O110" s="180"/>
      <c r="P110" s="223">
        <f>SUM(Q110:AD110)</f>
        <v>400000</v>
      </c>
      <c r="Q110" s="224">
        <v>400000</v>
      </c>
      <c r="R110" s="224"/>
      <c r="S110" s="224"/>
      <c r="T110" s="224"/>
      <c r="U110" s="224"/>
      <c r="V110" s="224"/>
      <c r="W110" s="224"/>
      <c r="X110" s="224"/>
      <c r="Y110" s="224"/>
      <c r="Z110" s="224"/>
      <c r="AA110" s="224"/>
      <c r="AB110" s="224"/>
      <c r="AC110" s="224"/>
      <c r="AD110" s="224"/>
      <c r="AE110" s="236" t="s">
        <v>1997</v>
      </c>
      <c r="AF110" s="230"/>
      <c r="AG110" s="236" t="s">
        <v>1854</v>
      </c>
      <c r="AH110" s="219" t="s">
        <v>1855</v>
      </c>
      <c r="AI110" s="227">
        <v>200000</v>
      </c>
      <c r="AJ110" s="227">
        <f>SUM(Q110:AD110)</f>
        <v>400000</v>
      </c>
      <c r="AK110" s="185">
        <v>1</v>
      </c>
      <c r="AL110" s="185">
        <v>0</v>
      </c>
      <c r="AM110" s="185"/>
      <c r="AN110" s="180"/>
      <c r="AO110" s="180"/>
      <c r="AP110" s="180"/>
      <c r="AQ110" s="215" t="s">
        <v>395</v>
      </c>
      <c r="AR110" s="215" t="s">
        <v>395</v>
      </c>
      <c r="AS110" s="215" t="s">
        <v>395</v>
      </c>
      <c r="AT110" s="215" t="s">
        <v>395</v>
      </c>
      <c r="AU110" s="215" t="s">
        <v>395</v>
      </c>
      <c r="AV110" s="180"/>
      <c r="AW110" s="180"/>
      <c r="AX110" s="180"/>
      <c r="AY110" s="180"/>
      <c r="AZ110" s="217" t="s">
        <v>1897</v>
      </c>
      <c r="BA110" s="180"/>
    </row>
    <row r="111" spans="1:53" x14ac:dyDescent="0.25">
      <c r="A111" s="220"/>
      <c r="B111" s="220"/>
      <c r="C111" s="176"/>
      <c r="D111" s="176"/>
      <c r="E111" s="176"/>
      <c r="F111" s="246"/>
      <c r="G111" s="246"/>
      <c r="H111" s="247"/>
      <c r="I111" s="247"/>
      <c r="J111" s="176"/>
      <c r="K111" s="176"/>
      <c r="L111" s="251"/>
      <c r="M111" s="269"/>
      <c r="N111" s="180"/>
      <c r="O111" s="180"/>
      <c r="P111" s="235"/>
      <c r="Q111" s="224"/>
      <c r="R111" s="224"/>
      <c r="S111" s="224"/>
      <c r="T111" s="224"/>
      <c r="U111" s="224"/>
      <c r="V111" s="224"/>
      <c r="W111" s="224"/>
      <c r="X111" s="224"/>
      <c r="Y111" s="224"/>
      <c r="Z111" s="224"/>
      <c r="AA111" s="224"/>
      <c r="AB111" s="224"/>
      <c r="AC111" s="224"/>
      <c r="AD111" s="224"/>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row>
    <row r="112" spans="1:53" ht="150" x14ac:dyDescent="0.25">
      <c r="A112" s="254" t="s">
        <v>201</v>
      </c>
      <c r="B112" s="254" t="s">
        <v>1801</v>
      </c>
      <c r="C112" s="254" t="s">
        <v>1998</v>
      </c>
      <c r="D112" s="254" t="s">
        <v>1999</v>
      </c>
      <c r="E112" s="253">
        <v>0</v>
      </c>
      <c r="F112" s="254" t="s">
        <v>1988</v>
      </c>
      <c r="G112" s="254" t="s">
        <v>1989</v>
      </c>
      <c r="H112" s="253" t="s">
        <v>2000</v>
      </c>
      <c r="I112" s="253" t="s">
        <v>2001</v>
      </c>
      <c r="J112" s="251">
        <v>0</v>
      </c>
      <c r="K112" s="251" t="s">
        <v>323</v>
      </c>
      <c r="L112" s="251">
        <v>1</v>
      </c>
      <c r="M112" s="258">
        <f>+'[1]Plan Indicativo Infraestructura'!P52</f>
        <v>0</v>
      </c>
      <c r="N112" s="180"/>
      <c r="O112" s="180"/>
      <c r="P112" s="223">
        <f>SUM(P113)</f>
        <v>25802</v>
      </c>
      <c r="Q112" s="224">
        <f>SUM(Q113)</f>
        <v>25802</v>
      </c>
      <c r="R112" s="224">
        <f t="shared" ref="R112:AD112" si="29">SUM(R113)</f>
        <v>0</v>
      </c>
      <c r="S112" s="224">
        <f t="shared" si="29"/>
        <v>0</v>
      </c>
      <c r="T112" s="224">
        <f t="shared" si="29"/>
        <v>0</v>
      </c>
      <c r="U112" s="224">
        <f t="shared" si="29"/>
        <v>0</v>
      </c>
      <c r="V112" s="224">
        <f t="shared" si="29"/>
        <v>0</v>
      </c>
      <c r="W112" s="224">
        <f t="shared" si="29"/>
        <v>0</v>
      </c>
      <c r="X112" s="224">
        <f t="shared" si="29"/>
        <v>0</v>
      </c>
      <c r="Y112" s="224">
        <f t="shared" si="29"/>
        <v>0</v>
      </c>
      <c r="Z112" s="224">
        <f t="shared" si="29"/>
        <v>0</v>
      </c>
      <c r="AA112" s="224">
        <f t="shared" si="29"/>
        <v>0</v>
      </c>
      <c r="AB112" s="224">
        <f t="shared" si="29"/>
        <v>0</v>
      </c>
      <c r="AC112" s="224">
        <f t="shared" si="29"/>
        <v>0</v>
      </c>
      <c r="AD112" s="224">
        <f t="shared" si="29"/>
        <v>0</v>
      </c>
      <c r="AE112" s="180"/>
      <c r="AF112" s="180"/>
      <c r="AG112" s="180"/>
      <c r="AH112" s="180"/>
      <c r="AI112" s="180"/>
      <c r="AJ112" s="257">
        <f>SUM(AJ113)</f>
        <v>25802</v>
      </c>
      <c r="AK112" s="258">
        <f>SUM(AK113)</f>
        <v>1</v>
      </c>
      <c r="AL112" s="258"/>
      <c r="AM112" s="258"/>
      <c r="AN112" s="180"/>
      <c r="AO112" s="180"/>
      <c r="AP112" s="180"/>
      <c r="AQ112" s="180"/>
      <c r="AR112" s="180"/>
      <c r="AS112" s="180"/>
      <c r="AT112" s="180"/>
      <c r="AU112" s="180"/>
      <c r="AV112" s="180"/>
      <c r="AW112" s="180"/>
      <c r="AX112" s="180"/>
      <c r="AY112" s="180"/>
      <c r="AZ112" s="180"/>
      <c r="BA112" s="180"/>
    </row>
    <row r="113" spans="1:53" ht="242.25" x14ac:dyDescent="0.25">
      <c r="A113" s="176"/>
      <c r="B113" s="176"/>
      <c r="C113" s="176"/>
      <c r="D113" s="176"/>
      <c r="E113" s="176"/>
      <c r="F113" s="176"/>
      <c r="G113" s="176"/>
      <c r="H113" s="176"/>
      <c r="I113" s="176"/>
      <c r="J113" s="251"/>
      <c r="K113" s="251"/>
      <c r="L113" s="251"/>
      <c r="M113" s="269"/>
      <c r="N113" s="180"/>
      <c r="O113" s="180"/>
      <c r="P113" s="223">
        <f>SUM(Q113:AD113)</f>
        <v>25802</v>
      </c>
      <c r="Q113" s="224">
        <v>25802</v>
      </c>
      <c r="R113" s="224"/>
      <c r="S113" s="224"/>
      <c r="T113" s="224"/>
      <c r="U113" s="224"/>
      <c r="V113" s="224"/>
      <c r="W113" s="224"/>
      <c r="X113" s="224"/>
      <c r="Y113" s="224"/>
      <c r="Z113" s="224"/>
      <c r="AA113" s="224"/>
      <c r="AB113" s="224"/>
      <c r="AC113" s="224"/>
      <c r="AD113" s="224"/>
      <c r="AE113" s="236" t="s">
        <v>2002</v>
      </c>
      <c r="AF113" s="230" t="s">
        <v>2003</v>
      </c>
      <c r="AG113" s="180" t="s">
        <v>1921</v>
      </c>
      <c r="AH113" s="219" t="s">
        <v>1920</v>
      </c>
      <c r="AI113" s="227">
        <v>1391836</v>
      </c>
      <c r="AJ113" s="227">
        <f>SUM(Q113:AD113)</f>
        <v>25802</v>
      </c>
      <c r="AK113" s="185">
        <v>1</v>
      </c>
      <c r="AL113" s="185">
        <v>1</v>
      </c>
      <c r="AM113" s="185"/>
      <c r="AN113" s="180"/>
      <c r="AO113" s="215" t="s">
        <v>395</v>
      </c>
      <c r="AP113" s="215" t="s">
        <v>395</v>
      </c>
      <c r="AQ113" s="215" t="s">
        <v>395</v>
      </c>
      <c r="AR113" s="215" t="s">
        <v>395</v>
      </c>
      <c r="AS113" s="215" t="s">
        <v>395</v>
      </c>
      <c r="AT113" s="215" t="s">
        <v>395</v>
      </c>
      <c r="AU113" s="215" t="s">
        <v>395</v>
      </c>
      <c r="AV113" s="215" t="s">
        <v>395</v>
      </c>
      <c r="AW113" s="215" t="s">
        <v>395</v>
      </c>
      <c r="AX113" s="215" t="s">
        <v>395</v>
      </c>
      <c r="AY113" s="215" t="s">
        <v>395</v>
      </c>
      <c r="AZ113" s="217" t="s">
        <v>2004</v>
      </c>
      <c r="BA113" s="180"/>
    </row>
    <row r="114" spans="1:53" x14ac:dyDescent="0.25">
      <c r="A114" s="220"/>
      <c r="B114" s="220"/>
      <c r="C114" s="176"/>
      <c r="D114" s="220"/>
      <c r="E114" s="176"/>
      <c r="F114" s="246"/>
      <c r="G114" s="176"/>
      <c r="H114" s="176"/>
      <c r="I114" s="176"/>
      <c r="J114" s="176"/>
      <c r="K114" s="176"/>
      <c r="L114" s="251"/>
      <c r="M114" s="269"/>
      <c r="N114" s="180"/>
      <c r="O114" s="180"/>
      <c r="P114" s="235"/>
      <c r="Q114" s="224"/>
      <c r="R114" s="224"/>
      <c r="S114" s="224"/>
      <c r="T114" s="224"/>
      <c r="U114" s="224"/>
      <c r="V114" s="224"/>
      <c r="W114" s="224"/>
      <c r="X114" s="224"/>
      <c r="Y114" s="224"/>
      <c r="Z114" s="224"/>
      <c r="AA114" s="224"/>
      <c r="AB114" s="224"/>
      <c r="AC114" s="224"/>
      <c r="AD114" s="224"/>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row>
    <row r="115" spans="1:53" ht="180" x14ac:dyDescent="0.25">
      <c r="A115" s="254" t="s">
        <v>201</v>
      </c>
      <c r="B115" s="254" t="s">
        <v>1801</v>
      </c>
      <c r="C115" s="254" t="s">
        <v>2005</v>
      </c>
      <c r="D115" s="254" t="s">
        <v>2006</v>
      </c>
      <c r="E115" s="253">
        <v>0</v>
      </c>
      <c r="F115" s="254" t="s">
        <v>2007</v>
      </c>
      <c r="G115" s="254" t="s">
        <v>2008</v>
      </c>
      <c r="H115" s="254" t="s">
        <v>2009</v>
      </c>
      <c r="I115" s="254" t="s">
        <v>2010</v>
      </c>
      <c r="J115" s="251">
        <v>0</v>
      </c>
      <c r="K115" s="251" t="s">
        <v>323</v>
      </c>
      <c r="L115" s="251">
        <v>20</v>
      </c>
      <c r="M115" s="258">
        <f>+'[1]Plan Indicativo Infraestructura'!P54</f>
        <v>7</v>
      </c>
      <c r="N115" s="180"/>
      <c r="O115" s="180"/>
      <c r="P115" s="223">
        <f>SUM(P116:P123)</f>
        <v>3238236.0410000002</v>
      </c>
      <c r="Q115" s="224">
        <f>SUM(Q116:Q123)</f>
        <v>1200000</v>
      </c>
      <c r="R115" s="224">
        <f t="shared" ref="R115:AD115" si="30">SUM(R116:R123)</f>
        <v>0</v>
      </c>
      <c r="S115" s="224">
        <f t="shared" si="30"/>
        <v>0</v>
      </c>
      <c r="T115" s="224">
        <f t="shared" si="30"/>
        <v>0</v>
      </c>
      <c r="U115" s="224">
        <f t="shared" si="30"/>
        <v>1099005</v>
      </c>
      <c r="V115" s="224">
        <f t="shared" si="30"/>
        <v>700000</v>
      </c>
      <c r="W115" s="224">
        <f t="shared" si="30"/>
        <v>0</v>
      </c>
      <c r="X115" s="224">
        <f t="shared" si="30"/>
        <v>0</v>
      </c>
      <c r="Y115" s="224">
        <f t="shared" si="30"/>
        <v>0</v>
      </c>
      <c r="Z115" s="224">
        <f t="shared" si="30"/>
        <v>0</v>
      </c>
      <c r="AA115" s="224">
        <f t="shared" si="30"/>
        <v>0</v>
      </c>
      <c r="AB115" s="224">
        <f t="shared" si="30"/>
        <v>0</v>
      </c>
      <c r="AC115" s="224">
        <f t="shared" si="30"/>
        <v>0</v>
      </c>
      <c r="AD115" s="224">
        <f t="shared" si="30"/>
        <v>239231.041</v>
      </c>
      <c r="AE115" s="180"/>
      <c r="AF115" s="180"/>
      <c r="AG115" s="180"/>
      <c r="AH115" s="180"/>
      <c r="AI115" s="257">
        <f>SUM(AI116:AI123)</f>
        <v>713984</v>
      </c>
      <c r="AJ115" s="257">
        <f>SUM(AJ116:AJ123)</f>
        <v>3238236.0410000002</v>
      </c>
      <c r="AK115" s="185">
        <f>SUM(AK116:AK123)</f>
        <v>8</v>
      </c>
      <c r="AL115" s="258">
        <f>SUM(AL116:AL123)</f>
        <v>1</v>
      </c>
      <c r="AM115" s="248">
        <f>SUM(AM116:AM123)</f>
        <v>0</v>
      </c>
      <c r="AN115" s="180"/>
      <c r="AO115" s="180"/>
      <c r="AP115" s="180"/>
      <c r="AQ115" s="180"/>
      <c r="AR115" s="180"/>
      <c r="AS115" s="180"/>
      <c r="AT115" s="180"/>
      <c r="AU115" s="180"/>
      <c r="AV115" s="180"/>
      <c r="AW115" s="180"/>
      <c r="AX115" s="180"/>
      <c r="AY115" s="180"/>
      <c r="AZ115" s="180"/>
      <c r="BA115" s="180"/>
    </row>
    <row r="116" spans="1:53" ht="153" x14ac:dyDescent="0.25">
      <c r="A116" s="254"/>
      <c r="B116" s="254"/>
      <c r="C116" s="254"/>
      <c r="D116" s="254"/>
      <c r="E116" s="254"/>
      <c r="F116" s="254"/>
      <c r="G116" s="254"/>
      <c r="H116" s="254"/>
      <c r="I116" s="220"/>
      <c r="J116" s="251"/>
      <c r="K116" s="251"/>
      <c r="L116" s="251"/>
      <c r="M116" s="269"/>
      <c r="N116" s="180"/>
      <c r="O116" s="180"/>
      <c r="P116" s="223">
        <f t="shared" ref="P116:P123" si="31">SUM(Q116:AD116)</f>
        <v>95231.040999999997</v>
      </c>
      <c r="Q116" s="224"/>
      <c r="R116" s="224"/>
      <c r="S116" s="224"/>
      <c r="T116" s="224"/>
      <c r="U116" s="224"/>
      <c r="V116" s="224"/>
      <c r="W116" s="224"/>
      <c r="X116" s="224"/>
      <c r="Y116" s="224"/>
      <c r="Z116" s="224"/>
      <c r="AA116" s="224"/>
      <c r="AB116" s="224"/>
      <c r="AC116" s="224"/>
      <c r="AD116" s="224">
        <v>95231.040999999997</v>
      </c>
      <c r="AE116" s="236" t="s">
        <v>2011</v>
      </c>
      <c r="AF116" s="230"/>
      <c r="AG116" s="236" t="s">
        <v>1845</v>
      </c>
      <c r="AH116" s="180" t="s">
        <v>481</v>
      </c>
      <c r="AI116" s="233">
        <v>210026</v>
      </c>
      <c r="AJ116" s="227">
        <f t="shared" ref="AJ116:AJ123" si="32">SUM(Q116:AD116)</f>
        <v>95231.040999999997</v>
      </c>
      <c r="AK116" s="185">
        <v>1</v>
      </c>
      <c r="AL116" s="185"/>
      <c r="AM116" s="245"/>
      <c r="AN116" s="180" t="s">
        <v>751</v>
      </c>
      <c r="AO116" s="180" t="s">
        <v>751</v>
      </c>
      <c r="AP116" s="180" t="s">
        <v>751</v>
      </c>
      <c r="AQ116" s="180"/>
      <c r="AR116" s="180"/>
      <c r="AS116" s="180"/>
      <c r="AT116" s="180"/>
      <c r="AU116" s="215"/>
      <c r="AV116" s="215"/>
      <c r="AW116" s="215"/>
      <c r="AX116" s="215"/>
      <c r="AY116" s="215"/>
      <c r="AZ116" s="217" t="s">
        <v>1897</v>
      </c>
      <c r="BA116" s="180"/>
    </row>
    <row r="117" spans="1:53" ht="191.25" x14ac:dyDescent="0.25">
      <c r="A117" s="254"/>
      <c r="B117" s="254"/>
      <c r="C117" s="254"/>
      <c r="D117" s="254"/>
      <c r="E117" s="254"/>
      <c r="F117" s="254"/>
      <c r="G117" s="254"/>
      <c r="H117" s="254"/>
      <c r="I117" s="220"/>
      <c r="J117" s="251"/>
      <c r="K117" s="251"/>
      <c r="L117" s="251"/>
      <c r="M117" s="269"/>
      <c r="N117" s="180"/>
      <c r="O117" s="180"/>
      <c r="P117" s="223">
        <f t="shared" si="31"/>
        <v>700000</v>
      </c>
      <c r="Q117" s="224"/>
      <c r="R117" s="224"/>
      <c r="S117" s="224"/>
      <c r="T117" s="224"/>
      <c r="U117" s="224"/>
      <c r="V117" s="224">
        <v>700000</v>
      </c>
      <c r="W117" s="224"/>
      <c r="X117" s="224"/>
      <c r="Y117" s="224"/>
      <c r="Z117" s="224"/>
      <c r="AA117" s="224"/>
      <c r="AB117" s="224"/>
      <c r="AC117" s="224"/>
      <c r="AD117" s="224"/>
      <c r="AE117" s="236" t="s">
        <v>2012</v>
      </c>
      <c r="AF117" s="230"/>
      <c r="AG117" s="236" t="s">
        <v>2013</v>
      </c>
      <c r="AH117" s="180" t="s">
        <v>481</v>
      </c>
      <c r="AI117" s="233">
        <v>385936</v>
      </c>
      <c r="AJ117" s="227">
        <f t="shared" si="32"/>
        <v>700000</v>
      </c>
      <c r="AK117" s="185">
        <v>1</v>
      </c>
      <c r="AL117" s="185">
        <v>0</v>
      </c>
      <c r="AM117" s="185"/>
      <c r="AN117" s="180"/>
      <c r="AO117" s="180"/>
      <c r="AP117" s="215" t="s">
        <v>395</v>
      </c>
      <c r="AQ117" s="215" t="s">
        <v>395</v>
      </c>
      <c r="AR117" s="215" t="s">
        <v>395</v>
      </c>
      <c r="AS117" s="215" t="s">
        <v>395</v>
      </c>
      <c r="AT117" s="215" t="s">
        <v>395</v>
      </c>
      <c r="AU117" s="215"/>
      <c r="AV117" s="215"/>
      <c r="AW117" s="180"/>
      <c r="AX117" s="180"/>
      <c r="AY117" s="180"/>
      <c r="AZ117" s="217" t="s">
        <v>1870</v>
      </c>
      <c r="BA117" s="180"/>
    </row>
    <row r="118" spans="1:53" ht="165.75" x14ac:dyDescent="0.25">
      <c r="A118" s="254"/>
      <c r="B118" s="254"/>
      <c r="C118" s="254"/>
      <c r="D118" s="254"/>
      <c r="E118" s="254"/>
      <c r="F118" s="254"/>
      <c r="G118" s="254"/>
      <c r="H118" s="254"/>
      <c r="I118" s="220"/>
      <c r="J118" s="251"/>
      <c r="K118" s="251"/>
      <c r="L118" s="251"/>
      <c r="M118" s="269"/>
      <c r="N118" s="180"/>
      <c r="O118" s="180"/>
      <c r="P118" s="223">
        <f t="shared" si="31"/>
        <v>144000</v>
      </c>
      <c r="Q118" s="271"/>
      <c r="R118" s="224"/>
      <c r="S118" s="224"/>
      <c r="T118" s="224"/>
      <c r="U118" s="224"/>
      <c r="V118" s="224"/>
      <c r="W118" s="224"/>
      <c r="X118" s="224"/>
      <c r="Y118" s="224"/>
      <c r="Z118" s="271"/>
      <c r="AA118" s="224"/>
      <c r="AB118" s="224"/>
      <c r="AC118" s="224"/>
      <c r="AD118" s="271">
        <f>3.6*40000</f>
        <v>144000</v>
      </c>
      <c r="AE118" s="236" t="s">
        <v>2014</v>
      </c>
      <c r="AF118" s="230"/>
      <c r="AG118" s="236" t="s">
        <v>2015</v>
      </c>
      <c r="AH118" s="180" t="s">
        <v>2016</v>
      </c>
      <c r="AI118" s="233">
        <f>25231+18860</f>
        <v>44091</v>
      </c>
      <c r="AJ118" s="227">
        <f t="shared" si="32"/>
        <v>144000</v>
      </c>
      <c r="AK118" s="185">
        <v>1</v>
      </c>
      <c r="AL118" s="185">
        <v>1</v>
      </c>
      <c r="AM118" s="185"/>
      <c r="AN118" s="180" t="s">
        <v>751</v>
      </c>
      <c r="AO118" s="180" t="s">
        <v>751</v>
      </c>
      <c r="AP118" s="180" t="s">
        <v>751</v>
      </c>
      <c r="AQ118" s="180" t="s">
        <v>751</v>
      </c>
      <c r="AR118" s="180" t="s">
        <v>751</v>
      </c>
      <c r="AS118" s="180"/>
      <c r="AT118" s="180"/>
      <c r="AU118" s="180"/>
      <c r="AV118" s="215"/>
      <c r="AW118" s="215"/>
      <c r="AX118" s="215"/>
      <c r="AY118" s="215"/>
      <c r="AZ118" s="217" t="s">
        <v>1897</v>
      </c>
      <c r="BA118" s="180"/>
    </row>
    <row r="119" spans="1:53" ht="114.75" x14ac:dyDescent="0.25">
      <c r="A119" s="254"/>
      <c r="B119" s="254"/>
      <c r="C119" s="254"/>
      <c r="D119" s="254"/>
      <c r="E119" s="254"/>
      <c r="F119" s="254"/>
      <c r="G119" s="254"/>
      <c r="H119" s="254"/>
      <c r="I119" s="220"/>
      <c r="J119" s="251"/>
      <c r="K119" s="251"/>
      <c r="L119" s="251"/>
      <c r="M119" s="269"/>
      <c r="N119" s="180"/>
      <c r="O119" s="180"/>
      <c r="P119" s="223">
        <f t="shared" si="31"/>
        <v>300000</v>
      </c>
      <c r="Q119" s="224">
        <v>300000</v>
      </c>
      <c r="R119" s="224"/>
      <c r="S119" s="224"/>
      <c r="T119" s="224"/>
      <c r="U119" s="224"/>
      <c r="V119" s="224"/>
      <c r="W119" s="224"/>
      <c r="X119" s="224"/>
      <c r="Y119" s="224"/>
      <c r="Z119" s="224"/>
      <c r="AA119" s="224"/>
      <c r="AB119" s="224"/>
      <c r="AC119" s="224"/>
      <c r="AD119" s="224"/>
      <c r="AE119" s="236" t="s">
        <v>2017</v>
      </c>
      <c r="AF119" s="230"/>
      <c r="AG119" s="236" t="s">
        <v>1825</v>
      </c>
      <c r="AH119" s="180" t="s">
        <v>1826</v>
      </c>
      <c r="AI119" s="233">
        <v>653</v>
      </c>
      <c r="AJ119" s="227">
        <f t="shared" si="32"/>
        <v>300000</v>
      </c>
      <c r="AK119" s="185">
        <v>1</v>
      </c>
      <c r="AL119" s="185">
        <v>0</v>
      </c>
      <c r="AM119" s="185"/>
      <c r="AN119" s="180"/>
      <c r="AO119" s="180"/>
      <c r="AP119" s="215" t="s">
        <v>395</v>
      </c>
      <c r="AQ119" s="215" t="s">
        <v>395</v>
      </c>
      <c r="AR119" s="215" t="s">
        <v>395</v>
      </c>
      <c r="AS119" s="215" t="s">
        <v>395</v>
      </c>
      <c r="AT119" s="180"/>
      <c r="AU119" s="180"/>
      <c r="AV119" s="215"/>
      <c r="AW119" s="215"/>
      <c r="AX119" s="215"/>
      <c r="AY119" s="215"/>
      <c r="AZ119" s="217" t="s">
        <v>1897</v>
      </c>
      <c r="BA119" s="180"/>
    </row>
    <row r="120" spans="1:53" ht="127.5" x14ac:dyDescent="0.25">
      <c r="A120" s="254"/>
      <c r="B120" s="254"/>
      <c r="C120" s="254"/>
      <c r="D120" s="254"/>
      <c r="E120" s="254"/>
      <c r="F120" s="254"/>
      <c r="G120" s="254"/>
      <c r="H120" s="254"/>
      <c r="I120" s="220"/>
      <c r="J120" s="251"/>
      <c r="K120" s="251"/>
      <c r="L120" s="251"/>
      <c r="M120" s="269"/>
      <c r="N120" s="180"/>
      <c r="O120" s="180"/>
      <c r="P120" s="223">
        <f>SUM(Q120:AD120)</f>
        <v>600000</v>
      </c>
      <c r="Q120" s="224">
        <v>600000</v>
      </c>
      <c r="R120" s="224"/>
      <c r="S120" s="224"/>
      <c r="T120" s="224"/>
      <c r="U120" s="224"/>
      <c r="V120" s="224"/>
      <c r="W120" s="224"/>
      <c r="X120" s="224"/>
      <c r="Y120" s="224"/>
      <c r="Z120" s="224"/>
      <c r="AA120" s="224"/>
      <c r="AB120" s="224"/>
      <c r="AC120" s="224"/>
      <c r="AD120" s="224"/>
      <c r="AE120" s="236" t="s">
        <v>2018</v>
      </c>
      <c r="AF120" s="230"/>
      <c r="AG120" s="236" t="s">
        <v>1902</v>
      </c>
      <c r="AH120" s="180" t="s">
        <v>481</v>
      </c>
      <c r="AI120" s="233">
        <v>52970</v>
      </c>
      <c r="AJ120" s="227">
        <f t="shared" si="32"/>
        <v>600000</v>
      </c>
      <c r="AK120" s="185">
        <v>1</v>
      </c>
      <c r="AL120" s="185">
        <v>0</v>
      </c>
      <c r="AM120" s="185"/>
      <c r="AN120" s="180"/>
      <c r="AO120" s="180"/>
      <c r="AP120" s="180"/>
      <c r="AQ120" s="215" t="s">
        <v>395</v>
      </c>
      <c r="AR120" s="215" t="s">
        <v>395</v>
      </c>
      <c r="AS120" s="215" t="s">
        <v>395</v>
      </c>
      <c r="AT120" s="215" t="s">
        <v>395</v>
      </c>
      <c r="AU120" s="215" t="s">
        <v>395</v>
      </c>
      <c r="AV120" s="180"/>
      <c r="AW120" s="180"/>
      <c r="AX120" s="180"/>
      <c r="AY120" s="180"/>
      <c r="AZ120" s="217" t="s">
        <v>1897</v>
      </c>
      <c r="BA120" s="180"/>
    </row>
    <row r="121" spans="1:53" ht="114.75" x14ac:dyDescent="0.25">
      <c r="A121" s="254"/>
      <c r="B121" s="254"/>
      <c r="C121" s="254"/>
      <c r="D121" s="254"/>
      <c r="E121" s="254"/>
      <c r="F121" s="254"/>
      <c r="G121" s="254"/>
      <c r="H121" s="254"/>
      <c r="I121" s="220"/>
      <c r="J121" s="251"/>
      <c r="K121" s="251"/>
      <c r="L121" s="251"/>
      <c r="M121" s="269"/>
      <c r="N121" s="180"/>
      <c r="O121" s="180"/>
      <c r="P121" s="223">
        <f t="shared" si="31"/>
        <v>300000</v>
      </c>
      <c r="Q121" s="224">
        <v>300000</v>
      </c>
      <c r="R121" s="224"/>
      <c r="S121" s="224"/>
      <c r="T121" s="224"/>
      <c r="U121" s="224"/>
      <c r="V121" s="224"/>
      <c r="W121" s="224"/>
      <c r="X121" s="224"/>
      <c r="Y121" s="224"/>
      <c r="Z121" s="224"/>
      <c r="AA121" s="224"/>
      <c r="AB121" s="224"/>
      <c r="AC121" s="224"/>
      <c r="AD121" s="224"/>
      <c r="AE121" s="236" t="s">
        <v>2019</v>
      </c>
      <c r="AF121" s="230"/>
      <c r="AG121" s="236" t="s">
        <v>1883</v>
      </c>
      <c r="AH121" s="180" t="s">
        <v>580</v>
      </c>
      <c r="AI121" s="233">
        <v>1725</v>
      </c>
      <c r="AJ121" s="227">
        <f t="shared" si="32"/>
        <v>300000</v>
      </c>
      <c r="AK121" s="185">
        <v>1</v>
      </c>
      <c r="AL121" s="185">
        <v>0</v>
      </c>
      <c r="AM121" s="185"/>
      <c r="AN121" s="180"/>
      <c r="AO121" s="180"/>
      <c r="AP121" s="215" t="s">
        <v>395</v>
      </c>
      <c r="AQ121" s="215" t="s">
        <v>395</v>
      </c>
      <c r="AR121" s="215" t="s">
        <v>395</v>
      </c>
      <c r="AS121" s="215" t="s">
        <v>395</v>
      </c>
      <c r="AT121" s="180"/>
      <c r="AU121" s="180"/>
      <c r="AV121" s="215"/>
      <c r="AW121" s="215"/>
      <c r="AX121" s="215"/>
      <c r="AY121" s="215"/>
      <c r="AZ121" s="217" t="s">
        <v>1897</v>
      </c>
      <c r="BA121" s="180"/>
    </row>
    <row r="122" spans="1:53" ht="76.5" x14ac:dyDescent="0.25">
      <c r="A122" s="254"/>
      <c r="B122" s="254"/>
      <c r="C122" s="254"/>
      <c r="D122" s="254"/>
      <c r="E122" s="254"/>
      <c r="F122" s="254"/>
      <c r="G122" s="254"/>
      <c r="H122" s="254"/>
      <c r="I122" s="220"/>
      <c r="J122" s="251"/>
      <c r="K122" s="251"/>
      <c r="L122" s="251"/>
      <c r="M122" s="269"/>
      <c r="N122" s="180"/>
      <c r="O122" s="180"/>
      <c r="P122" s="223">
        <f t="shared" si="31"/>
        <v>579005</v>
      </c>
      <c r="Q122" s="224"/>
      <c r="R122" s="224"/>
      <c r="S122" s="224"/>
      <c r="T122" s="224"/>
      <c r="U122" s="224">
        <f>16.543*35000</f>
        <v>579005</v>
      </c>
      <c r="V122" s="224"/>
      <c r="W122" s="224"/>
      <c r="X122" s="224"/>
      <c r="Y122" s="224"/>
      <c r="Z122" s="224"/>
      <c r="AA122" s="224"/>
      <c r="AB122" s="224"/>
      <c r="AC122" s="224"/>
      <c r="AD122" s="224"/>
      <c r="AE122" s="236" t="s">
        <v>2020</v>
      </c>
      <c r="AF122" s="230"/>
      <c r="AG122" s="236" t="s">
        <v>2021</v>
      </c>
      <c r="AH122" s="180" t="s">
        <v>481</v>
      </c>
      <c r="AI122" s="233">
        <v>4583</v>
      </c>
      <c r="AJ122" s="227">
        <f t="shared" si="32"/>
        <v>579005</v>
      </c>
      <c r="AK122" s="185">
        <v>1</v>
      </c>
      <c r="AL122" s="185">
        <v>0</v>
      </c>
      <c r="AM122" s="185"/>
      <c r="AN122" s="180"/>
      <c r="AO122" s="180"/>
      <c r="AP122" s="180"/>
      <c r="AQ122" s="180" t="s">
        <v>751</v>
      </c>
      <c r="AR122" s="180" t="s">
        <v>751</v>
      </c>
      <c r="AS122" s="180" t="s">
        <v>751</v>
      </c>
      <c r="AT122" s="180" t="s">
        <v>751</v>
      </c>
      <c r="AU122" s="180" t="s">
        <v>751</v>
      </c>
      <c r="AV122" s="215"/>
      <c r="AW122" s="215"/>
      <c r="AX122" s="215"/>
      <c r="AY122" s="215"/>
      <c r="AZ122" s="217" t="s">
        <v>1897</v>
      </c>
      <c r="BA122" s="180"/>
    </row>
    <row r="123" spans="1:53" ht="89.25" x14ac:dyDescent="0.25">
      <c r="A123" s="254"/>
      <c r="B123" s="254"/>
      <c r="C123" s="254"/>
      <c r="D123" s="254"/>
      <c r="E123" s="254"/>
      <c r="F123" s="254"/>
      <c r="G123" s="254"/>
      <c r="H123" s="254"/>
      <c r="I123" s="220"/>
      <c r="J123" s="251"/>
      <c r="K123" s="251"/>
      <c r="L123" s="251"/>
      <c r="M123" s="269"/>
      <c r="N123" s="180"/>
      <c r="O123" s="180"/>
      <c r="P123" s="223">
        <f t="shared" si="31"/>
        <v>520000</v>
      </c>
      <c r="Q123" s="224"/>
      <c r="R123" s="224"/>
      <c r="S123" s="224"/>
      <c r="T123" s="224"/>
      <c r="U123" s="224">
        <f>13*40000</f>
        <v>520000</v>
      </c>
      <c r="V123" s="224"/>
      <c r="W123" s="224"/>
      <c r="X123" s="224"/>
      <c r="Y123" s="224"/>
      <c r="Z123" s="224"/>
      <c r="AA123" s="224"/>
      <c r="AB123" s="224"/>
      <c r="AC123" s="224"/>
      <c r="AD123" s="224"/>
      <c r="AE123" s="236" t="s">
        <v>2022</v>
      </c>
      <c r="AF123" s="230"/>
      <c r="AG123" s="236" t="s">
        <v>1602</v>
      </c>
      <c r="AH123" s="180" t="s">
        <v>1798</v>
      </c>
      <c r="AI123" s="233">
        <v>14000</v>
      </c>
      <c r="AJ123" s="227">
        <f t="shared" si="32"/>
        <v>520000</v>
      </c>
      <c r="AK123" s="185">
        <v>1</v>
      </c>
      <c r="AL123" s="185">
        <v>0</v>
      </c>
      <c r="AM123" s="185"/>
      <c r="AN123" s="180"/>
      <c r="AO123" s="180"/>
      <c r="AP123" s="180"/>
      <c r="AQ123" s="180"/>
      <c r="AR123" s="180"/>
      <c r="AS123" s="180"/>
      <c r="AT123" s="215" t="s">
        <v>395</v>
      </c>
      <c r="AU123" s="215" t="s">
        <v>395</v>
      </c>
      <c r="AV123" s="215" t="s">
        <v>395</v>
      </c>
      <c r="AW123" s="215" t="s">
        <v>395</v>
      </c>
      <c r="AX123" s="215" t="s">
        <v>395</v>
      </c>
      <c r="AY123" s="180"/>
      <c r="AZ123" s="217" t="s">
        <v>1795</v>
      </c>
      <c r="BA123" s="180"/>
    </row>
    <row r="124" spans="1:53" x14ac:dyDescent="0.25">
      <c r="A124" s="220"/>
      <c r="B124" s="220"/>
      <c r="C124" s="176"/>
      <c r="D124" s="246"/>
      <c r="E124" s="176"/>
      <c r="F124" s="220"/>
      <c r="G124" s="220"/>
      <c r="H124" s="176"/>
      <c r="I124" s="220"/>
      <c r="J124" s="176"/>
      <c r="K124" s="176"/>
      <c r="L124" s="251"/>
      <c r="M124" s="269"/>
      <c r="N124" s="180"/>
      <c r="O124" s="180"/>
      <c r="P124" s="235"/>
      <c r="Q124" s="224"/>
      <c r="R124" s="224"/>
      <c r="S124" s="224"/>
      <c r="T124" s="224"/>
      <c r="U124" s="224"/>
      <c r="V124" s="224"/>
      <c r="W124" s="224"/>
      <c r="X124" s="224"/>
      <c r="Y124" s="224"/>
      <c r="Z124" s="224"/>
      <c r="AA124" s="224"/>
      <c r="AB124" s="224"/>
      <c r="AC124" s="224"/>
      <c r="AD124" s="224"/>
      <c r="AE124" s="224"/>
      <c r="AF124" s="224"/>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row>
    <row r="125" spans="1:53" ht="210" x14ac:dyDescent="0.25">
      <c r="A125" s="253" t="s">
        <v>201</v>
      </c>
      <c r="B125" s="253" t="s">
        <v>1801</v>
      </c>
      <c r="C125" s="253" t="s">
        <v>2023</v>
      </c>
      <c r="D125" s="253" t="s">
        <v>2024</v>
      </c>
      <c r="E125" s="253">
        <v>27000</v>
      </c>
      <c r="F125" s="253" t="s">
        <v>2025</v>
      </c>
      <c r="G125" s="253" t="s">
        <v>2026</v>
      </c>
      <c r="H125" s="253" t="s">
        <v>2027</v>
      </c>
      <c r="I125" s="253" t="s">
        <v>2028</v>
      </c>
      <c r="J125" s="251">
        <v>0</v>
      </c>
      <c r="K125" s="251" t="s">
        <v>323</v>
      </c>
      <c r="L125" s="251">
        <v>3</v>
      </c>
      <c r="M125" s="258">
        <v>0.15</v>
      </c>
      <c r="N125" s="180"/>
      <c r="O125" s="180"/>
      <c r="P125" s="223">
        <f>SUM(P126)</f>
        <v>825808.31499999994</v>
      </c>
      <c r="Q125" s="224">
        <f>SUM(Q126)</f>
        <v>0</v>
      </c>
      <c r="R125" s="224">
        <f t="shared" ref="R125:AD125" si="33">SUM(R126)</f>
        <v>0</v>
      </c>
      <c r="S125" s="224">
        <f t="shared" si="33"/>
        <v>0</v>
      </c>
      <c r="T125" s="224">
        <f t="shared" si="33"/>
        <v>0</v>
      </c>
      <c r="U125" s="224">
        <f t="shared" si="33"/>
        <v>0</v>
      </c>
      <c r="V125" s="224">
        <f t="shared" si="33"/>
        <v>0</v>
      </c>
      <c r="W125" s="224">
        <f t="shared" si="33"/>
        <v>0</v>
      </c>
      <c r="X125" s="224">
        <f t="shared" si="33"/>
        <v>0</v>
      </c>
      <c r="Y125" s="224">
        <f t="shared" si="33"/>
        <v>0</v>
      </c>
      <c r="Z125" s="224">
        <f t="shared" si="33"/>
        <v>0</v>
      </c>
      <c r="AA125" s="224">
        <f t="shared" si="33"/>
        <v>0</v>
      </c>
      <c r="AB125" s="224">
        <f t="shared" si="33"/>
        <v>0</v>
      </c>
      <c r="AC125" s="224">
        <f t="shared" si="33"/>
        <v>0</v>
      </c>
      <c r="AD125" s="224">
        <f t="shared" si="33"/>
        <v>825808.31499999994</v>
      </c>
      <c r="AE125" s="180"/>
      <c r="AF125" s="180"/>
      <c r="AG125" s="180"/>
      <c r="AH125" s="180"/>
      <c r="AI125" s="257">
        <f>SUM(AI126)</f>
        <v>32000</v>
      </c>
      <c r="AJ125" s="257">
        <f>SUM(AJ126)</f>
        <v>825808.31499999994</v>
      </c>
      <c r="AK125" s="258">
        <f>SUM(AK126)</f>
        <v>0.15</v>
      </c>
      <c r="AL125" s="258">
        <f>SUM(AL126)</f>
        <v>1</v>
      </c>
      <c r="AM125" s="248">
        <f>SUM(AM126)</f>
        <v>1800377.6169999992</v>
      </c>
      <c r="AN125" s="180"/>
      <c r="AO125" s="180"/>
      <c r="AP125" s="180"/>
      <c r="AQ125" s="180"/>
      <c r="AR125" s="180"/>
      <c r="AS125" s="180"/>
      <c r="AT125" s="180"/>
      <c r="AU125" s="180"/>
      <c r="AV125" s="180"/>
      <c r="AW125" s="180"/>
      <c r="AX125" s="180"/>
      <c r="AY125" s="180"/>
      <c r="AZ125" s="180"/>
      <c r="BA125" s="180"/>
    </row>
    <row r="126" spans="1:53" ht="191.25" x14ac:dyDescent="0.25">
      <c r="A126" s="176"/>
      <c r="B126" s="176"/>
      <c r="C126" s="176"/>
      <c r="D126" s="176"/>
      <c r="E126" s="176"/>
      <c r="F126" s="176"/>
      <c r="G126" s="176"/>
      <c r="H126" s="176"/>
      <c r="I126" s="176"/>
      <c r="J126" s="251"/>
      <c r="K126" s="251"/>
      <c r="L126" s="251"/>
      <c r="M126" s="269"/>
      <c r="N126" s="180"/>
      <c r="O126" s="180"/>
      <c r="P126" s="223">
        <f>SUM(Q126:AD126)</f>
        <v>825808.31499999994</v>
      </c>
      <c r="Q126" s="224"/>
      <c r="R126" s="224"/>
      <c r="S126" s="224"/>
      <c r="T126" s="224"/>
      <c r="U126" s="224"/>
      <c r="V126" s="224"/>
      <c r="W126" s="224"/>
      <c r="X126" s="224"/>
      <c r="Y126" s="224"/>
      <c r="Z126" s="224"/>
      <c r="AA126" s="224"/>
      <c r="AB126" s="224"/>
      <c r="AC126" s="224"/>
      <c r="AD126" s="224">
        <v>825808.31499999994</v>
      </c>
      <c r="AE126" s="236" t="s">
        <v>2029</v>
      </c>
      <c r="AF126" s="230" t="s">
        <v>2030</v>
      </c>
      <c r="AG126" s="180" t="s">
        <v>2031</v>
      </c>
      <c r="AH126" s="180" t="s">
        <v>2032</v>
      </c>
      <c r="AI126" s="233">
        <v>32000</v>
      </c>
      <c r="AJ126" s="227">
        <f>SUM(Q126:AD126)</f>
        <v>825808.31499999994</v>
      </c>
      <c r="AK126" s="185">
        <v>0.15</v>
      </c>
      <c r="AL126" s="185">
        <v>1</v>
      </c>
      <c r="AM126" s="245">
        <v>1800377.6169999992</v>
      </c>
      <c r="AN126" s="215" t="s">
        <v>395</v>
      </c>
      <c r="AO126" s="215" t="s">
        <v>395</v>
      </c>
      <c r="AP126" s="215" t="s">
        <v>395</v>
      </c>
      <c r="AQ126" s="215" t="s">
        <v>395</v>
      </c>
      <c r="AR126" s="215" t="s">
        <v>395</v>
      </c>
      <c r="AS126" s="215" t="s">
        <v>395</v>
      </c>
      <c r="AT126" s="215" t="s">
        <v>395</v>
      </c>
      <c r="AU126" s="215" t="s">
        <v>395</v>
      </c>
      <c r="AV126" s="215" t="s">
        <v>395</v>
      </c>
      <c r="AW126" s="180"/>
      <c r="AX126" s="180"/>
      <c r="AY126" s="180"/>
      <c r="AZ126" s="217" t="s">
        <v>2033</v>
      </c>
      <c r="BA126" s="180"/>
    </row>
    <row r="127" spans="1:53" x14ac:dyDescent="0.25">
      <c r="A127" s="220"/>
      <c r="B127" s="220"/>
      <c r="C127" s="176"/>
      <c r="D127" s="220"/>
      <c r="E127" s="176"/>
      <c r="F127" s="176"/>
      <c r="G127" s="176"/>
      <c r="H127" s="176"/>
      <c r="I127" s="176"/>
      <c r="J127" s="176"/>
      <c r="K127" s="176"/>
      <c r="L127" s="251"/>
      <c r="M127" s="269"/>
      <c r="N127" s="180"/>
      <c r="O127" s="180"/>
      <c r="P127" s="235"/>
      <c r="Q127" s="224"/>
      <c r="R127" s="224"/>
      <c r="S127" s="224"/>
      <c r="T127" s="224"/>
      <c r="U127" s="224"/>
      <c r="V127" s="224"/>
      <c r="W127" s="224"/>
      <c r="X127" s="224"/>
      <c r="Y127" s="224"/>
      <c r="Z127" s="224"/>
      <c r="AA127" s="224"/>
      <c r="AB127" s="224"/>
      <c r="AC127" s="224"/>
      <c r="AD127" s="224"/>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row>
    <row r="128" spans="1:53" ht="210" x14ac:dyDescent="0.25">
      <c r="A128" s="253" t="s">
        <v>201</v>
      </c>
      <c r="B128" s="253" t="s">
        <v>1801</v>
      </c>
      <c r="C128" s="253" t="s">
        <v>2034</v>
      </c>
      <c r="D128" s="253" t="s">
        <v>2035</v>
      </c>
      <c r="E128" s="253">
        <v>20</v>
      </c>
      <c r="F128" s="253" t="s">
        <v>2036</v>
      </c>
      <c r="G128" s="253" t="s">
        <v>2037</v>
      </c>
      <c r="H128" s="253" t="s">
        <v>2038</v>
      </c>
      <c r="I128" s="253" t="s">
        <v>2039</v>
      </c>
      <c r="J128" s="251">
        <v>0</v>
      </c>
      <c r="K128" s="251" t="s">
        <v>323</v>
      </c>
      <c r="L128" s="251">
        <v>4</v>
      </c>
      <c r="M128" s="258">
        <f>+'[1]Plan Indicativo Infraestructura'!P58</f>
        <v>1</v>
      </c>
      <c r="N128" s="180"/>
      <c r="O128" s="180"/>
      <c r="P128" s="223">
        <f>SUM(P129)</f>
        <v>750000</v>
      </c>
      <c r="Q128" s="224">
        <f>SUM(Q129)</f>
        <v>750000</v>
      </c>
      <c r="R128" s="224">
        <f t="shared" ref="R128:AD128" si="34">SUM(R129)</f>
        <v>0</v>
      </c>
      <c r="S128" s="224">
        <f t="shared" si="34"/>
        <v>0</v>
      </c>
      <c r="T128" s="224">
        <f t="shared" si="34"/>
        <v>0</v>
      </c>
      <c r="U128" s="224">
        <f t="shared" si="34"/>
        <v>0</v>
      </c>
      <c r="V128" s="224">
        <f t="shared" si="34"/>
        <v>0</v>
      </c>
      <c r="W128" s="224">
        <f t="shared" si="34"/>
        <v>0</v>
      </c>
      <c r="X128" s="224">
        <f t="shared" si="34"/>
        <v>0</v>
      </c>
      <c r="Y128" s="224">
        <f t="shared" si="34"/>
        <v>0</v>
      </c>
      <c r="Z128" s="224">
        <f t="shared" si="34"/>
        <v>0</v>
      </c>
      <c r="AA128" s="224">
        <f t="shared" si="34"/>
        <v>0</v>
      </c>
      <c r="AB128" s="224">
        <f t="shared" si="34"/>
        <v>0</v>
      </c>
      <c r="AC128" s="224">
        <f t="shared" si="34"/>
        <v>0</v>
      </c>
      <c r="AD128" s="224">
        <f t="shared" si="34"/>
        <v>0</v>
      </c>
      <c r="AE128" s="180"/>
      <c r="AF128" s="180"/>
      <c r="AG128" s="180"/>
      <c r="AH128" s="180"/>
      <c r="AI128" s="257">
        <f>SUM(AI129)</f>
        <v>130299</v>
      </c>
      <c r="AJ128" s="257">
        <f>SUM(AJ129)</f>
        <v>750000</v>
      </c>
      <c r="AK128" s="258">
        <f>SUM(AK129)</f>
        <v>1</v>
      </c>
      <c r="AL128" s="258"/>
      <c r="AM128" s="258"/>
      <c r="AN128" s="180"/>
      <c r="AO128" s="180"/>
      <c r="AP128" s="180"/>
      <c r="AQ128" s="180"/>
      <c r="AR128" s="180"/>
      <c r="AS128" s="180"/>
      <c r="AT128" s="180"/>
      <c r="AU128" s="180"/>
      <c r="AV128" s="180"/>
      <c r="AW128" s="180"/>
      <c r="AX128" s="180"/>
      <c r="AY128" s="180"/>
      <c r="AZ128" s="180"/>
      <c r="BA128" s="180"/>
    </row>
    <row r="129" spans="1:53" ht="51" x14ac:dyDescent="0.25">
      <c r="A129" s="176"/>
      <c r="B129" s="176"/>
      <c r="C129" s="176"/>
      <c r="D129" s="176"/>
      <c r="E129" s="176"/>
      <c r="F129" s="176"/>
      <c r="G129" s="176"/>
      <c r="H129" s="176"/>
      <c r="I129" s="176"/>
      <c r="J129" s="251"/>
      <c r="K129" s="251"/>
      <c r="L129" s="251"/>
      <c r="M129" s="269"/>
      <c r="N129" s="180"/>
      <c r="O129" s="180"/>
      <c r="P129" s="223">
        <f>SUM(Q129:AD129)</f>
        <v>750000</v>
      </c>
      <c r="Q129" s="224">
        <v>750000</v>
      </c>
      <c r="R129" s="224"/>
      <c r="S129" s="224"/>
      <c r="T129" s="224"/>
      <c r="U129" s="224"/>
      <c r="V129" s="224"/>
      <c r="W129" s="224"/>
      <c r="X129" s="224"/>
      <c r="Y129" s="224"/>
      <c r="Z129" s="224"/>
      <c r="AA129" s="224"/>
      <c r="AB129" s="224"/>
      <c r="AC129" s="224"/>
      <c r="AD129" s="224"/>
      <c r="AE129" s="236" t="s">
        <v>2040</v>
      </c>
      <c r="AF129" s="230"/>
      <c r="AG129" s="236" t="s">
        <v>2041</v>
      </c>
      <c r="AH129" s="219"/>
      <c r="AI129" s="227">
        <v>130299</v>
      </c>
      <c r="AJ129" s="227">
        <f>SUM(Q129:AD129)</f>
        <v>750000</v>
      </c>
      <c r="AK129" s="185">
        <v>1</v>
      </c>
      <c r="AL129" s="185">
        <v>0</v>
      </c>
      <c r="AM129" s="185"/>
      <c r="AN129" s="215"/>
      <c r="AO129" s="215"/>
      <c r="AP129" s="215" t="s">
        <v>395</v>
      </c>
      <c r="AQ129" s="215" t="s">
        <v>395</v>
      </c>
      <c r="AR129" s="215" t="s">
        <v>395</v>
      </c>
      <c r="AS129" s="215" t="s">
        <v>395</v>
      </c>
      <c r="AT129" s="215" t="s">
        <v>395</v>
      </c>
      <c r="AU129" s="215" t="s">
        <v>395</v>
      </c>
      <c r="AV129" s="180"/>
      <c r="AW129" s="180"/>
      <c r="AX129" s="180"/>
      <c r="AY129" s="180"/>
      <c r="AZ129" s="217" t="s">
        <v>1897</v>
      </c>
      <c r="BA129" s="180"/>
    </row>
    <row r="130" spans="1:53" x14ac:dyDescent="0.25">
      <c r="A130" s="220"/>
      <c r="B130" s="220"/>
      <c r="C130" s="176"/>
      <c r="D130" s="220"/>
      <c r="E130" s="176"/>
      <c r="F130" s="246"/>
      <c r="G130" s="246"/>
      <c r="H130" s="176"/>
      <c r="I130" s="176"/>
      <c r="J130" s="176"/>
      <c r="K130" s="176"/>
      <c r="L130" s="251"/>
      <c r="M130" s="269"/>
      <c r="N130" s="180"/>
      <c r="O130" s="180"/>
      <c r="P130" s="235"/>
      <c r="Q130" s="224"/>
      <c r="R130" s="224"/>
      <c r="S130" s="224"/>
      <c r="T130" s="224"/>
      <c r="U130" s="224"/>
      <c r="V130" s="224"/>
      <c r="W130" s="224"/>
      <c r="X130" s="224"/>
      <c r="Y130" s="224"/>
      <c r="Z130" s="224"/>
      <c r="AA130" s="224"/>
      <c r="AB130" s="224"/>
      <c r="AC130" s="224"/>
      <c r="AD130" s="224"/>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row>
    <row r="131" spans="1:53" ht="195" x14ac:dyDescent="0.25">
      <c r="A131" s="252" t="s">
        <v>201</v>
      </c>
      <c r="B131" s="252" t="s">
        <v>1801</v>
      </c>
      <c r="C131" s="252" t="s">
        <v>2042</v>
      </c>
      <c r="D131" s="252" t="s">
        <v>2043</v>
      </c>
      <c r="E131" s="252" t="s">
        <v>2044</v>
      </c>
      <c r="F131" s="252" t="s">
        <v>2045</v>
      </c>
      <c r="G131" s="246" t="s">
        <v>2046</v>
      </c>
      <c r="H131" s="253" t="s">
        <v>2047</v>
      </c>
      <c r="I131" s="253" t="s">
        <v>2048</v>
      </c>
      <c r="J131" s="251" t="s">
        <v>2049</v>
      </c>
      <c r="K131" s="251" t="s">
        <v>323</v>
      </c>
      <c r="L131" s="251">
        <v>3</v>
      </c>
      <c r="M131" s="258">
        <f>+'[1]Plan Indicativo Infraestructura'!P60</f>
        <v>1</v>
      </c>
      <c r="N131" s="180"/>
      <c r="O131" s="180"/>
      <c r="P131" s="223">
        <f>SUM(P132)</f>
        <v>41000</v>
      </c>
      <c r="Q131" s="224">
        <f>SUM(Q132)</f>
        <v>41000</v>
      </c>
      <c r="R131" s="224">
        <f t="shared" ref="R131:AD131" si="35">SUM(R132)</f>
        <v>0</v>
      </c>
      <c r="S131" s="224">
        <f t="shared" si="35"/>
        <v>0</v>
      </c>
      <c r="T131" s="224">
        <f t="shared" si="35"/>
        <v>0</v>
      </c>
      <c r="U131" s="224">
        <f t="shared" si="35"/>
        <v>0</v>
      </c>
      <c r="V131" s="224">
        <f t="shared" si="35"/>
        <v>0</v>
      </c>
      <c r="W131" s="224">
        <f t="shared" si="35"/>
        <v>0</v>
      </c>
      <c r="X131" s="224">
        <f t="shared" si="35"/>
        <v>0</v>
      </c>
      <c r="Y131" s="224">
        <f t="shared" si="35"/>
        <v>0</v>
      </c>
      <c r="Z131" s="224">
        <f t="shared" si="35"/>
        <v>0</v>
      </c>
      <c r="AA131" s="224">
        <f t="shared" si="35"/>
        <v>0</v>
      </c>
      <c r="AB131" s="224">
        <f t="shared" si="35"/>
        <v>0</v>
      </c>
      <c r="AC131" s="224">
        <f t="shared" si="35"/>
        <v>0</v>
      </c>
      <c r="AD131" s="224">
        <f t="shared" si="35"/>
        <v>0</v>
      </c>
      <c r="AE131" s="236"/>
      <c r="AF131" s="230"/>
      <c r="AG131" s="180"/>
      <c r="AH131" s="180"/>
      <c r="AI131" s="257">
        <f>SUM(AI132)</f>
        <v>8886</v>
      </c>
      <c r="AJ131" s="257">
        <f>SUM(AJ132)</f>
        <v>41000</v>
      </c>
      <c r="AK131" s="258">
        <f>SUM(AK132)</f>
        <v>1</v>
      </c>
      <c r="AL131" s="258"/>
      <c r="AM131" s="258"/>
      <c r="AN131" s="180"/>
      <c r="AO131" s="180"/>
      <c r="AP131" s="180"/>
      <c r="AQ131" s="180"/>
      <c r="AR131" s="180"/>
      <c r="AS131" s="180"/>
      <c r="AT131" s="180"/>
      <c r="AU131" s="180"/>
      <c r="AV131" s="180"/>
      <c r="AW131" s="180"/>
      <c r="AX131" s="180"/>
      <c r="AY131" s="180"/>
      <c r="AZ131" s="180"/>
      <c r="BA131" s="180"/>
    </row>
    <row r="132" spans="1:53" ht="63.75" x14ac:dyDescent="0.25">
      <c r="A132" s="252"/>
      <c r="B132" s="252"/>
      <c r="C132" s="252"/>
      <c r="D132" s="252"/>
      <c r="E132" s="252"/>
      <c r="F132" s="252"/>
      <c r="G132" s="246"/>
      <c r="H132" s="176"/>
      <c r="I132" s="176"/>
      <c r="J132" s="251"/>
      <c r="K132" s="251"/>
      <c r="L132" s="251"/>
      <c r="M132" s="269"/>
      <c r="N132" s="180"/>
      <c r="O132" s="180"/>
      <c r="P132" s="223">
        <f>SUM(Q132:AD132)</f>
        <v>41000</v>
      </c>
      <c r="Q132" s="224">
        <v>41000</v>
      </c>
      <c r="R132" s="224"/>
      <c r="S132" s="224"/>
      <c r="T132" s="224"/>
      <c r="U132" s="224"/>
      <c r="V132" s="224"/>
      <c r="W132" s="224"/>
      <c r="X132" s="224"/>
      <c r="Y132" s="224"/>
      <c r="Z132" s="224"/>
      <c r="AA132" s="224"/>
      <c r="AB132" s="224"/>
      <c r="AC132" s="224"/>
      <c r="AD132" s="224"/>
      <c r="AE132" s="236" t="s">
        <v>2050</v>
      </c>
      <c r="AF132" s="230"/>
      <c r="AG132" s="180" t="s">
        <v>1869</v>
      </c>
      <c r="AH132" s="180" t="s">
        <v>1798</v>
      </c>
      <c r="AI132" s="227">
        <v>8886</v>
      </c>
      <c r="AJ132" s="227">
        <f>SUM(Q132:AD132)</f>
        <v>41000</v>
      </c>
      <c r="AK132" s="185">
        <v>1</v>
      </c>
      <c r="AL132" s="185">
        <v>0</v>
      </c>
      <c r="AM132" s="185"/>
      <c r="AN132" s="180"/>
      <c r="AO132" s="180"/>
      <c r="AP132" s="180"/>
      <c r="AQ132" s="215" t="s">
        <v>395</v>
      </c>
      <c r="AR132" s="215" t="s">
        <v>395</v>
      </c>
      <c r="AS132" s="215" t="s">
        <v>395</v>
      </c>
      <c r="AT132" s="180"/>
      <c r="AU132" s="180"/>
      <c r="AV132" s="180"/>
      <c r="AW132" s="180"/>
      <c r="AX132" s="180"/>
      <c r="AY132" s="180"/>
      <c r="AZ132" s="217" t="s">
        <v>1870</v>
      </c>
      <c r="BA132" s="180"/>
    </row>
    <row r="133" spans="1:53" x14ac:dyDescent="0.25">
      <c r="A133" s="220"/>
      <c r="B133" s="220"/>
      <c r="C133" s="220"/>
      <c r="D133" s="220"/>
      <c r="E133" s="220"/>
      <c r="F133" s="220"/>
      <c r="G133" s="246"/>
      <c r="H133" s="176"/>
      <c r="I133" s="220"/>
      <c r="J133" s="176"/>
      <c r="K133" s="176"/>
      <c r="L133" s="251"/>
      <c r="M133" s="269"/>
      <c r="N133" s="180"/>
      <c r="O133" s="180"/>
      <c r="P133" s="235"/>
      <c r="Q133" s="224"/>
      <c r="R133" s="224"/>
      <c r="S133" s="224"/>
      <c r="T133" s="224"/>
      <c r="U133" s="224"/>
      <c r="V133" s="224"/>
      <c r="W133" s="224"/>
      <c r="X133" s="224"/>
      <c r="Y133" s="224"/>
      <c r="Z133" s="224"/>
      <c r="AA133" s="224"/>
      <c r="AB133" s="224"/>
      <c r="AC133" s="224"/>
      <c r="AD133" s="224"/>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row>
    <row r="134" spans="1:53" ht="195" x14ac:dyDescent="0.25">
      <c r="A134" s="252" t="s">
        <v>201</v>
      </c>
      <c r="B134" s="253" t="s">
        <v>1801</v>
      </c>
      <c r="C134" s="253"/>
      <c r="D134" s="253"/>
      <c r="E134" s="253"/>
      <c r="F134" s="253" t="s">
        <v>2045</v>
      </c>
      <c r="G134" s="253" t="s">
        <v>2046</v>
      </c>
      <c r="H134" s="253" t="s">
        <v>2051</v>
      </c>
      <c r="I134" s="253" t="s">
        <v>2052</v>
      </c>
      <c r="J134" s="176">
        <v>0</v>
      </c>
      <c r="K134" s="176" t="s">
        <v>323</v>
      </c>
      <c r="L134" s="228">
        <v>1</v>
      </c>
      <c r="M134" s="272">
        <f>+'[1]Plan Indicativo Infraestructura'!P62</f>
        <v>0.1</v>
      </c>
      <c r="N134" s="180"/>
      <c r="O134" s="180"/>
      <c r="P134" s="223">
        <f>SUM(P135)</f>
        <v>58598.559999999998</v>
      </c>
      <c r="Q134" s="224">
        <f>SUM(Q135)</f>
        <v>58598.559999999998</v>
      </c>
      <c r="R134" s="224">
        <f t="shared" ref="R134:AD134" si="36">SUM(R135)</f>
        <v>0</v>
      </c>
      <c r="S134" s="224">
        <f t="shared" si="36"/>
        <v>0</v>
      </c>
      <c r="T134" s="224">
        <f t="shared" si="36"/>
        <v>0</v>
      </c>
      <c r="U134" s="224">
        <f t="shared" si="36"/>
        <v>0</v>
      </c>
      <c r="V134" s="224">
        <f t="shared" si="36"/>
        <v>0</v>
      </c>
      <c r="W134" s="224">
        <f t="shared" si="36"/>
        <v>0</v>
      </c>
      <c r="X134" s="224">
        <f t="shared" si="36"/>
        <v>0</v>
      </c>
      <c r="Y134" s="224">
        <f t="shared" si="36"/>
        <v>0</v>
      </c>
      <c r="Z134" s="224">
        <f t="shared" si="36"/>
        <v>0</v>
      </c>
      <c r="AA134" s="224">
        <f t="shared" si="36"/>
        <v>0</v>
      </c>
      <c r="AB134" s="224">
        <f t="shared" si="36"/>
        <v>0</v>
      </c>
      <c r="AC134" s="224">
        <f t="shared" si="36"/>
        <v>0</v>
      </c>
      <c r="AD134" s="224">
        <f t="shared" si="36"/>
        <v>0</v>
      </c>
      <c r="AE134" s="180"/>
      <c r="AF134" s="180"/>
      <c r="AG134" s="180"/>
      <c r="AH134" s="180"/>
      <c r="AI134" s="257">
        <f>SUM(AI135)</f>
        <v>1391836</v>
      </c>
      <c r="AJ134" s="257">
        <f>SUM(AJ135)</f>
        <v>58598.559999999998</v>
      </c>
      <c r="AK134" s="272">
        <f>SUM(AK135)</f>
        <v>0.25</v>
      </c>
      <c r="AL134" s="272"/>
      <c r="AM134" s="272"/>
      <c r="AN134" s="180"/>
      <c r="AO134" s="180"/>
      <c r="AP134" s="180"/>
      <c r="AQ134" s="180"/>
      <c r="AR134" s="180"/>
      <c r="AS134" s="180"/>
      <c r="AT134" s="180"/>
      <c r="AU134" s="180"/>
      <c r="AV134" s="180"/>
      <c r="AW134" s="180"/>
      <c r="AX134" s="180"/>
      <c r="AY134" s="180"/>
      <c r="AZ134" s="180"/>
      <c r="BA134" s="180"/>
    </row>
    <row r="135" spans="1:53" ht="369.75" x14ac:dyDescent="0.25">
      <c r="A135" s="176"/>
      <c r="B135" s="176"/>
      <c r="C135" s="176"/>
      <c r="D135" s="176"/>
      <c r="E135" s="176"/>
      <c r="F135" s="176"/>
      <c r="G135" s="176"/>
      <c r="H135" s="176"/>
      <c r="I135" s="176"/>
      <c r="J135" s="176"/>
      <c r="K135" s="176"/>
      <c r="L135" s="228"/>
      <c r="M135" s="286"/>
      <c r="N135" s="180"/>
      <c r="O135" s="180"/>
      <c r="P135" s="223">
        <f>SUM(Q135:AD135)</f>
        <v>58598.559999999998</v>
      </c>
      <c r="Q135" s="224">
        <v>58598.559999999998</v>
      </c>
      <c r="R135" s="224"/>
      <c r="S135" s="224"/>
      <c r="T135" s="224"/>
      <c r="U135" s="224"/>
      <c r="V135" s="224"/>
      <c r="W135" s="224"/>
      <c r="X135" s="224"/>
      <c r="Y135" s="224"/>
      <c r="Z135" s="224"/>
      <c r="AA135" s="224"/>
      <c r="AB135" s="224"/>
      <c r="AC135" s="224"/>
      <c r="AD135" s="224"/>
      <c r="AE135" s="236" t="s">
        <v>2053</v>
      </c>
      <c r="AF135" s="230"/>
      <c r="AG135" s="180" t="s">
        <v>1921</v>
      </c>
      <c r="AH135" s="219" t="s">
        <v>1920</v>
      </c>
      <c r="AI135" s="227">
        <v>1391836</v>
      </c>
      <c r="AJ135" s="227">
        <f>SUM(Q135:AD135)</f>
        <v>58598.559999999998</v>
      </c>
      <c r="AK135" s="273">
        <v>0.25</v>
      </c>
      <c r="AL135" s="273">
        <v>0.25</v>
      </c>
      <c r="AM135" s="273"/>
      <c r="AN135" s="180"/>
      <c r="AO135" s="215" t="s">
        <v>395</v>
      </c>
      <c r="AP135" s="215" t="s">
        <v>395</v>
      </c>
      <c r="AQ135" s="215" t="s">
        <v>395</v>
      </c>
      <c r="AR135" s="215" t="s">
        <v>395</v>
      </c>
      <c r="AS135" s="180"/>
      <c r="AT135" s="180"/>
      <c r="AU135" s="180"/>
      <c r="AV135" s="180"/>
      <c r="AW135" s="180"/>
      <c r="AX135" s="180"/>
      <c r="AY135" s="180"/>
      <c r="AZ135" s="180" t="s">
        <v>2054</v>
      </c>
      <c r="BA135" s="180"/>
    </row>
    <row r="136" spans="1:53" x14ac:dyDescent="0.25">
      <c r="A136" s="220"/>
      <c r="B136" s="220"/>
      <c r="C136" s="176"/>
      <c r="D136" s="176"/>
      <c r="E136" s="176"/>
      <c r="F136" s="220"/>
      <c r="G136" s="176"/>
      <c r="H136" s="176"/>
      <c r="I136" s="220"/>
      <c r="J136" s="176"/>
      <c r="K136" s="176"/>
      <c r="L136" s="228"/>
      <c r="M136" s="269"/>
      <c r="N136" s="180"/>
      <c r="O136" s="180"/>
      <c r="P136" s="235"/>
      <c r="Q136" s="224"/>
      <c r="R136" s="224"/>
      <c r="S136" s="224"/>
      <c r="T136" s="224"/>
      <c r="U136" s="224"/>
      <c r="V136" s="224"/>
      <c r="W136" s="224"/>
      <c r="X136" s="224"/>
      <c r="Y136" s="224"/>
      <c r="Z136" s="224"/>
      <c r="AA136" s="224"/>
      <c r="AB136" s="224"/>
      <c r="AC136" s="224"/>
      <c r="AD136" s="224"/>
      <c r="AE136" s="236"/>
      <c r="AF136" s="23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row>
    <row r="137" spans="1:53" ht="315" x14ac:dyDescent="0.25">
      <c r="A137" s="252" t="s">
        <v>201</v>
      </c>
      <c r="B137" s="252" t="s">
        <v>1801</v>
      </c>
      <c r="C137" s="252" t="s">
        <v>2055</v>
      </c>
      <c r="D137" s="252" t="s">
        <v>2056</v>
      </c>
      <c r="E137" s="252" t="s">
        <v>2057</v>
      </c>
      <c r="F137" s="252" t="s">
        <v>2058</v>
      </c>
      <c r="G137" s="252" t="s">
        <v>2059</v>
      </c>
      <c r="H137" s="252" t="s">
        <v>2060</v>
      </c>
      <c r="I137" s="220" t="s">
        <v>2061</v>
      </c>
      <c r="J137" s="251">
        <v>0</v>
      </c>
      <c r="K137" s="251" t="s">
        <v>323</v>
      </c>
      <c r="L137" s="251">
        <v>40</v>
      </c>
      <c r="M137" s="287">
        <f>+'[1]Plan Indicativo Infraestructura'!P64</f>
        <v>10</v>
      </c>
      <c r="N137" s="180"/>
      <c r="O137" s="180"/>
      <c r="P137" s="223">
        <f>SUM(P138:P151)</f>
        <v>20834421.580999997</v>
      </c>
      <c r="Q137" s="224">
        <f>SUM(Q138:Q151)</f>
        <v>901823.12079999992</v>
      </c>
      <c r="R137" s="224">
        <f t="shared" ref="R137:AD137" si="37">SUM(R138:R151)</f>
        <v>0</v>
      </c>
      <c r="S137" s="224">
        <f t="shared" si="37"/>
        <v>0</v>
      </c>
      <c r="T137" s="224">
        <f t="shared" si="37"/>
        <v>0</v>
      </c>
      <c r="U137" s="224">
        <f t="shared" si="37"/>
        <v>202852.45619999999</v>
      </c>
      <c r="V137" s="224">
        <f t="shared" si="37"/>
        <v>13046865.993000001</v>
      </c>
      <c r="W137" s="224">
        <f t="shared" si="37"/>
        <v>0</v>
      </c>
      <c r="X137" s="224">
        <f t="shared" si="37"/>
        <v>0</v>
      </c>
      <c r="Y137" s="224">
        <f t="shared" si="37"/>
        <v>0</v>
      </c>
      <c r="Z137" s="224">
        <f t="shared" si="37"/>
        <v>2747000</v>
      </c>
      <c r="AA137" s="224">
        <f t="shared" si="37"/>
        <v>0</v>
      </c>
      <c r="AB137" s="224">
        <f t="shared" si="37"/>
        <v>0</v>
      </c>
      <c r="AC137" s="224">
        <f t="shared" si="37"/>
        <v>0</v>
      </c>
      <c r="AD137" s="224">
        <f t="shared" si="37"/>
        <v>3935880.0109999999</v>
      </c>
      <c r="AE137" s="180"/>
      <c r="AF137" s="180"/>
      <c r="AG137" s="180"/>
      <c r="AH137" s="180"/>
      <c r="AI137" s="257">
        <f>SUM(AI138:AI151)</f>
        <v>606679</v>
      </c>
      <c r="AJ137" s="257">
        <f>SUM(AJ138:AJ151)</f>
        <v>20834421.580999997</v>
      </c>
      <c r="AK137" s="258">
        <f>SUM(AK138:AK151)</f>
        <v>11.43</v>
      </c>
      <c r="AL137" s="258">
        <f>SUM(AL138:AL151)</f>
        <v>4.4000000000000004</v>
      </c>
      <c r="AM137" s="248">
        <f>SUM(AM138:AM151)</f>
        <v>6551507.685800001</v>
      </c>
      <c r="AN137" s="180"/>
      <c r="AO137" s="180"/>
      <c r="AP137" s="180"/>
      <c r="AQ137" s="180"/>
      <c r="AR137" s="180"/>
      <c r="AS137" s="180"/>
      <c r="AT137" s="180"/>
      <c r="AU137" s="180"/>
      <c r="AV137" s="180"/>
      <c r="AW137" s="180"/>
      <c r="AX137" s="180"/>
      <c r="AY137" s="180"/>
      <c r="AZ137" s="180"/>
      <c r="BA137" s="180"/>
    </row>
    <row r="138" spans="1:53" ht="204" x14ac:dyDescent="0.25">
      <c r="A138" s="246"/>
      <c r="B138" s="246"/>
      <c r="C138" s="246"/>
      <c r="D138" s="246"/>
      <c r="E138" s="246"/>
      <c r="F138" s="246"/>
      <c r="G138" s="246"/>
      <c r="H138" s="246"/>
      <c r="I138" s="220"/>
      <c r="J138" s="251"/>
      <c r="K138" s="251"/>
      <c r="L138" s="251"/>
      <c r="M138" s="269"/>
      <c r="N138" s="180"/>
      <c r="O138" s="180"/>
      <c r="P138" s="223">
        <f t="shared" ref="P138:P150" si="38">SUM(Q138:AD138)</f>
        <v>2503</v>
      </c>
      <c r="Q138" s="224"/>
      <c r="R138" s="224"/>
      <c r="S138" s="224"/>
      <c r="T138" s="224"/>
      <c r="U138" s="224"/>
      <c r="V138" s="224"/>
      <c r="W138" s="224"/>
      <c r="X138" s="224"/>
      <c r="Y138" s="224"/>
      <c r="Z138" s="224"/>
      <c r="AA138" s="224"/>
      <c r="AB138" s="224"/>
      <c r="AC138" s="224"/>
      <c r="AD138" s="224">
        <v>2503</v>
      </c>
      <c r="AE138" s="274" t="s">
        <v>2062</v>
      </c>
      <c r="AF138" s="230" t="s">
        <v>2063</v>
      </c>
      <c r="AG138" s="288" t="s">
        <v>2064</v>
      </c>
      <c r="AH138" s="180" t="s">
        <v>481</v>
      </c>
      <c r="AI138" s="180">
        <v>4250</v>
      </c>
      <c r="AJ138" s="227">
        <f t="shared" ref="AJ138:AJ151" si="39">SUM(Q138:AD138)</f>
        <v>2503</v>
      </c>
      <c r="AK138" s="185">
        <v>0.4</v>
      </c>
      <c r="AL138" s="185">
        <v>0.6</v>
      </c>
      <c r="AM138" s="245"/>
      <c r="AN138" s="215" t="s">
        <v>395</v>
      </c>
      <c r="AO138" s="215" t="s">
        <v>395</v>
      </c>
      <c r="AP138" s="215" t="s">
        <v>395</v>
      </c>
      <c r="AQ138" s="215" t="s">
        <v>395</v>
      </c>
      <c r="AR138" s="215" t="s">
        <v>395</v>
      </c>
      <c r="AS138" s="215" t="s">
        <v>395</v>
      </c>
      <c r="AT138" s="215" t="s">
        <v>395</v>
      </c>
      <c r="AU138" s="215" t="s">
        <v>395</v>
      </c>
      <c r="AV138" s="215" t="s">
        <v>395</v>
      </c>
      <c r="AW138" s="215" t="s">
        <v>395</v>
      </c>
      <c r="AX138" s="215" t="s">
        <v>395</v>
      </c>
      <c r="AY138" s="215" t="s">
        <v>395</v>
      </c>
      <c r="AZ138" s="217" t="s">
        <v>1870</v>
      </c>
      <c r="BA138" s="180"/>
    </row>
    <row r="139" spans="1:53" ht="76.5" x14ac:dyDescent="0.25">
      <c r="A139" s="246"/>
      <c r="B139" s="246"/>
      <c r="C139" s="246"/>
      <c r="D139" s="246"/>
      <c r="E139" s="246"/>
      <c r="F139" s="246"/>
      <c r="G139" s="246"/>
      <c r="H139" s="246"/>
      <c r="I139" s="220"/>
      <c r="J139" s="251"/>
      <c r="K139" s="251"/>
      <c r="L139" s="251"/>
      <c r="M139" s="269"/>
      <c r="N139" s="180"/>
      <c r="O139" s="180"/>
      <c r="P139" s="223">
        <f t="shared" si="38"/>
        <v>732000</v>
      </c>
      <c r="Q139" s="224"/>
      <c r="R139" s="224"/>
      <c r="S139" s="224"/>
      <c r="T139" s="224"/>
      <c r="U139" s="224"/>
      <c r="V139" s="224"/>
      <c r="W139" s="224"/>
      <c r="X139" s="224"/>
      <c r="Y139" s="224"/>
      <c r="Z139" s="224">
        <v>732000</v>
      </c>
      <c r="AA139" s="224"/>
      <c r="AB139" s="224"/>
      <c r="AC139" s="224"/>
      <c r="AD139" s="224"/>
      <c r="AE139" s="274" t="s">
        <v>2065</v>
      </c>
      <c r="AF139" s="230"/>
      <c r="AG139" s="288" t="s">
        <v>1602</v>
      </c>
      <c r="AH139" s="180" t="s">
        <v>1794</v>
      </c>
      <c r="AI139" s="180">
        <v>4250</v>
      </c>
      <c r="AJ139" s="227">
        <f t="shared" si="39"/>
        <v>732000</v>
      </c>
      <c r="AK139" s="185">
        <v>1</v>
      </c>
      <c r="AL139" s="185"/>
      <c r="AM139" s="245"/>
      <c r="AN139" s="215"/>
      <c r="AO139" s="215"/>
      <c r="AP139" s="215" t="s">
        <v>395</v>
      </c>
      <c r="AQ139" s="215" t="s">
        <v>395</v>
      </c>
      <c r="AR139" s="215" t="s">
        <v>395</v>
      </c>
      <c r="AS139" s="215" t="s">
        <v>395</v>
      </c>
      <c r="AT139" s="215" t="s">
        <v>395</v>
      </c>
      <c r="AU139" s="215" t="s">
        <v>395</v>
      </c>
      <c r="AV139" s="215" t="s">
        <v>395</v>
      </c>
      <c r="AW139" s="215" t="s">
        <v>395</v>
      </c>
      <c r="AX139" s="215"/>
      <c r="AY139" s="215"/>
      <c r="AZ139" s="217" t="s">
        <v>1795</v>
      </c>
      <c r="BA139" s="180"/>
    </row>
    <row r="140" spans="1:53" ht="63.75" x14ac:dyDescent="0.25">
      <c r="A140" s="246"/>
      <c r="B140" s="246"/>
      <c r="C140" s="246"/>
      <c r="D140" s="246"/>
      <c r="E140" s="246"/>
      <c r="F140" s="246"/>
      <c r="G140" s="246"/>
      <c r="H140" s="246"/>
      <c r="I140" s="220"/>
      <c r="J140" s="251"/>
      <c r="K140" s="251"/>
      <c r="L140" s="251"/>
      <c r="M140" s="269"/>
      <c r="N140" s="180"/>
      <c r="O140" s="180"/>
      <c r="P140" s="223">
        <f t="shared" si="38"/>
        <v>705000</v>
      </c>
      <c r="Q140" s="224"/>
      <c r="R140" s="224"/>
      <c r="S140" s="224"/>
      <c r="T140" s="224"/>
      <c r="U140" s="224"/>
      <c r="V140" s="224"/>
      <c r="W140" s="224"/>
      <c r="X140" s="224"/>
      <c r="Y140" s="224"/>
      <c r="Z140" s="224">
        <v>705000</v>
      </c>
      <c r="AA140" s="224"/>
      <c r="AB140" s="224"/>
      <c r="AC140" s="224"/>
      <c r="AD140" s="224"/>
      <c r="AE140" s="274" t="s">
        <v>2066</v>
      </c>
      <c r="AF140" s="230"/>
      <c r="AG140" s="288" t="s">
        <v>2067</v>
      </c>
      <c r="AH140" s="180" t="s">
        <v>1794</v>
      </c>
      <c r="AI140" s="180">
        <v>4250</v>
      </c>
      <c r="AJ140" s="227">
        <f t="shared" si="39"/>
        <v>705000</v>
      </c>
      <c r="AK140" s="185">
        <v>1</v>
      </c>
      <c r="AL140" s="185"/>
      <c r="AM140" s="245"/>
      <c r="AN140" s="215"/>
      <c r="AO140" s="215"/>
      <c r="AP140" s="215" t="s">
        <v>395</v>
      </c>
      <c r="AQ140" s="215" t="s">
        <v>395</v>
      </c>
      <c r="AR140" s="215" t="s">
        <v>395</v>
      </c>
      <c r="AS140" s="215" t="s">
        <v>395</v>
      </c>
      <c r="AT140" s="215" t="s">
        <v>395</v>
      </c>
      <c r="AU140" s="215" t="s">
        <v>395</v>
      </c>
      <c r="AV140" s="215" t="s">
        <v>395</v>
      </c>
      <c r="AW140" s="215" t="s">
        <v>395</v>
      </c>
      <c r="AX140" s="215"/>
      <c r="AY140" s="215"/>
      <c r="AZ140" s="217" t="s">
        <v>1795</v>
      </c>
      <c r="BA140" s="180"/>
    </row>
    <row r="141" spans="1:53" ht="51" x14ac:dyDescent="0.25">
      <c r="A141" s="246"/>
      <c r="B141" s="246"/>
      <c r="C141" s="246"/>
      <c r="D141" s="246"/>
      <c r="E141" s="246"/>
      <c r="F141" s="246"/>
      <c r="G141" s="246"/>
      <c r="H141" s="246"/>
      <c r="I141" s="220"/>
      <c r="J141" s="251"/>
      <c r="K141" s="251"/>
      <c r="L141" s="251"/>
      <c r="M141" s="269"/>
      <c r="N141" s="180"/>
      <c r="O141" s="180"/>
      <c r="P141" s="223">
        <f t="shared" si="38"/>
        <v>640000</v>
      </c>
      <c r="Q141" s="224"/>
      <c r="R141" s="224"/>
      <c r="S141" s="224"/>
      <c r="T141" s="224"/>
      <c r="U141" s="224"/>
      <c r="V141" s="224"/>
      <c r="W141" s="224"/>
      <c r="X141" s="224"/>
      <c r="Y141" s="224"/>
      <c r="Z141" s="224">
        <v>640000</v>
      </c>
      <c r="AA141" s="224"/>
      <c r="AB141" s="224"/>
      <c r="AC141" s="224"/>
      <c r="AD141" s="224"/>
      <c r="AE141" s="274" t="s">
        <v>2068</v>
      </c>
      <c r="AF141" s="230"/>
      <c r="AG141" s="288" t="s">
        <v>1888</v>
      </c>
      <c r="AH141" s="180"/>
      <c r="AI141" s="180">
        <v>4250</v>
      </c>
      <c r="AJ141" s="227">
        <f t="shared" si="39"/>
        <v>640000</v>
      </c>
      <c r="AK141" s="185">
        <v>1</v>
      </c>
      <c r="AL141" s="185"/>
      <c r="AM141" s="245"/>
      <c r="AN141" s="215"/>
      <c r="AO141" s="215"/>
      <c r="AP141" s="215" t="s">
        <v>395</v>
      </c>
      <c r="AQ141" s="215" t="s">
        <v>395</v>
      </c>
      <c r="AR141" s="215" t="s">
        <v>395</v>
      </c>
      <c r="AS141" s="215" t="s">
        <v>395</v>
      </c>
      <c r="AT141" s="215" t="s">
        <v>395</v>
      </c>
      <c r="AU141" s="215" t="s">
        <v>395</v>
      </c>
      <c r="AV141" s="215" t="s">
        <v>395</v>
      </c>
      <c r="AW141" s="215" t="s">
        <v>395</v>
      </c>
      <c r="AX141" s="215"/>
      <c r="AY141" s="215"/>
      <c r="AZ141" s="217" t="s">
        <v>1795</v>
      </c>
      <c r="BA141" s="180"/>
    </row>
    <row r="142" spans="1:53" ht="76.5" x14ac:dyDescent="0.25">
      <c r="A142" s="246"/>
      <c r="B142" s="246"/>
      <c r="C142" s="246"/>
      <c r="D142" s="246"/>
      <c r="E142" s="246"/>
      <c r="F142" s="246"/>
      <c r="G142" s="246"/>
      <c r="H142" s="246"/>
      <c r="I142" s="220"/>
      <c r="J142" s="251"/>
      <c r="K142" s="251"/>
      <c r="L142" s="251"/>
      <c r="M142" s="269"/>
      <c r="N142" s="180"/>
      <c r="O142" s="180"/>
      <c r="P142" s="223">
        <f t="shared" si="38"/>
        <v>670000</v>
      </c>
      <c r="Q142" s="224"/>
      <c r="R142" s="224"/>
      <c r="S142" s="224"/>
      <c r="T142" s="224"/>
      <c r="U142" s="224"/>
      <c r="V142" s="224"/>
      <c r="W142" s="224"/>
      <c r="X142" s="224"/>
      <c r="Y142" s="224"/>
      <c r="Z142" s="224">
        <v>670000</v>
      </c>
      <c r="AA142" s="224"/>
      <c r="AB142" s="224"/>
      <c r="AC142" s="224"/>
      <c r="AD142" s="224"/>
      <c r="AE142" s="274" t="s">
        <v>2069</v>
      </c>
      <c r="AF142" s="230"/>
      <c r="AG142" s="288" t="s">
        <v>1963</v>
      </c>
      <c r="AH142" s="180"/>
      <c r="AI142" s="180">
        <v>4250</v>
      </c>
      <c r="AJ142" s="227">
        <f t="shared" si="39"/>
        <v>670000</v>
      </c>
      <c r="AK142" s="185">
        <v>1</v>
      </c>
      <c r="AL142" s="185"/>
      <c r="AM142" s="245"/>
      <c r="AN142" s="215"/>
      <c r="AO142" s="215"/>
      <c r="AP142" s="215" t="s">
        <v>395</v>
      </c>
      <c r="AQ142" s="215" t="s">
        <v>395</v>
      </c>
      <c r="AR142" s="215" t="s">
        <v>395</v>
      </c>
      <c r="AS142" s="215" t="s">
        <v>395</v>
      </c>
      <c r="AT142" s="215" t="s">
        <v>395</v>
      </c>
      <c r="AU142" s="215" t="s">
        <v>395</v>
      </c>
      <c r="AV142" s="215" t="s">
        <v>395</v>
      </c>
      <c r="AW142" s="215" t="s">
        <v>395</v>
      </c>
      <c r="AX142" s="215"/>
      <c r="AY142" s="215"/>
      <c r="AZ142" s="217" t="s">
        <v>1795</v>
      </c>
      <c r="BA142" s="180"/>
    </row>
    <row r="143" spans="1:53" ht="76.5" x14ac:dyDescent="0.25">
      <c r="A143" s="246"/>
      <c r="B143" s="246"/>
      <c r="C143" s="246"/>
      <c r="D143" s="246"/>
      <c r="E143" s="246"/>
      <c r="F143" s="246"/>
      <c r="G143" s="246"/>
      <c r="H143" s="246"/>
      <c r="I143" s="220"/>
      <c r="J143" s="251"/>
      <c r="K143" s="251"/>
      <c r="L143" s="251"/>
      <c r="M143" s="269"/>
      <c r="N143" s="180"/>
      <c r="O143" s="180"/>
      <c r="P143" s="223">
        <f t="shared" si="38"/>
        <v>2011</v>
      </c>
      <c r="Q143" s="224"/>
      <c r="R143" s="224"/>
      <c r="S143" s="224"/>
      <c r="T143" s="224"/>
      <c r="U143" s="224"/>
      <c r="V143" s="224"/>
      <c r="W143" s="224"/>
      <c r="X143" s="224"/>
      <c r="Y143" s="224"/>
      <c r="Z143" s="224"/>
      <c r="AA143" s="224"/>
      <c r="AB143" s="224"/>
      <c r="AC143" s="224"/>
      <c r="AD143" s="224">
        <v>2011</v>
      </c>
      <c r="AE143" s="274" t="s">
        <v>2070</v>
      </c>
      <c r="AF143" s="230" t="s">
        <v>2071</v>
      </c>
      <c r="AG143" s="237" t="s">
        <v>1872</v>
      </c>
      <c r="AH143" s="180" t="s">
        <v>1826</v>
      </c>
      <c r="AI143" s="238">
        <v>34279</v>
      </c>
      <c r="AJ143" s="227">
        <f t="shared" si="39"/>
        <v>2011</v>
      </c>
      <c r="AK143" s="185">
        <v>0.35</v>
      </c>
      <c r="AL143" s="185">
        <v>1</v>
      </c>
      <c r="AM143" s="245"/>
      <c r="AN143" s="215" t="s">
        <v>395</v>
      </c>
      <c r="AO143" s="215" t="s">
        <v>395</v>
      </c>
      <c r="AP143" s="215" t="s">
        <v>395</v>
      </c>
      <c r="AQ143" s="215" t="s">
        <v>395</v>
      </c>
      <c r="AR143" s="215" t="s">
        <v>395</v>
      </c>
      <c r="AS143" s="215" t="s">
        <v>395</v>
      </c>
      <c r="AT143" s="215" t="s">
        <v>395</v>
      </c>
      <c r="AU143" s="215" t="s">
        <v>395</v>
      </c>
      <c r="AV143" s="215" t="s">
        <v>395</v>
      </c>
      <c r="AW143" s="215" t="s">
        <v>395</v>
      </c>
      <c r="AX143" s="180"/>
      <c r="AY143" s="180"/>
      <c r="AZ143" s="180" t="s">
        <v>1900</v>
      </c>
      <c r="BA143" s="180"/>
    </row>
    <row r="144" spans="1:53" ht="89.25" x14ac:dyDescent="0.25">
      <c r="A144" s="246"/>
      <c r="B144" s="246"/>
      <c r="C144" s="246"/>
      <c r="D144" s="246"/>
      <c r="E144" s="246"/>
      <c r="F144" s="246"/>
      <c r="G144" s="246"/>
      <c r="H144" s="246"/>
      <c r="I144" s="220"/>
      <c r="J144" s="251"/>
      <c r="K144" s="251"/>
      <c r="L144" s="251"/>
      <c r="M144" s="269"/>
      <c r="N144" s="180"/>
      <c r="O144" s="180"/>
      <c r="P144" s="223">
        <f t="shared" si="38"/>
        <v>2606458.5410000002</v>
      </c>
      <c r="Q144" s="224"/>
      <c r="R144" s="224"/>
      <c r="S144" s="224"/>
      <c r="T144" s="224"/>
      <c r="U144" s="224"/>
      <c r="V144" s="224"/>
      <c r="W144" s="224"/>
      <c r="X144" s="224"/>
      <c r="Y144" s="224"/>
      <c r="Z144" s="224"/>
      <c r="AA144" s="224"/>
      <c r="AB144" s="224"/>
      <c r="AC144" s="224"/>
      <c r="AD144" s="224">
        <f>5212917.082*0.5</f>
        <v>2606458.5410000002</v>
      </c>
      <c r="AE144" s="274" t="s">
        <v>2072</v>
      </c>
      <c r="AF144" s="230"/>
      <c r="AG144" s="237" t="s">
        <v>2073</v>
      </c>
      <c r="AH144" s="219" t="s">
        <v>1964</v>
      </c>
      <c r="AI144" s="238">
        <v>7347</v>
      </c>
      <c r="AJ144" s="227">
        <f t="shared" si="39"/>
        <v>2606458.5410000002</v>
      </c>
      <c r="AK144" s="185">
        <v>0.5</v>
      </c>
      <c r="AL144" s="185">
        <v>0.8</v>
      </c>
      <c r="AM144" s="245">
        <f>+(AJ144+1200000)*AL144</f>
        <v>3045166.8328000004</v>
      </c>
      <c r="AN144" s="215" t="s">
        <v>395</v>
      </c>
      <c r="AO144" s="215" t="s">
        <v>395</v>
      </c>
      <c r="AP144" s="215" t="s">
        <v>395</v>
      </c>
      <c r="AQ144" s="215" t="s">
        <v>395</v>
      </c>
      <c r="AR144" s="215" t="s">
        <v>395</v>
      </c>
      <c r="AS144" s="215" t="s">
        <v>395</v>
      </c>
      <c r="AT144" s="215"/>
      <c r="AU144" s="215"/>
      <c r="AV144" s="215"/>
      <c r="AW144" s="215"/>
      <c r="AX144" s="215"/>
      <c r="AY144" s="215"/>
      <c r="AZ144" s="217" t="s">
        <v>1795</v>
      </c>
      <c r="BA144" s="180"/>
    </row>
    <row r="145" spans="1:53" ht="89.25" x14ac:dyDescent="0.25">
      <c r="A145" s="246"/>
      <c r="B145" s="246"/>
      <c r="C145" s="246"/>
      <c r="D145" s="246"/>
      <c r="E145" s="246"/>
      <c r="F145" s="246"/>
      <c r="G145" s="246"/>
      <c r="H145" s="246"/>
      <c r="I145" s="220"/>
      <c r="J145" s="251"/>
      <c r="K145" s="251"/>
      <c r="L145" s="251"/>
      <c r="M145" s="269"/>
      <c r="N145" s="180"/>
      <c r="O145" s="180"/>
      <c r="P145" s="223">
        <f t="shared" si="38"/>
        <v>1324907.47</v>
      </c>
      <c r="Q145" s="224"/>
      <c r="R145" s="224"/>
      <c r="S145" s="224"/>
      <c r="T145" s="224"/>
      <c r="U145" s="224"/>
      <c r="V145" s="224"/>
      <c r="W145" s="224"/>
      <c r="X145" s="224"/>
      <c r="Y145" s="224"/>
      <c r="Z145" s="224"/>
      <c r="AA145" s="224"/>
      <c r="AB145" s="224"/>
      <c r="AC145" s="224"/>
      <c r="AD145" s="224">
        <v>1324907.47</v>
      </c>
      <c r="AE145" s="274" t="s">
        <v>2074</v>
      </c>
      <c r="AF145" s="230"/>
      <c r="AG145" s="237" t="s">
        <v>579</v>
      </c>
      <c r="AH145" s="180" t="s">
        <v>580</v>
      </c>
      <c r="AI145" s="238">
        <v>380000</v>
      </c>
      <c r="AJ145" s="227">
        <f t="shared" si="39"/>
        <v>1324907.47</v>
      </c>
      <c r="AK145" s="185">
        <v>1</v>
      </c>
      <c r="AL145" s="185">
        <v>0</v>
      </c>
      <c r="AM145" s="245"/>
      <c r="AN145" s="180"/>
      <c r="AO145" s="180"/>
      <c r="AP145" s="180"/>
      <c r="AQ145" s="180"/>
      <c r="AR145" s="180"/>
      <c r="AS145" s="180"/>
      <c r="AT145" s="215" t="s">
        <v>395</v>
      </c>
      <c r="AU145" s="215" t="s">
        <v>395</v>
      </c>
      <c r="AV145" s="215" t="s">
        <v>395</v>
      </c>
      <c r="AW145" s="215" t="s">
        <v>395</v>
      </c>
      <c r="AX145" s="215" t="s">
        <v>395</v>
      </c>
      <c r="AY145" s="215" t="s">
        <v>395</v>
      </c>
      <c r="AZ145" s="217" t="s">
        <v>1795</v>
      </c>
      <c r="BA145" s="180"/>
    </row>
    <row r="146" spans="1:53" ht="140.25" x14ac:dyDescent="0.25">
      <c r="A146" s="246"/>
      <c r="B146" s="246"/>
      <c r="C146" s="246"/>
      <c r="D146" s="246"/>
      <c r="E146" s="246"/>
      <c r="F146" s="246"/>
      <c r="G146" s="246"/>
      <c r="H146" s="246"/>
      <c r="I146" s="220"/>
      <c r="J146" s="251"/>
      <c r="K146" s="251"/>
      <c r="L146" s="251"/>
      <c r="M146" s="269"/>
      <c r="N146" s="180"/>
      <c r="O146" s="180"/>
      <c r="P146" s="223">
        <f t="shared" si="38"/>
        <v>439707.89600000001</v>
      </c>
      <c r="Q146" s="224"/>
      <c r="R146" s="224"/>
      <c r="S146" s="224"/>
      <c r="T146" s="224"/>
      <c r="U146" s="224"/>
      <c r="V146" s="224">
        <v>439707.89600000001</v>
      </c>
      <c r="W146" s="224"/>
      <c r="X146" s="224"/>
      <c r="Y146" s="224"/>
      <c r="Z146" s="224"/>
      <c r="AA146" s="224"/>
      <c r="AB146" s="224"/>
      <c r="AC146" s="224"/>
      <c r="AD146" s="224"/>
      <c r="AE146" s="274" t="s">
        <v>2075</v>
      </c>
      <c r="AF146" s="230"/>
      <c r="AG146" s="237" t="s">
        <v>2076</v>
      </c>
      <c r="AH146" s="180" t="s">
        <v>1826</v>
      </c>
      <c r="AI146" s="238">
        <v>20419</v>
      </c>
      <c r="AJ146" s="227">
        <f t="shared" si="39"/>
        <v>439707.89600000001</v>
      </c>
      <c r="AK146" s="185">
        <v>0.18</v>
      </c>
      <c r="AL146" s="185">
        <v>1</v>
      </c>
      <c r="AM146" s="245">
        <f>1807565.258+699920.745+46996.02</f>
        <v>2554482.023</v>
      </c>
      <c r="AN146" s="215" t="s">
        <v>395</v>
      </c>
      <c r="AO146" s="215" t="s">
        <v>395</v>
      </c>
      <c r="AP146" s="215"/>
      <c r="AQ146" s="215"/>
      <c r="AR146" s="215"/>
      <c r="AS146" s="215"/>
      <c r="AT146" s="215"/>
      <c r="AU146" s="215"/>
      <c r="AV146" s="215"/>
      <c r="AW146" s="215"/>
      <c r="AX146" s="215"/>
      <c r="AY146" s="215"/>
      <c r="AZ146" s="217" t="s">
        <v>1900</v>
      </c>
      <c r="BA146" s="180"/>
    </row>
    <row r="147" spans="1:53" ht="267.75" x14ac:dyDescent="0.25">
      <c r="A147" s="246"/>
      <c r="B147" s="246"/>
      <c r="C147" s="246"/>
      <c r="D147" s="246"/>
      <c r="E147" s="246"/>
      <c r="F147" s="246"/>
      <c r="G147" s="246"/>
      <c r="H147" s="246"/>
      <c r="I147" s="220"/>
      <c r="J147" s="251"/>
      <c r="K147" s="251"/>
      <c r="L147" s="251"/>
      <c r="M147" s="269"/>
      <c r="N147" s="180"/>
      <c r="O147" s="180"/>
      <c r="P147" s="223">
        <f t="shared" si="38"/>
        <v>4896427.5719999997</v>
      </c>
      <c r="Q147" s="224"/>
      <c r="R147" s="224"/>
      <c r="S147" s="224"/>
      <c r="T147" s="224"/>
      <c r="U147" s="224"/>
      <c r="V147" s="224">
        <v>4896427.5719999997</v>
      </c>
      <c r="W147" s="224"/>
      <c r="X147" s="224"/>
      <c r="Y147" s="224"/>
      <c r="Z147" s="224"/>
      <c r="AA147" s="224"/>
      <c r="AB147" s="224"/>
      <c r="AC147" s="224"/>
      <c r="AD147" s="224"/>
      <c r="AE147" s="274" t="s">
        <v>2077</v>
      </c>
      <c r="AF147" s="230"/>
      <c r="AG147" s="237" t="s">
        <v>1984</v>
      </c>
      <c r="AH147" s="180" t="s">
        <v>580</v>
      </c>
      <c r="AI147" s="238">
        <v>47674</v>
      </c>
      <c r="AJ147" s="227">
        <f t="shared" si="39"/>
        <v>4896427.5719999997</v>
      </c>
      <c r="AK147" s="185">
        <v>1</v>
      </c>
      <c r="AL147" s="185"/>
      <c r="AM147" s="245"/>
      <c r="AN147" s="215"/>
      <c r="AO147" s="215"/>
      <c r="AP147" s="215" t="s">
        <v>395</v>
      </c>
      <c r="AQ147" s="215" t="s">
        <v>395</v>
      </c>
      <c r="AR147" s="215" t="s">
        <v>395</v>
      </c>
      <c r="AS147" s="215" t="s">
        <v>395</v>
      </c>
      <c r="AT147" s="215" t="s">
        <v>395</v>
      </c>
      <c r="AU147" s="215" t="s">
        <v>395</v>
      </c>
      <c r="AV147" s="215" t="s">
        <v>395</v>
      </c>
      <c r="AW147" s="215" t="s">
        <v>395</v>
      </c>
      <c r="AX147" s="215" t="s">
        <v>395</v>
      </c>
      <c r="AY147" s="215"/>
      <c r="AZ147" s="217"/>
      <c r="BA147" s="180"/>
    </row>
    <row r="148" spans="1:53" ht="280.5" x14ac:dyDescent="0.25">
      <c r="A148" s="246"/>
      <c r="B148" s="246"/>
      <c r="C148" s="246"/>
      <c r="D148" s="246"/>
      <c r="E148" s="246"/>
      <c r="F148" s="246"/>
      <c r="G148" s="246"/>
      <c r="H148" s="246"/>
      <c r="I148" s="220"/>
      <c r="J148" s="251"/>
      <c r="K148" s="251"/>
      <c r="L148" s="251"/>
      <c r="M148" s="269"/>
      <c r="N148" s="180"/>
      <c r="O148" s="180"/>
      <c r="P148" s="223">
        <f t="shared" si="38"/>
        <v>3096875.372</v>
      </c>
      <c r="Q148" s="224"/>
      <c r="R148" s="224"/>
      <c r="S148" s="224"/>
      <c r="T148" s="224"/>
      <c r="U148" s="224"/>
      <c r="V148" s="224">
        <v>3096875.372</v>
      </c>
      <c r="W148" s="224"/>
      <c r="X148" s="224"/>
      <c r="Y148" s="224"/>
      <c r="Z148" s="224"/>
      <c r="AA148" s="224"/>
      <c r="AB148" s="224"/>
      <c r="AC148" s="224"/>
      <c r="AD148" s="224"/>
      <c r="AE148" s="274" t="s">
        <v>2078</v>
      </c>
      <c r="AF148" s="230"/>
      <c r="AG148" s="237" t="s">
        <v>1602</v>
      </c>
      <c r="AH148" s="180" t="s">
        <v>1794</v>
      </c>
      <c r="AI148" s="238">
        <v>44700</v>
      </c>
      <c r="AJ148" s="227">
        <f t="shared" si="39"/>
        <v>3096875.372</v>
      </c>
      <c r="AK148" s="185">
        <v>1</v>
      </c>
      <c r="AL148" s="185"/>
      <c r="AM148" s="245"/>
      <c r="AN148" s="215"/>
      <c r="AO148" s="215"/>
      <c r="AP148" s="215" t="s">
        <v>395</v>
      </c>
      <c r="AQ148" s="215" t="s">
        <v>395</v>
      </c>
      <c r="AR148" s="215" t="s">
        <v>395</v>
      </c>
      <c r="AS148" s="215" t="s">
        <v>395</v>
      </c>
      <c r="AT148" s="215" t="s">
        <v>395</v>
      </c>
      <c r="AU148" s="215" t="s">
        <v>395</v>
      </c>
      <c r="AV148" s="215" t="s">
        <v>395</v>
      </c>
      <c r="AW148" s="215" t="s">
        <v>395</v>
      </c>
      <c r="AX148" s="215" t="s">
        <v>395</v>
      </c>
      <c r="AY148" s="215"/>
      <c r="AZ148" s="217"/>
      <c r="BA148" s="180"/>
    </row>
    <row r="149" spans="1:53" ht="306" x14ac:dyDescent="0.25">
      <c r="A149" s="246"/>
      <c r="B149" s="246"/>
      <c r="C149" s="246"/>
      <c r="D149" s="246"/>
      <c r="E149" s="246"/>
      <c r="F149" s="246"/>
      <c r="G149" s="246"/>
      <c r="H149" s="246"/>
      <c r="I149" s="220"/>
      <c r="J149" s="251"/>
      <c r="K149" s="251"/>
      <c r="L149" s="251"/>
      <c r="M149" s="269"/>
      <c r="N149" s="180"/>
      <c r="O149" s="180"/>
      <c r="P149" s="223">
        <f t="shared" si="38"/>
        <v>4613855.1529999999</v>
      </c>
      <c r="Q149" s="224"/>
      <c r="R149" s="224"/>
      <c r="S149" s="224"/>
      <c r="T149" s="224"/>
      <c r="U149" s="224"/>
      <c r="V149" s="224">
        <v>4613855.1529999999</v>
      </c>
      <c r="W149" s="224"/>
      <c r="X149" s="224"/>
      <c r="Y149" s="224"/>
      <c r="Z149" s="224"/>
      <c r="AA149" s="224"/>
      <c r="AB149" s="224"/>
      <c r="AC149" s="224"/>
      <c r="AD149" s="224"/>
      <c r="AE149" s="274" t="s">
        <v>2079</v>
      </c>
      <c r="AF149" s="230"/>
      <c r="AG149" s="237" t="s">
        <v>1963</v>
      </c>
      <c r="AH149" s="180" t="s">
        <v>2080</v>
      </c>
      <c r="AI149" s="238">
        <v>10587</v>
      </c>
      <c r="AJ149" s="227">
        <f t="shared" si="39"/>
        <v>4613855.1529999999</v>
      </c>
      <c r="AK149" s="185">
        <v>1</v>
      </c>
      <c r="AL149" s="185"/>
      <c r="AM149" s="245"/>
      <c r="AN149" s="215"/>
      <c r="AO149" s="215"/>
      <c r="AP149" s="215" t="s">
        <v>395</v>
      </c>
      <c r="AQ149" s="215" t="s">
        <v>395</v>
      </c>
      <c r="AR149" s="215" t="s">
        <v>395</v>
      </c>
      <c r="AS149" s="215" t="s">
        <v>395</v>
      </c>
      <c r="AT149" s="215" t="s">
        <v>395</v>
      </c>
      <c r="AU149" s="215" t="s">
        <v>395</v>
      </c>
      <c r="AV149" s="215" t="s">
        <v>395</v>
      </c>
      <c r="AW149" s="215" t="s">
        <v>395</v>
      </c>
      <c r="AX149" s="215" t="s">
        <v>395</v>
      </c>
      <c r="AY149" s="215"/>
      <c r="AZ149" s="217"/>
      <c r="BA149" s="180"/>
    </row>
    <row r="150" spans="1:53" ht="140.25" x14ac:dyDescent="0.25">
      <c r="A150" s="246"/>
      <c r="B150" s="246"/>
      <c r="C150" s="246"/>
      <c r="D150" s="246"/>
      <c r="E150" s="246"/>
      <c r="F150" s="246"/>
      <c r="G150" s="246"/>
      <c r="H150" s="246"/>
      <c r="I150" s="220"/>
      <c r="J150" s="251"/>
      <c r="K150" s="251"/>
      <c r="L150" s="251"/>
      <c r="M150" s="269"/>
      <c r="N150" s="180"/>
      <c r="O150" s="180"/>
      <c r="P150" s="223">
        <f t="shared" si="38"/>
        <v>460150.065</v>
      </c>
      <c r="Q150" s="224">
        <v>460150.065</v>
      </c>
      <c r="R150" s="224"/>
      <c r="S150" s="224"/>
      <c r="T150" s="224"/>
      <c r="U150" s="224"/>
      <c r="V150" s="224"/>
      <c r="W150" s="224"/>
      <c r="X150" s="224"/>
      <c r="Y150" s="224"/>
      <c r="Z150" s="224"/>
      <c r="AA150" s="224"/>
      <c r="AB150" s="224"/>
      <c r="AC150" s="224"/>
      <c r="AD150" s="224"/>
      <c r="AE150" s="274" t="s">
        <v>2081</v>
      </c>
      <c r="AF150" s="230"/>
      <c r="AG150" s="237" t="s">
        <v>2031</v>
      </c>
      <c r="AH150" s="180" t="s">
        <v>2082</v>
      </c>
      <c r="AI150" s="238">
        <v>29797</v>
      </c>
      <c r="AJ150" s="227">
        <f t="shared" si="39"/>
        <v>460150.065</v>
      </c>
      <c r="AK150" s="185">
        <v>1</v>
      </c>
      <c r="AL150" s="185"/>
      <c r="AM150" s="245"/>
      <c r="AN150" s="215"/>
      <c r="AO150" s="215"/>
      <c r="AP150" s="215" t="s">
        <v>395</v>
      </c>
      <c r="AQ150" s="215" t="s">
        <v>395</v>
      </c>
      <c r="AR150" s="215" t="s">
        <v>395</v>
      </c>
      <c r="AS150" s="215" t="s">
        <v>395</v>
      </c>
      <c r="AT150" s="215" t="s">
        <v>395</v>
      </c>
      <c r="AU150" s="215" t="s">
        <v>395</v>
      </c>
      <c r="AV150" s="215" t="s">
        <v>395</v>
      </c>
      <c r="AW150" s="215" t="s">
        <v>395</v>
      </c>
      <c r="AX150" s="215" t="s">
        <v>395</v>
      </c>
      <c r="AY150" s="215"/>
      <c r="AZ150" s="217"/>
      <c r="BA150" s="180"/>
    </row>
    <row r="151" spans="1:53" ht="140.25" x14ac:dyDescent="0.25">
      <c r="A151" s="246"/>
      <c r="B151" s="246"/>
      <c r="C151" s="246"/>
      <c r="D151" s="246"/>
      <c r="E151" s="246"/>
      <c r="F151" s="246"/>
      <c r="G151" s="246"/>
      <c r="H151" s="246"/>
      <c r="I151" s="220"/>
      <c r="J151" s="251"/>
      <c r="K151" s="251"/>
      <c r="L151" s="251"/>
      <c r="M151" s="269"/>
      <c r="N151" s="180"/>
      <c r="O151" s="180"/>
      <c r="P151" s="223">
        <f>SUM(Q151:AD151)</f>
        <v>644525.51199999999</v>
      </c>
      <c r="Q151" s="224">
        <v>441673.05579999997</v>
      </c>
      <c r="R151" s="224"/>
      <c r="S151" s="224"/>
      <c r="T151" s="224"/>
      <c r="U151" s="224">
        <v>202852.45619999999</v>
      </c>
      <c r="V151" s="224"/>
      <c r="W151" s="224"/>
      <c r="X151" s="224"/>
      <c r="Y151" s="224"/>
      <c r="Z151" s="224"/>
      <c r="AA151" s="224"/>
      <c r="AB151" s="224"/>
      <c r="AC151" s="224"/>
      <c r="AD151" s="224"/>
      <c r="AE151" s="274" t="s">
        <v>2083</v>
      </c>
      <c r="AF151" s="230"/>
      <c r="AG151" s="237" t="s">
        <v>1814</v>
      </c>
      <c r="AH151" s="180" t="s">
        <v>1794</v>
      </c>
      <c r="AI151" s="238">
        <v>10626</v>
      </c>
      <c r="AJ151" s="227">
        <f t="shared" si="39"/>
        <v>644525.51199999999</v>
      </c>
      <c r="AK151" s="185">
        <v>1</v>
      </c>
      <c r="AL151" s="185">
        <v>1</v>
      </c>
      <c r="AM151" s="245">
        <v>951858.83</v>
      </c>
      <c r="AN151" s="215" t="s">
        <v>395</v>
      </c>
      <c r="AO151" s="215" t="s">
        <v>395</v>
      </c>
      <c r="AP151" s="215" t="s">
        <v>395</v>
      </c>
      <c r="AQ151" s="215" t="s">
        <v>395</v>
      </c>
      <c r="AR151" s="215" t="s">
        <v>395</v>
      </c>
      <c r="AS151" s="215" t="s">
        <v>395</v>
      </c>
      <c r="AT151" s="215" t="s">
        <v>395</v>
      </c>
      <c r="AU151" s="215" t="s">
        <v>395</v>
      </c>
      <c r="AV151" s="215" t="s">
        <v>395</v>
      </c>
      <c r="AW151" s="215" t="s">
        <v>395</v>
      </c>
      <c r="AX151" s="215" t="s">
        <v>395</v>
      </c>
      <c r="AY151" s="215" t="s">
        <v>395</v>
      </c>
      <c r="AZ151" s="217" t="s">
        <v>1900</v>
      </c>
      <c r="BA151" s="180"/>
    </row>
    <row r="152" spans="1:53" x14ac:dyDescent="0.25">
      <c r="A152" s="220"/>
      <c r="B152" s="220"/>
      <c r="C152" s="220"/>
      <c r="D152" s="220"/>
      <c r="E152" s="220"/>
      <c r="F152" s="220"/>
      <c r="G152" s="220"/>
      <c r="H152" s="220"/>
      <c r="I152" s="220"/>
      <c r="J152" s="176"/>
      <c r="K152" s="176"/>
      <c r="L152" s="251"/>
      <c r="M152" s="269"/>
      <c r="N152" s="180"/>
      <c r="O152" s="180"/>
      <c r="P152" s="235"/>
      <c r="Q152" s="224"/>
      <c r="R152" s="224"/>
      <c r="S152" s="224"/>
      <c r="T152" s="224"/>
      <c r="U152" s="224"/>
      <c r="V152" s="224"/>
      <c r="W152" s="224"/>
      <c r="X152" s="224"/>
      <c r="Y152" s="224"/>
      <c r="Z152" s="224"/>
      <c r="AA152" s="224"/>
      <c r="AB152" s="224"/>
      <c r="AC152" s="224"/>
      <c r="AD152" s="224"/>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row>
    <row r="153" spans="1:53" ht="270" x14ac:dyDescent="0.25">
      <c r="A153" s="254" t="s">
        <v>201</v>
      </c>
      <c r="B153" s="254" t="s">
        <v>1801</v>
      </c>
      <c r="C153" s="254"/>
      <c r="D153" s="254"/>
      <c r="E153" s="254"/>
      <c r="F153" s="254" t="s">
        <v>2058</v>
      </c>
      <c r="G153" s="254" t="s">
        <v>2059</v>
      </c>
      <c r="H153" s="254" t="s">
        <v>2084</v>
      </c>
      <c r="I153" s="254" t="s">
        <v>2085</v>
      </c>
      <c r="J153" s="251">
        <v>0</v>
      </c>
      <c r="K153" s="251" t="s">
        <v>323</v>
      </c>
      <c r="L153" s="251">
        <v>20</v>
      </c>
      <c r="M153" s="248">
        <f>+'[1]Plan Indicativo Infraestructura'!P66</f>
        <v>5</v>
      </c>
      <c r="N153" s="180"/>
      <c r="O153" s="180"/>
      <c r="P153" s="223">
        <f>SUM(P154:P159)</f>
        <v>931152.89100000006</v>
      </c>
      <c r="Q153" s="235">
        <f>SUM(Q154:Q159)</f>
        <v>931152.89100000006</v>
      </c>
      <c r="R153" s="235">
        <f t="shared" ref="R153:AD153" si="40">SUM(R154:R159)</f>
        <v>0</v>
      </c>
      <c r="S153" s="235">
        <f t="shared" si="40"/>
        <v>0</v>
      </c>
      <c r="T153" s="235">
        <f t="shared" si="40"/>
        <v>0</v>
      </c>
      <c r="U153" s="235">
        <f t="shared" si="40"/>
        <v>0</v>
      </c>
      <c r="V153" s="235">
        <f t="shared" si="40"/>
        <v>0</v>
      </c>
      <c r="W153" s="235">
        <f t="shared" si="40"/>
        <v>0</v>
      </c>
      <c r="X153" s="235">
        <f t="shared" si="40"/>
        <v>0</v>
      </c>
      <c r="Y153" s="235">
        <f t="shared" si="40"/>
        <v>0</v>
      </c>
      <c r="Z153" s="235">
        <f t="shared" si="40"/>
        <v>0</v>
      </c>
      <c r="AA153" s="235">
        <f t="shared" si="40"/>
        <v>0</v>
      </c>
      <c r="AB153" s="235">
        <f t="shared" si="40"/>
        <v>0</v>
      </c>
      <c r="AC153" s="235">
        <f t="shared" si="40"/>
        <v>0</v>
      </c>
      <c r="AD153" s="235">
        <f t="shared" si="40"/>
        <v>0</v>
      </c>
      <c r="AE153" s="180"/>
      <c r="AF153" s="180"/>
      <c r="AG153" s="180"/>
      <c r="AH153" s="180"/>
      <c r="AI153" s="257">
        <f>SUM(AI154:AI159)</f>
        <v>126034</v>
      </c>
      <c r="AJ153" s="257">
        <f>SUM(AJ154:AJ159)</f>
        <v>931152.89100000006</v>
      </c>
      <c r="AK153" s="258">
        <f>SUM(AK154:AK159)</f>
        <v>3</v>
      </c>
      <c r="AL153" s="258">
        <f>SUM(AL154:AL159)</f>
        <v>2</v>
      </c>
      <c r="AM153" s="248">
        <f>SUM(AM154:AM154)</f>
        <v>0</v>
      </c>
      <c r="AN153" s="180"/>
      <c r="AO153" s="180"/>
      <c r="AP153" s="180"/>
      <c r="AQ153" s="180"/>
      <c r="AR153" s="180"/>
      <c r="AS153" s="180"/>
      <c r="AT153" s="180"/>
      <c r="AU153" s="180"/>
      <c r="AV153" s="180"/>
      <c r="AW153" s="180"/>
      <c r="AX153" s="180"/>
      <c r="AY153" s="180"/>
      <c r="AZ153" s="180"/>
      <c r="BA153" s="180"/>
    </row>
    <row r="154" spans="1:53" ht="102" x14ac:dyDescent="0.25">
      <c r="A154" s="220"/>
      <c r="B154" s="220"/>
      <c r="C154" s="220"/>
      <c r="D154" s="220"/>
      <c r="E154" s="220"/>
      <c r="F154" s="220"/>
      <c r="G154" s="220"/>
      <c r="H154" s="220"/>
      <c r="I154" s="220"/>
      <c r="J154" s="251"/>
      <c r="K154" s="251"/>
      <c r="L154" s="251"/>
      <c r="M154" s="269"/>
      <c r="N154" s="180"/>
      <c r="O154" s="180"/>
      <c r="P154" s="223">
        <f>SUM(Q154:AD154)</f>
        <v>25000</v>
      </c>
      <c r="Q154" s="224">
        <v>25000</v>
      </c>
      <c r="R154" s="224"/>
      <c r="S154" s="224"/>
      <c r="T154" s="224"/>
      <c r="U154" s="224"/>
      <c r="V154" s="224"/>
      <c r="W154" s="224"/>
      <c r="X154" s="224"/>
      <c r="Y154" s="224"/>
      <c r="Z154" s="224"/>
      <c r="AA154" s="224"/>
      <c r="AB154" s="224"/>
      <c r="AC154" s="224"/>
      <c r="AD154" s="224"/>
      <c r="AE154" s="274" t="s">
        <v>2086</v>
      </c>
      <c r="AF154" s="230"/>
      <c r="AG154" s="288" t="s">
        <v>579</v>
      </c>
      <c r="AH154" s="180" t="s">
        <v>580</v>
      </c>
      <c r="AI154" s="233">
        <v>2000</v>
      </c>
      <c r="AJ154" s="227">
        <f>SUM(Q154:AD154)</f>
        <v>25000</v>
      </c>
      <c r="AK154" s="185">
        <v>1</v>
      </c>
      <c r="AL154" s="185">
        <v>0</v>
      </c>
      <c r="AM154" s="185"/>
      <c r="AN154" s="180"/>
      <c r="AO154" s="180"/>
      <c r="AP154" s="185" t="s">
        <v>395</v>
      </c>
      <c r="AQ154" s="185" t="s">
        <v>395</v>
      </c>
      <c r="AR154" s="185" t="s">
        <v>395</v>
      </c>
      <c r="AS154" s="180"/>
      <c r="AT154" s="180"/>
      <c r="AU154" s="180"/>
      <c r="AV154" s="215"/>
      <c r="AW154" s="215"/>
      <c r="AX154" s="215"/>
      <c r="AY154" s="180"/>
      <c r="AZ154" s="261" t="s">
        <v>1870</v>
      </c>
      <c r="BA154" s="180"/>
    </row>
    <row r="155" spans="1:53" ht="89.25" x14ac:dyDescent="0.25">
      <c r="A155" s="220"/>
      <c r="B155" s="220"/>
      <c r="C155" s="220"/>
      <c r="D155" s="220"/>
      <c r="E155" s="220"/>
      <c r="F155" s="220"/>
      <c r="G155" s="220"/>
      <c r="H155" s="220"/>
      <c r="I155" s="220"/>
      <c r="J155" s="251"/>
      <c r="K155" s="251"/>
      <c r="L155" s="251"/>
      <c r="M155" s="269"/>
      <c r="N155" s="180"/>
      <c r="O155" s="180"/>
      <c r="P155" s="223">
        <f t="shared" ref="P155:P159" si="41">SUM(Q155:AD155)</f>
        <v>150000</v>
      </c>
      <c r="Q155" s="224">
        <v>150000</v>
      </c>
      <c r="R155" s="224"/>
      <c r="S155" s="224"/>
      <c r="T155" s="224"/>
      <c r="U155" s="224"/>
      <c r="V155" s="224"/>
      <c r="W155" s="224"/>
      <c r="X155" s="224"/>
      <c r="Y155" s="224"/>
      <c r="Z155" s="224"/>
      <c r="AA155" s="224"/>
      <c r="AB155" s="224"/>
      <c r="AC155" s="224"/>
      <c r="AD155" s="224"/>
      <c r="AE155" s="274" t="s">
        <v>2087</v>
      </c>
      <c r="AF155" s="230"/>
      <c r="AG155" s="288" t="s">
        <v>2067</v>
      </c>
      <c r="AH155" s="180" t="s">
        <v>2080</v>
      </c>
      <c r="AI155" s="233">
        <v>14054</v>
      </c>
      <c r="AJ155" s="227">
        <f t="shared" ref="AJ155:AJ159" si="42">SUM(Q155:AD155)</f>
        <v>150000</v>
      </c>
      <c r="AK155" s="185">
        <v>1</v>
      </c>
      <c r="AL155" s="185">
        <v>1</v>
      </c>
      <c r="AM155" s="245"/>
      <c r="AN155" s="180"/>
      <c r="AO155" s="180"/>
      <c r="AP155" s="180"/>
      <c r="AQ155" s="185" t="s">
        <v>395</v>
      </c>
      <c r="AR155" s="185" t="s">
        <v>395</v>
      </c>
      <c r="AS155" s="185" t="s">
        <v>395</v>
      </c>
      <c r="AT155" s="185" t="s">
        <v>395</v>
      </c>
      <c r="AU155" s="180"/>
      <c r="AV155" s="215"/>
      <c r="AW155" s="215"/>
      <c r="AX155" s="215"/>
      <c r="AY155" s="180"/>
      <c r="AZ155" s="261" t="s">
        <v>1795</v>
      </c>
      <c r="BA155" s="180"/>
    </row>
    <row r="156" spans="1:53" ht="178.5" x14ac:dyDescent="0.25">
      <c r="A156" s="220"/>
      <c r="B156" s="220"/>
      <c r="C156" s="220"/>
      <c r="D156" s="220"/>
      <c r="E156" s="220"/>
      <c r="F156" s="220"/>
      <c r="G156" s="220"/>
      <c r="H156" s="220"/>
      <c r="I156" s="220"/>
      <c r="J156" s="251"/>
      <c r="K156" s="251"/>
      <c r="L156" s="251"/>
      <c r="M156" s="269"/>
      <c r="N156" s="180"/>
      <c r="O156" s="180"/>
      <c r="P156" s="223">
        <f t="shared" si="41"/>
        <v>30525.606</v>
      </c>
      <c r="Q156" s="224">
        <v>30525.606</v>
      </c>
      <c r="R156" s="224"/>
      <c r="S156" s="224"/>
      <c r="T156" s="224"/>
      <c r="U156" s="224"/>
      <c r="V156" s="224"/>
      <c r="W156" s="224"/>
      <c r="X156" s="224"/>
      <c r="Y156" s="224"/>
      <c r="Z156" s="224"/>
      <c r="AA156" s="224"/>
      <c r="AB156" s="224"/>
      <c r="AC156" s="224"/>
      <c r="AD156" s="224"/>
      <c r="AE156" s="274" t="s">
        <v>2088</v>
      </c>
      <c r="AF156" s="230"/>
      <c r="AG156" s="288" t="s">
        <v>2089</v>
      </c>
      <c r="AH156" s="180" t="s">
        <v>1826</v>
      </c>
      <c r="AI156" s="233">
        <v>31252</v>
      </c>
      <c r="AJ156" s="227">
        <f t="shared" si="42"/>
        <v>30525.606</v>
      </c>
      <c r="AK156" s="185"/>
      <c r="AL156" s="185"/>
      <c r="AM156" s="245"/>
      <c r="AN156" s="180"/>
      <c r="AO156" s="180"/>
      <c r="AP156" s="180"/>
      <c r="AQ156" s="185"/>
      <c r="AR156" s="185"/>
      <c r="AS156" s="185"/>
      <c r="AT156" s="185"/>
      <c r="AU156" s="180"/>
      <c r="AV156" s="215"/>
      <c r="AW156" s="215"/>
      <c r="AX156" s="215"/>
      <c r="AY156" s="180"/>
      <c r="AZ156" s="261"/>
      <c r="BA156" s="180"/>
    </row>
    <row r="157" spans="1:53" ht="382.5" x14ac:dyDescent="0.25">
      <c r="A157" s="220"/>
      <c r="B157" s="220"/>
      <c r="C157" s="220"/>
      <c r="D157" s="220"/>
      <c r="E157" s="220"/>
      <c r="F157" s="220"/>
      <c r="G157" s="220"/>
      <c r="H157" s="220"/>
      <c r="I157" s="220"/>
      <c r="J157" s="251"/>
      <c r="K157" s="251"/>
      <c r="L157" s="251"/>
      <c r="M157" s="269"/>
      <c r="N157" s="180"/>
      <c r="O157" s="180"/>
      <c r="P157" s="223">
        <f t="shared" si="41"/>
        <v>34086.072</v>
      </c>
      <c r="Q157" s="224">
        <v>34086.072</v>
      </c>
      <c r="R157" s="224"/>
      <c r="S157" s="224"/>
      <c r="T157" s="224"/>
      <c r="U157" s="224"/>
      <c r="V157" s="224"/>
      <c r="W157" s="224"/>
      <c r="X157" s="224"/>
      <c r="Y157" s="224"/>
      <c r="Z157" s="224"/>
      <c r="AA157" s="224"/>
      <c r="AB157" s="224"/>
      <c r="AC157" s="224"/>
      <c r="AD157" s="224"/>
      <c r="AE157" s="274" t="s">
        <v>2090</v>
      </c>
      <c r="AF157" s="230"/>
      <c r="AG157" s="288" t="s">
        <v>2091</v>
      </c>
      <c r="AH157" s="180" t="s">
        <v>2082</v>
      </c>
      <c r="AI157" s="233">
        <v>20446</v>
      </c>
      <c r="AJ157" s="227">
        <f t="shared" si="42"/>
        <v>34086.072</v>
      </c>
      <c r="AK157" s="185"/>
      <c r="AL157" s="185"/>
      <c r="AM157" s="245"/>
      <c r="AN157" s="180"/>
      <c r="AO157" s="180"/>
      <c r="AP157" s="180"/>
      <c r="AQ157" s="185"/>
      <c r="AR157" s="185"/>
      <c r="AS157" s="185"/>
      <c r="AT157" s="185"/>
      <c r="AU157" s="180"/>
      <c r="AV157" s="215"/>
      <c r="AW157" s="215"/>
      <c r="AX157" s="215"/>
      <c r="AY157" s="180"/>
      <c r="AZ157" s="261"/>
      <c r="BA157" s="180"/>
    </row>
    <row r="158" spans="1:53" ht="191.25" x14ac:dyDescent="0.25">
      <c r="A158" s="220"/>
      <c r="B158" s="220"/>
      <c r="C158" s="220"/>
      <c r="D158" s="220"/>
      <c r="E158" s="220"/>
      <c r="F158" s="220"/>
      <c r="G158" s="220"/>
      <c r="H158" s="220"/>
      <c r="I158" s="220"/>
      <c r="J158" s="251"/>
      <c r="K158" s="251"/>
      <c r="L158" s="251"/>
      <c r="M158" s="269"/>
      <c r="N158" s="180"/>
      <c r="O158" s="180"/>
      <c r="P158" s="223">
        <f t="shared" si="41"/>
        <v>311541.21299999999</v>
      </c>
      <c r="Q158" s="224">
        <v>311541.21299999999</v>
      </c>
      <c r="R158" s="224"/>
      <c r="S158" s="224"/>
      <c r="T158" s="224"/>
      <c r="U158" s="224"/>
      <c r="V158" s="224"/>
      <c r="W158" s="224"/>
      <c r="X158" s="224"/>
      <c r="Y158" s="224"/>
      <c r="Z158" s="224"/>
      <c r="AA158" s="224"/>
      <c r="AB158" s="224"/>
      <c r="AC158" s="224"/>
      <c r="AD158" s="224"/>
      <c r="AE158" s="274" t="s">
        <v>2092</v>
      </c>
      <c r="AF158" s="230"/>
      <c r="AG158" s="288" t="s">
        <v>2093</v>
      </c>
      <c r="AH158" s="180" t="s">
        <v>2082</v>
      </c>
      <c r="AI158" s="233">
        <v>21738</v>
      </c>
      <c r="AJ158" s="227">
        <f t="shared" si="42"/>
        <v>311541.21299999999</v>
      </c>
      <c r="AK158" s="185"/>
      <c r="AL158" s="185"/>
      <c r="AM158" s="245"/>
      <c r="AN158" s="180"/>
      <c r="AO158" s="180"/>
      <c r="AP158" s="180"/>
      <c r="AQ158" s="185"/>
      <c r="AR158" s="185"/>
      <c r="AS158" s="185"/>
      <c r="AT158" s="185"/>
      <c r="AU158" s="180"/>
      <c r="AV158" s="215"/>
      <c r="AW158" s="215"/>
      <c r="AX158" s="215"/>
      <c r="AY158" s="180"/>
      <c r="AZ158" s="261"/>
      <c r="BA158" s="180"/>
    </row>
    <row r="159" spans="1:53" ht="102" x14ac:dyDescent="0.25">
      <c r="A159" s="220"/>
      <c r="B159" s="220"/>
      <c r="C159" s="220"/>
      <c r="D159" s="220"/>
      <c r="E159" s="220"/>
      <c r="F159" s="220"/>
      <c r="G159" s="220"/>
      <c r="H159" s="220"/>
      <c r="I159" s="220"/>
      <c r="J159" s="251"/>
      <c r="K159" s="251"/>
      <c r="L159" s="251"/>
      <c r="M159" s="269"/>
      <c r="N159" s="180"/>
      <c r="O159" s="180"/>
      <c r="P159" s="223">
        <f t="shared" si="41"/>
        <v>380000</v>
      </c>
      <c r="Q159" s="224">
        <v>380000</v>
      </c>
      <c r="R159" s="224"/>
      <c r="S159" s="224"/>
      <c r="T159" s="224"/>
      <c r="U159" s="224"/>
      <c r="V159" s="224"/>
      <c r="W159" s="224"/>
      <c r="X159" s="224"/>
      <c r="Y159" s="224"/>
      <c r="Z159" s="224"/>
      <c r="AA159" s="224"/>
      <c r="AB159" s="224"/>
      <c r="AC159" s="224"/>
      <c r="AD159" s="224"/>
      <c r="AE159" s="274" t="s">
        <v>2094</v>
      </c>
      <c r="AF159" s="230"/>
      <c r="AG159" s="288" t="s">
        <v>2095</v>
      </c>
      <c r="AH159" s="180" t="s">
        <v>1798</v>
      </c>
      <c r="AI159" s="233">
        <v>36544</v>
      </c>
      <c r="AJ159" s="227">
        <f t="shared" si="42"/>
        <v>380000</v>
      </c>
      <c r="AK159" s="185">
        <v>1</v>
      </c>
      <c r="AL159" s="185">
        <v>1</v>
      </c>
      <c r="AM159" s="245"/>
      <c r="AN159" s="180"/>
      <c r="AO159" s="180"/>
      <c r="AP159" s="185" t="s">
        <v>395</v>
      </c>
      <c r="AQ159" s="185" t="s">
        <v>395</v>
      </c>
      <c r="AR159" s="185" t="s">
        <v>395</v>
      </c>
      <c r="AS159" s="185" t="s">
        <v>395</v>
      </c>
      <c r="AT159" s="185" t="s">
        <v>395</v>
      </c>
      <c r="AU159" s="180"/>
      <c r="AV159" s="180"/>
      <c r="AW159" s="215"/>
      <c r="AX159" s="215"/>
      <c r="AY159" s="180"/>
      <c r="AZ159" s="261" t="s">
        <v>1795</v>
      </c>
      <c r="BA159" s="180"/>
    </row>
    <row r="160" spans="1:53" x14ac:dyDescent="0.25">
      <c r="A160" s="220"/>
      <c r="B160" s="220"/>
      <c r="C160" s="220"/>
      <c r="D160" s="220"/>
      <c r="E160" s="220"/>
      <c r="F160" s="220"/>
      <c r="G160" s="220"/>
      <c r="H160" s="220"/>
      <c r="I160" s="220"/>
      <c r="J160" s="176"/>
      <c r="K160" s="176"/>
      <c r="L160" s="251"/>
      <c r="M160" s="269"/>
      <c r="N160" s="180"/>
      <c r="O160" s="180"/>
      <c r="P160" s="235"/>
      <c r="Q160" s="224"/>
      <c r="R160" s="224"/>
      <c r="S160" s="224"/>
      <c r="T160" s="224"/>
      <c r="U160" s="224"/>
      <c r="V160" s="224"/>
      <c r="W160" s="224"/>
      <c r="X160" s="224"/>
      <c r="Y160" s="224"/>
      <c r="Z160" s="224"/>
      <c r="AA160" s="224"/>
      <c r="AB160" s="224"/>
      <c r="AC160" s="224"/>
      <c r="AD160" s="224"/>
      <c r="AE160" s="180"/>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180"/>
    </row>
    <row r="161" spans="1:53" ht="270" x14ac:dyDescent="0.25">
      <c r="A161" s="254" t="s">
        <v>201</v>
      </c>
      <c r="B161" s="254" t="s">
        <v>1801</v>
      </c>
      <c r="C161" s="254"/>
      <c r="D161" s="254"/>
      <c r="E161" s="254"/>
      <c r="F161" s="254" t="s">
        <v>2058</v>
      </c>
      <c r="G161" s="254" t="s">
        <v>2059</v>
      </c>
      <c r="H161" s="254" t="s">
        <v>2096</v>
      </c>
      <c r="I161" s="254" t="s">
        <v>2097</v>
      </c>
      <c r="J161" s="251">
        <v>0</v>
      </c>
      <c r="K161" s="251" t="s">
        <v>323</v>
      </c>
      <c r="L161" s="251">
        <v>120000</v>
      </c>
      <c r="M161" s="248">
        <f>+'[1]Plan Indicativo Infraestructura'!P68</f>
        <v>10000</v>
      </c>
      <c r="N161" s="180"/>
      <c r="O161" s="180"/>
      <c r="P161" s="223">
        <f>SUM(P162:P171)</f>
        <v>37457571.673510008</v>
      </c>
      <c r="Q161" s="224">
        <f>SUM(Q162:Q171)</f>
        <v>1020454.652</v>
      </c>
      <c r="R161" s="224">
        <f t="shared" ref="R161:AD161" si="43">SUM(R162:R171)</f>
        <v>0</v>
      </c>
      <c r="S161" s="224">
        <f t="shared" si="43"/>
        <v>0</v>
      </c>
      <c r="T161" s="224">
        <f t="shared" si="43"/>
        <v>0</v>
      </c>
      <c r="U161" s="224">
        <f t="shared" si="43"/>
        <v>3654850.5210000002</v>
      </c>
      <c r="V161" s="224">
        <f t="shared" si="43"/>
        <v>9288000</v>
      </c>
      <c r="W161" s="224">
        <f t="shared" si="43"/>
        <v>0</v>
      </c>
      <c r="X161" s="224">
        <f t="shared" si="43"/>
        <v>0</v>
      </c>
      <c r="Y161" s="224">
        <f t="shared" si="43"/>
        <v>0</v>
      </c>
      <c r="Z161" s="224">
        <f t="shared" si="43"/>
        <v>15758838.710000001</v>
      </c>
      <c r="AA161" s="224">
        <f t="shared" si="43"/>
        <v>600000</v>
      </c>
      <c r="AB161" s="224">
        <f t="shared" si="43"/>
        <v>0</v>
      </c>
      <c r="AC161" s="224">
        <f t="shared" si="43"/>
        <v>0</v>
      </c>
      <c r="AD161" s="224">
        <f t="shared" si="43"/>
        <v>7135427.7905100007</v>
      </c>
      <c r="AE161" s="180"/>
      <c r="AF161" s="180"/>
      <c r="AG161" s="180"/>
      <c r="AH161" s="180"/>
      <c r="AI161" s="257">
        <f>SUM(AI162:AI171)</f>
        <v>697348</v>
      </c>
      <c r="AJ161" s="257">
        <f>SUM(AJ162:AJ171)</f>
        <v>37457571.673510008</v>
      </c>
      <c r="AK161" s="248">
        <f>SUM(AK162:AK171)</f>
        <v>52658.92</v>
      </c>
      <c r="AL161" s="257">
        <f>SUM(AL162:AL170)</f>
        <v>25892.320000000003</v>
      </c>
      <c r="AM161" s="257">
        <f>SUM(AM162:AM170)</f>
        <v>9107264.0863100011</v>
      </c>
      <c r="AN161" s="180"/>
      <c r="AO161" s="180"/>
      <c r="AP161" s="180"/>
      <c r="AQ161" s="180"/>
      <c r="AR161" s="180"/>
      <c r="AS161" s="180"/>
      <c r="AT161" s="180"/>
      <c r="AU161" s="180"/>
      <c r="AV161" s="180"/>
      <c r="AW161" s="180"/>
      <c r="AX161" s="180"/>
      <c r="AY161" s="180"/>
      <c r="AZ161" s="180"/>
      <c r="BA161" s="180"/>
    </row>
    <row r="162" spans="1:53" ht="178.5" x14ac:dyDescent="0.25">
      <c r="A162" s="220"/>
      <c r="B162" s="220"/>
      <c r="C162" s="220"/>
      <c r="D162" s="220"/>
      <c r="E162" s="220"/>
      <c r="F162" s="220"/>
      <c r="G162" s="220"/>
      <c r="H162" s="220"/>
      <c r="I162" s="220"/>
      <c r="J162" s="251"/>
      <c r="K162" s="251"/>
      <c r="L162" s="251"/>
      <c r="M162" s="269"/>
      <c r="N162" s="180"/>
      <c r="O162" s="180"/>
      <c r="P162" s="223">
        <f>SUM(Q162:AD162)</f>
        <v>8589150.6365100015</v>
      </c>
      <c r="Q162" s="224"/>
      <c r="R162" s="224"/>
      <c r="S162" s="224"/>
      <c r="T162" s="224"/>
      <c r="U162" s="224">
        <v>3654850.5210000002</v>
      </c>
      <c r="V162" s="224"/>
      <c r="W162" s="224"/>
      <c r="X162" s="224"/>
      <c r="Y162" s="224"/>
      <c r="Z162" s="224"/>
      <c r="AA162" s="224"/>
      <c r="AB162" s="224"/>
      <c r="AC162" s="224"/>
      <c r="AD162" s="224">
        <f>18275185.613*27%</f>
        <v>4934300.1155100008</v>
      </c>
      <c r="AE162" s="236" t="s">
        <v>2098</v>
      </c>
      <c r="AF162" s="230" t="s">
        <v>2099</v>
      </c>
      <c r="AG162" s="180" t="s">
        <v>579</v>
      </c>
      <c r="AH162" s="180" t="s">
        <v>580</v>
      </c>
      <c r="AI162" s="233">
        <v>277540</v>
      </c>
      <c r="AJ162" s="227">
        <f>SUM(Q162:AD162)</f>
        <v>8589150.6365100015</v>
      </c>
      <c r="AK162" s="275">
        <f>75896*27%</f>
        <v>20491.920000000002</v>
      </c>
      <c r="AL162" s="227">
        <f>+AK162</f>
        <v>20491.920000000002</v>
      </c>
      <c r="AM162" s="227">
        <f>+AJ162</f>
        <v>8589150.6365100015</v>
      </c>
      <c r="AN162" s="180"/>
      <c r="AO162" s="180"/>
      <c r="AP162" s="185" t="s">
        <v>395</v>
      </c>
      <c r="AQ162" s="185" t="s">
        <v>395</v>
      </c>
      <c r="AR162" s="185" t="s">
        <v>395</v>
      </c>
      <c r="AS162" s="185" t="s">
        <v>395</v>
      </c>
      <c r="AT162" s="185" t="s">
        <v>395</v>
      </c>
      <c r="AU162" s="185" t="s">
        <v>395</v>
      </c>
      <c r="AV162" s="185" t="s">
        <v>395</v>
      </c>
      <c r="AW162" s="185" t="s">
        <v>395</v>
      </c>
      <c r="AX162" s="185" t="s">
        <v>395</v>
      </c>
      <c r="AY162" s="185" t="s">
        <v>395</v>
      </c>
      <c r="AZ162" s="217" t="s">
        <v>2100</v>
      </c>
      <c r="BA162" s="180"/>
    </row>
    <row r="163" spans="1:53" ht="165.75" x14ac:dyDescent="0.25">
      <c r="A163" s="220"/>
      <c r="B163" s="220"/>
      <c r="C163" s="220"/>
      <c r="D163" s="220"/>
      <c r="E163" s="220"/>
      <c r="F163" s="220"/>
      <c r="G163" s="220"/>
      <c r="H163" s="220"/>
      <c r="I163" s="220"/>
      <c r="J163" s="251"/>
      <c r="K163" s="251"/>
      <c r="L163" s="251"/>
      <c r="M163" s="269"/>
      <c r="N163" s="180"/>
      <c r="O163" s="180"/>
      <c r="P163" s="223">
        <f t="shared" ref="P163:P171" si="44">SUM(Q163:AD163)</f>
        <v>9288000</v>
      </c>
      <c r="Q163" s="224"/>
      <c r="R163" s="224"/>
      <c r="S163" s="224"/>
      <c r="T163" s="224"/>
      <c r="U163" s="224"/>
      <c r="V163" s="224">
        <v>9288000</v>
      </c>
      <c r="W163" s="224"/>
      <c r="X163" s="224"/>
      <c r="Y163" s="224"/>
      <c r="Z163" s="224"/>
      <c r="AA163" s="224"/>
      <c r="AB163" s="224"/>
      <c r="AC163" s="224"/>
      <c r="AD163" s="224"/>
      <c r="AE163" s="236" t="s">
        <v>2101</v>
      </c>
      <c r="AF163" s="230"/>
      <c r="AG163" s="180" t="s">
        <v>579</v>
      </c>
      <c r="AH163" s="180" t="s">
        <v>580</v>
      </c>
      <c r="AI163" s="233">
        <v>280054</v>
      </c>
      <c r="AJ163" s="227">
        <f t="shared" ref="AJ163:AJ169" si="45">SUM(Q163:AD163)</f>
        <v>9288000</v>
      </c>
      <c r="AK163" s="275">
        <v>2857</v>
      </c>
      <c r="AL163" s="227"/>
      <c r="AM163" s="227"/>
      <c r="AN163" s="180"/>
      <c r="AO163" s="180"/>
      <c r="AP163" s="185" t="s">
        <v>395</v>
      </c>
      <c r="AQ163" s="185" t="s">
        <v>395</v>
      </c>
      <c r="AR163" s="185" t="s">
        <v>395</v>
      </c>
      <c r="AS163" s="185" t="s">
        <v>395</v>
      </c>
      <c r="AT163" s="185" t="s">
        <v>395</v>
      </c>
      <c r="AU163" s="185" t="s">
        <v>395</v>
      </c>
      <c r="AV163" s="185" t="s">
        <v>395</v>
      </c>
      <c r="AW163" s="185" t="s">
        <v>395</v>
      </c>
      <c r="AX163" s="185" t="s">
        <v>395</v>
      </c>
      <c r="AY163" s="185" t="s">
        <v>395</v>
      </c>
      <c r="AZ163" s="217" t="s">
        <v>1775</v>
      </c>
      <c r="BA163" s="180"/>
    </row>
    <row r="164" spans="1:53" ht="229.5" x14ac:dyDescent="0.25">
      <c r="A164" s="220"/>
      <c r="B164" s="220"/>
      <c r="C164" s="220"/>
      <c r="D164" s="220"/>
      <c r="E164" s="220"/>
      <c r="F164" s="220"/>
      <c r="G164" s="220"/>
      <c r="H164" s="220"/>
      <c r="I164" s="220"/>
      <c r="J164" s="251"/>
      <c r="K164" s="251"/>
      <c r="L164" s="251"/>
      <c r="M164" s="269"/>
      <c r="N164" s="180"/>
      <c r="O164" s="180"/>
      <c r="P164" s="223">
        <f t="shared" si="44"/>
        <v>7263077.4390000002</v>
      </c>
      <c r="Q164" s="224"/>
      <c r="R164" s="224"/>
      <c r="S164" s="224"/>
      <c r="T164" s="224"/>
      <c r="U164" s="224"/>
      <c r="V164" s="224"/>
      <c r="W164" s="224"/>
      <c r="X164" s="224"/>
      <c r="Y164" s="224"/>
      <c r="Z164" s="224">
        <v>7263077.4390000002</v>
      </c>
      <c r="AA164" s="224"/>
      <c r="AB164" s="224"/>
      <c r="AC164" s="224"/>
      <c r="AD164" s="224"/>
      <c r="AE164" s="236" t="s">
        <v>2102</v>
      </c>
      <c r="AF164" s="230"/>
      <c r="AG164" s="180" t="s">
        <v>2031</v>
      </c>
      <c r="AH164" s="180" t="s">
        <v>2103</v>
      </c>
      <c r="AI164" s="233">
        <v>29797</v>
      </c>
      <c r="AJ164" s="227">
        <f t="shared" si="45"/>
        <v>7263077.4390000002</v>
      </c>
      <c r="AK164" s="275">
        <v>2584</v>
      </c>
      <c r="AL164" s="227"/>
      <c r="AM164" s="227"/>
      <c r="AN164" s="180"/>
      <c r="AO164" s="180"/>
      <c r="AP164" s="185" t="s">
        <v>395</v>
      </c>
      <c r="AQ164" s="185" t="s">
        <v>395</v>
      </c>
      <c r="AR164" s="185" t="s">
        <v>395</v>
      </c>
      <c r="AS164" s="185" t="s">
        <v>395</v>
      </c>
      <c r="AT164" s="185" t="s">
        <v>395</v>
      </c>
      <c r="AU164" s="185" t="s">
        <v>395</v>
      </c>
      <c r="AV164" s="185" t="s">
        <v>395</v>
      </c>
      <c r="AW164" s="185" t="s">
        <v>395</v>
      </c>
      <c r="AX164" s="185" t="s">
        <v>395</v>
      </c>
      <c r="AY164" s="185" t="s">
        <v>395</v>
      </c>
      <c r="AZ164" s="217" t="s">
        <v>2104</v>
      </c>
      <c r="BA164" s="180"/>
    </row>
    <row r="165" spans="1:53" ht="229.5" x14ac:dyDescent="0.25">
      <c r="A165" s="220"/>
      <c r="B165" s="220"/>
      <c r="C165" s="220"/>
      <c r="D165" s="220"/>
      <c r="E165" s="220"/>
      <c r="F165" s="220"/>
      <c r="G165" s="220"/>
      <c r="H165" s="220"/>
      <c r="I165" s="220"/>
      <c r="J165" s="251"/>
      <c r="K165" s="251"/>
      <c r="L165" s="251"/>
      <c r="M165" s="269"/>
      <c r="N165" s="180"/>
      <c r="O165" s="180"/>
      <c r="P165" s="223">
        <f t="shared" si="44"/>
        <v>8495761.2709999997</v>
      </c>
      <c r="Q165" s="224"/>
      <c r="R165" s="224"/>
      <c r="S165" s="224"/>
      <c r="T165" s="224"/>
      <c r="U165" s="224"/>
      <c r="V165" s="224"/>
      <c r="W165" s="224"/>
      <c r="X165" s="224"/>
      <c r="Y165" s="224"/>
      <c r="Z165" s="227">
        <v>8495761.2709999997</v>
      </c>
      <c r="AA165" s="224"/>
      <c r="AB165" s="224"/>
      <c r="AC165" s="224"/>
      <c r="AD165" s="224"/>
      <c r="AE165" s="236" t="s">
        <v>2105</v>
      </c>
      <c r="AF165" s="230"/>
      <c r="AG165" s="180" t="s">
        <v>2031</v>
      </c>
      <c r="AH165" s="180" t="s">
        <v>2103</v>
      </c>
      <c r="AI165" s="233">
        <v>29797</v>
      </c>
      <c r="AJ165" s="227">
        <f t="shared" si="45"/>
        <v>8495761.2709999997</v>
      </c>
      <c r="AK165" s="275">
        <v>10870</v>
      </c>
      <c r="AL165" s="227"/>
      <c r="AM165" s="227"/>
      <c r="AN165" s="180"/>
      <c r="AO165" s="180"/>
      <c r="AP165" s="185" t="s">
        <v>395</v>
      </c>
      <c r="AQ165" s="185" t="s">
        <v>395</v>
      </c>
      <c r="AR165" s="185" t="s">
        <v>395</v>
      </c>
      <c r="AS165" s="185" t="s">
        <v>395</v>
      </c>
      <c r="AT165" s="185" t="s">
        <v>395</v>
      </c>
      <c r="AU165" s="185" t="s">
        <v>395</v>
      </c>
      <c r="AV165" s="185" t="s">
        <v>395</v>
      </c>
      <c r="AW165" s="185" t="s">
        <v>395</v>
      </c>
      <c r="AX165" s="185" t="s">
        <v>395</v>
      </c>
      <c r="AY165" s="185" t="s">
        <v>395</v>
      </c>
      <c r="AZ165" s="217" t="s">
        <v>2104</v>
      </c>
      <c r="BA165" s="180"/>
    </row>
    <row r="166" spans="1:53" ht="140.25" x14ac:dyDescent="0.25">
      <c r="A166" s="220"/>
      <c r="B166" s="220"/>
      <c r="C166" s="220"/>
      <c r="D166" s="220"/>
      <c r="E166" s="220"/>
      <c r="F166" s="220"/>
      <c r="G166" s="220"/>
      <c r="H166" s="220"/>
      <c r="I166" s="220"/>
      <c r="J166" s="251"/>
      <c r="K166" s="251"/>
      <c r="L166" s="251"/>
      <c r="M166" s="269"/>
      <c r="N166" s="180"/>
      <c r="O166" s="180"/>
      <c r="P166" s="223">
        <f t="shared" si="44"/>
        <v>387542.04800000001</v>
      </c>
      <c r="Q166" s="224">
        <v>387542.04800000001</v>
      </c>
      <c r="R166" s="224"/>
      <c r="S166" s="224"/>
      <c r="T166" s="224"/>
      <c r="U166" s="224"/>
      <c r="V166" s="224"/>
      <c r="W166" s="224"/>
      <c r="X166" s="224"/>
      <c r="Y166" s="224"/>
      <c r="Z166" s="224"/>
      <c r="AA166" s="224"/>
      <c r="AB166" s="224"/>
      <c r="AC166" s="224"/>
      <c r="AD166" s="224"/>
      <c r="AE166" s="236" t="s">
        <v>2106</v>
      </c>
      <c r="AF166" s="230" t="s">
        <v>2107</v>
      </c>
      <c r="AG166" s="180" t="s">
        <v>579</v>
      </c>
      <c r="AH166" s="180" t="s">
        <v>580</v>
      </c>
      <c r="AI166" s="233">
        <v>395</v>
      </c>
      <c r="AJ166" s="227">
        <f t="shared" si="45"/>
        <v>387542.04800000001</v>
      </c>
      <c r="AK166" s="275">
        <v>5400</v>
      </c>
      <c r="AL166" s="227">
        <f>+AK166</f>
        <v>5400</v>
      </c>
      <c r="AM166" s="227">
        <f>+AJ166</f>
        <v>387542.04800000001</v>
      </c>
      <c r="AN166" s="180"/>
      <c r="AO166" s="180"/>
      <c r="AP166" s="180"/>
      <c r="AQ166" s="180"/>
      <c r="AR166" s="180"/>
      <c r="AS166" s="180"/>
      <c r="AT166" s="180"/>
      <c r="AU166" s="180"/>
      <c r="AV166" s="185" t="s">
        <v>395</v>
      </c>
      <c r="AW166" s="185" t="s">
        <v>395</v>
      </c>
      <c r="AX166" s="185" t="s">
        <v>395</v>
      </c>
      <c r="AY166" s="185" t="s">
        <v>395</v>
      </c>
      <c r="AZ166" s="217" t="s">
        <v>1870</v>
      </c>
      <c r="BA166" s="180"/>
    </row>
    <row r="167" spans="1:53" ht="178.5" x14ac:dyDescent="0.25">
      <c r="A167" s="220"/>
      <c r="B167" s="220"/>
      <c r="C167" s="220"/>
      <c r="D167" s="220"/>
      <c r="E167" s="220"/>
      <c r="F167" s="220"/>
      <c r="G167" s="220"/>
      <c r="H167" s="220"/>
      <c r="I167" s="220"/>
      <c r="J167" s="251"/>
      <c r="K167" s="251"/>
      <c r="L167" s="251"/>
      <c r="M167" s="269"/>
      <c r="N167" s="180"/>
      <c r="O167" s="180"/>
      <c r="P167" s="223">
        <f t="shared" si="44"/>
        <v>897645.25</v>
      </c>
      <c r="Q167" s="224">
        <v>297645.25</v>
      </c>
      <c r="R167" s="224"/>
      <c r="S167" s="224"/>
      <c r="T167" s="224"/>
      <c r="U167" s="224"/>
      <c r="V167" s="224"/>
      <c r="W167" s="224"/>
      <c r="X167" s="224"/>
      <c r="Y167" s="224"/>
      <c r="Z167" s="224"/>
      <c r="AA167" s="224">
        <v>600000</v>
      </c>
      <c r="AB167" s="224"/>
      <c r="AC167" s="224"/>
      <c r="AD167" s="224"/>
      <c r="AE167" s="236" t="s">
        <v>2108</v>
      </c>
      <c r="AF167" s="230" t="s">
        <v>2109</v>
      </c>
      <c r="AG167" s="180" t="s">
        <v>1793</v>
      </c>
      <c r="AH167" s="180" t="s">
        <v>1794</v>
      </c>
      <c r="AI167" s="233">
        <v>12542</v>
      </c>
      <c r="AJ167" s="227">
        <f t="shared" si="45"/>
        <v>897645.25</v>
      </c>
      <c r="AK167" s="275">
        <f>540*11</f>
        <v>5940</v>
      </c>
      <c r="AL167" s="227">
        <v>0</v>
      </c>
      <c r="AM167" s="227"/>
      <c r="AN167" s="180"/>
      <c r="AO167" s="180"/>
      <c r="AP167" s="180"/>
      <c r="AQ167" s="180"/>
      <c r="AR167" s="180"/>
      <c r="AS167" s="180"/>
      <c r="AT167" s="180"/>
      <c r="AU167" s="180"/>
      <c r="AV167" s="185" t="s">
        <v>395</v>
      </c>
      <c r="AW167" s="185" t="s">
        <v>395</v>
      </c>
      <c r="AX167" s="185" t="s">
        <v>395</v>
      </c>
      <c r="AY167" s="185" t="s">
        <v>395</v>
      </c>
      <c r="AZ167" s="217" t="s">
        <v>1795</v>
      </c>
      <c r="BA167" s="180"/>
    </row>
    <row r="168" spans="1:53" ht="114.75" x14ac:dyDescent="0.25">
      <c r="A168" s="220"/>
      <c r="B168" s="220"/>
      <c r="C168" s="220"/>
      <c r="D168" s="220"/>
      <c r="E168" s="220"/>
      <c r="F168" s="220"/>
      <c r="G168" s="220"/>
      <c r="H168" s="220"/>
      <c r="I168" s="220"/>
      <c r="J168" s="251"/>
      <c r="K168" s="251"/>
      <c r="L168" s="251"/>
      <c r="M168" s="269"/>
      <c r="N168" s="180"/>
      <c r="O168" s="180"/>
      <c r="P168" s="223">
        <f t="shared" si="44"/>
        <v>1548270.666</v>
      </c>
      <c r="Q168" s="224"/>
      <c r="R168" s="224"/>
      <c r="S168" s="224"/>
      <c r="T168" s="224"/>
      <c r="U168" s="224"/>
      <c r="V168" s="224"/>
      <c r="W168" s="224"/>
      <c r="X168" s="224"/>
      <c r="Y168" s="224"/>
      <c r="Z168" s="224"/>
      <c r="AA168" s="224"/>
      <c r="AB168" s="224"/>
      <c r="AC168" s="224"/>
      <c r="AD168" s="224">
        <v>1548270.666</v>
      </c>
      <c r="AE168" s="236" t="s">
        <v>2110</v>
      </c>
      <c r="AF168" s="230" t="s">
        <v>2111</v>
      </c>
      <c r="AG168" s="288" t="s">
        <v>1818</v>
      </c>
      <c r="AH168" s="180" t="s">
        <v>1798</v>
      </c>
      <c r="AI168" s="233">
        <v>17670</v>
      </c>
      <c r="AJ168" s="227">
        <f t="shared" si="45"/>
        <v>1548270.666</v>
      </c>
      <c r="AK168" s="275">
        <v>1400</v>
      </c>
      <c r="AL168" s="227">
        <v>0</v>
      </c>
      <c r="AM168" s="227"/>
      <c r="AN168" s="180"/>
      <c r="AO168" s="180"/>
      <c r="AP168" s="180"/>
      <c r="AQ168" s="180"/>
      <c r="AR168" s="180"/>
      <c r="AS168" s="185" t="s">
        <v>395</v>
      </c>
      <c r="AT168" s="185" t="s">
        <v>395</v>
      </c>
      <c r="AU168" s="185" t="s">
        <v>395</v>
      </c>
      <c r="AV168" s="185" t="s">
        <v>395</v>
      </c>
      <c r="AW168" s="185" t="s">
        <v>395</v>
      </c>
      <c r="AX168" s="185" t="s">
        <v>395</v>
      </c>
      <c r="AY168" s="185" t="s">
        <v>395</v>
      </c>
      <c r="AZ168" s="217" t="s">
        <v>1795</v>
      </c>
      <c r="BA168" s="180"/>
    </row>
    <row r="169" spans="1:53" ht="127.5" x14ac:dyDescent="0.25">
      <c r="A169" s="220"/>
      <c r="B169" s="220"/>
      <c r="C169" s="220"/>
      <c r="D169" s="220"/>
      <c r="E169" s="220"/>
      <c r="F169" s="220"/>
      <c r="G169" s="220"/>
      <c r="H169" s="220"/>
      <c r="I169" s="220"/>
      <c r="J169" s="251"/>
      <c r="K169" s="251"/>
      <c r="L169" s="251"/>
      <c r="M169" s="269"/>
      <c r="N169" s="180"/>
      <c r="O169" s="180"/>
      <c r="P169" s="223">
        <f t="shared" si="44"/>
        <v>325857.00900000002</v>
      </c>
      <c r="Q169" s="224"/>
      <c r="R169" s="224"/>
      <c r="S169" s="224"/>
      <c r="T169" s="224"/>
      <c r="U169" s="224"/>
      <c r="V169" s="224"/>
      <c r="W169" s="224"/>
      <c r="X169" s="224"/>
      <c r="Y169" s="224"/>
      <c r="Z169" s="224"/>
      <c r="AA169" s="224"/>
      <c r="AB169" s="224"/>
      <c r="AC169" s="224"/>
      <c r="AD169" s="224">
        <v>325857.00900000002</v>
      </c>
      <c r="AE169" s="236" t="s">
        <v>2112</v>
      </c>
      <c r="AF169" s="230" t="s">
        <v>2113</v>
      </c>
      <c r="AG169" s="288" t="s">
        <v>1973</v>
      </c>
      <c r="AH169" s="180" t="s">
        <v>2114</v>
      </c>
      <c r="AI169" s="233">
        <v>2525</v>
      </c>
      <c r="AJ169" s="227">
        <f t="shared" si="45"/>
        <v>325857.00900000002</v>
      </c>
      <c r="AK169" s="275">
        <v>560</v>
      </c>
      <c r="AL169" s="276">
        <v>0.2</v>
      </c>
      <c r="AM169" s="227">
        <f>+AJ169*AL169</f>
        <v>65171.401800000007</v>
      </c>
      <c r="AN169" s="180"/>
      <c r="AO169" s="180"/>
      <c r="AP169" s="180"/>
      <c r="AQ169" s="180"/>
      <c r="AR169" s="180"/>
      <c r="AS169" s="180"/>
      <c r="AT169" s="180"/>
      <c r="AU169" s="185" t="s">
        <v>395</v>
      </c>
      <c r="AV169" s="185" t="s">
        <v>395</v>
      </c>
      <c r="AW169" s="185" t="s">
        <v>395</v>
      </c>
      <c r="AX169" s="180"/>
      <c r="AY169" s="180"/>
      <c r="AZ169" s="217" t="s">
        <v>1795</v>
      </c>
      <c r="BA169" s="180"/>
    </row>
    <row r="170" spans="1:53" ht="114.75" x14ac:dyDescent="0.25">
      <c r="A170" s="220"/>
      <c r="B170" s="220"/>
      <c r="C170" s="220"/>
      <c r="D170" s="220"/>
      <c r="E170" s="220"/>
      <c r="F170" s="220"/>
      <c r="G170" s="220"/>
      <c r="H170" s="220"/>
      <c r="I170" s="220"/>
      <c r="J170" s="251"/>
      <c r="K170" s="251"/>
      <c r="L170" s="251"/>
      <c r="M170" s="269"/>
      <c r="N170" s="180"/>
      <c r="O170" s="180"/>
      <c r="P170" s="223">
        <f t="shared" si="44"/>
        <v>327000</v>
      </c>
      <c r="Q170" s="224"/>
      <c r="R170" s="224"/>
      <c r="S170" s="224"/>
      <c r="T170" s="224"/>
      <c r="U170" s="224"/>
      <c r="V170" s="224"/>
      <c r="W170" s="224"/>
      <c r="X170" s="224"/>
      <c r="Y170" s="224"/>
      <c r="Z170" s="224"/>
      <c r="AA170" s="224"/>
      <c r="AB170" s="224"/>
      <c r="AC170" s="224"/>
      <c r="AD170" s="224">
        <v>327000</v>
      </c>
      <c r="AE170" s="236" t="s">
        <v>2115</v>
      </c>
      <c r="AF170" s="230" t="s">
        <v>2116</v>
      </c>
      <c r="AG170" s="288" t="s">
        <v>1950</v>
      </c>
      <c r="AH170" s="180" t="s">
        <v>1798</v>
      </c>
      <c r="AI170" s="238">
        <v>2328</v>
      </c>
      <c r="AJ170" s="227">
        <f>SUM(Q170:AD170)</f>
        <v>327000</v>
      </c>
      <c r="AK170" s="275">
        <v>540</v>
      </c>
      <c r="AL170" s="276">
        <v>0.2</v>
      </c>
      <c r="AM170" s="227">
        <f>+AJ170*AL170</f>
        <v>65400</v>
      </c>
      <c r="AN170" s="180"/>
      <c r="AO170" s="180"/>
      <c r="AP170" s="180"/>
      <c r="AQ170" s="180"/>
      <c r="AR170" s="180"/>
      <c r="AS170" s="180"/>
      <c r="AT170" s="180"/>
      <c r="AU170" s="185" t="s">
        <v>395</v>
      </c>
      <c r="AV170" s="185" t="s">
        <v>395</v>
      </c>
      <c r="AW170" s="185" t="s">
        <v>395</v>
      </c>
      <c r="AX170" s="180"/>
      <c r="AY170" s="180"/>
      <c r="AZ170" s="217" t="s">
        <v>1795</v>
      </c>
      <c r="BA170" s="180"/>
    </row>
    <row r="171" spans="1:53" ht="127.5" x14ac:dyDescent="0.25">
      <c r="A171" s="220"/>
      <c r="B171" s="220"/>
      <c r="C171" s="220"/>
      <c r="D171" s="220"/>
      <c r="E171" s="220"/>
      <c r="F171" s="220"/>
      <c r="G171" s="220"/>
      <c r="H171" s="220"/>
      <c r="I171" s="220"/>
      <c r="J171" s="251"/>
      <c r="K171" s="251"/>
      <c r="L171" s="251"/>
      <c r="M171" s="269"/>
      <c r="N171" s="180"/>
      <c r="O171" s="180"/>
      <c r="P171" s="223">
        <f t="shared" si="44"/>
        <v>335267.35399999999</v>
      </c>
      <c r="Q171" s="227">
        <f>314341.418+20925.936</f>
        <v>335267.35399999999</v>
      </c>
      <c r="R171" s="224"/>
      <c r="S171" s="224"/>
      <c r="T171" s="224"/>
      <c r="U171" s="224"/>
      <c r="V171" s="224"/>
      <c r="W171" s="224"/>
      <c r="X171" s="224"/>
      <c r="Y171" s="224"/>
      <c r="Z171" s="224"/>
      <c r="AA171" s="224"/>
      <c r="AB171" s="224"/>
      <c r="AC171" s="224"/>
      <c r="AD171" s="224"/>
      <c r="AE171" s="236" t="s">
        <v>2117</v>
      </c>
      <c r="AF171" s="230"/>
      <c r="AG171" s="288" t="s">
        <v>1602</v>
      </c>
      <c r="AH171" s="180" t="s">
        <v>1794</v>
      </c>
      <c r="AI171" s="238">
        <v>44700</v>
      </c>
      <c r="AJ171" s="227">
        <f>SUM(Q171:AD171)</f>
        <v>335267.35399999999</v>
      </c>
      <c r="AK171" s="275">
        <v>2016</v>
      </c>
      <c r="AL171" s="276"/>
      <c r="AM171" s="227"/>
      <c r="AN171" s="180"/>
      <c r="AO171" s="185" t="s">
        <v>395</v>
      </c>
      <c r="AP171" s="185" t="s">
        <v>395</v>
      </c>
      <c r="AQ171" s="185" t="s">
        <v>395</v>
      </c>
      <c r="AR171" s="180"/>
      <c r="AS171" s="180"/>
      <c r="AT171" s="180"/>
      <c r="AU171" s="185"/>
      <c r="AV171" s="185"/>
      <c r="AW171" s="185"/>
      <c r="AX171" s="180"/>
      <c r="AY171" s="180"/>
      <c r="AZ171" s="217" t="s">
        <v>1870</v>
      </c>
      <c r="BA171" s="180"/>
    </row>
    <row r="172" spans="1:53" x14ac:dyDescent="0.25">
      <c r="A172" s="220"/>
      <c r="B172" s="220"/>
      <c r="C172" s="220"/>
      <c r="D172" s="220"/>
      <c r="E172" s="220"/>
      <c r="F172" s="220"/>
      <c r="G172" s="220"/>
      <c r="H172" s="220"/>
      <c r="I172" s="220"/>
      <c r="J172" s="176"/>
      <c r="K172" s="176"/>
      <c r="L172" s="251"/>
      <c r="M172" s="269"/>
      <c r="N172" s="180"/>
      <c r="O172" s="180"/>
      <c r="P172" s="223"/>
      <c r="Q172" s="224"/>
      <c r="R172" s="224"/>
      <c r="S172" s="224"/>
      <c r="T172" s="224"/>
      <c r="U172" s="224"/>
      <c r="V172" s="224"/>
      <c r="W172" s="224"/>
      <c r="X172" s="224"/>
      <c r="Y172" s="224"/>
      <c r="Z172" s="224"/>
      <c r="AA172" s="224"/>
      <c r="AB172" s="224"/>
      <c r="AC172" s="224"/>
      <c r="AD172" s="224"/>
      <c r="AE172" s="224"/>
      <c r="AF172" s="224"/>
      <c r="AG172" s="288"/>
      <c r="AH172" s="180"/>
      <c r="AI172" s="180"/>
      <c r="AJ172" s="227"/>
      <c r="AK172" s="227"/>
      <c r="AL172" s="227"/>
      <c r="AM172" s="227"/>
      <c r="AN172" s="180"/>
      <c r="AO172" s="180"/>
      <c r="AP172" s="180"/>
      <c r="AQ172" s="180"/>
      <c r="AR172" s="180"/>
      <c r="AS172" s="180"/>
      <c r="AT172" s="180"/>
      <c r="AU172" s="180"/>
      <c r="AV172" s="180"/>
      <c r="AW172" s="180"/>
      <c r="AX172" s="180"/>
      <c r="AY172" s="180"/>
      <c r="AZ172" s="180"/>
      <c r="BA172" s="180"/>
    </row>
    <row r="173" spans="1:53" ht="270" x14ac:dyDescent="0.25">
      <c r="A173" s="254" t="s">
        <v>201</v>
      </c>
      <c r="B173" s="254" t="s">
        <v>1801</v>
      </c>
      <c r="C173" s="254"/>
      <c r="D173" s="254"/>
      <c r="E173" s="254"/>
      <c r="F173" s="254" t="s">
        <v>2058</v>
      </c>
      <c r="G173" s="254" t="s">
        <v>2059</v>
      </c>
      <c r="H173" s="254" t="s">
        <v>2118</v>
      </c>
      <c r="I173" s="254" t="s">
        <v>2119</v>
      </c>
      <c r="J173" s="251">
        <v>0</v>
      </c>
      <c r="K173" s="251" t="s">
        <v>323</v>
      </c>
      <c r="L173" s="251">
        <v>5000</v>
      </c>
      <c r="M173" s="248">
        <f>+'[1]Plan Indicativo Infraestructura'!P70</f>
        <v>1250</v>
      </c>
      <c r="N173" s="180"/>
      <c r="O173" s="180"/>
      <c r="P173" s="257">
        <f>SUM(P174)</f>
        <v>885000</v>
      </c>
      <c r="Q173" s="224">
        <f>SUM(Q174)</f>
        <v>0</v>
      </c>
      <c r="R173" s="224">
        <f t="shared" ref="R173:AD173" si="46">SUM(R174)</f>
        <v>0</v>
      </c>
      <c r="S173" s="224">
        <f t="shared" si="46"/>
        <v>0</v>
      </c>
      <c r="T173" s="224">
        <f t="shared" si="46"/>
        <v>0</v>
      </c>
      <c r="U173" s="224">
        <f t="shared" si="46"/>
        <v>0</v>
      </c>
      <c r="V173" s="224">
        <f t="shared" si="46"/>
        <v>0</v>
      </c>
      <c r="W173" s="224">
        <f t="shared" si="46"/>
        <v>0</v>
      </c>
      <c r="X173" s="224">
        <f t="shared" si="46"/>
        <v>0</v>
      </c>
      <c r="Y173" s="224">
        <f t="shared" si="46"/>
        <v>0</v>
      </c>
      <c r="Z173" s="224">
        <f t="shared" si="46"/>
        <v>885000</v>
      </c>
      <c r="AA173" s="224">
        <f t="shared" si="46"/>
        <v>0</v>
      </c>
      <c r="AB173" s="224">
        <f t="shared" si="46"/>
        <v>0</v>
      </c>
      <c r="AC173" s="224">
        <f t="shared" si="46"/>
        <v>0</v>
      </c>
      <c r="AD173" s="224">
        <f t="shared" si="46"/>
        <v>0</v>
      </c>
      <c r="AE173" s="180"/>
      <c r="AF173" s="180"/>
      <c r="AG173" s="180"/>
      <c r="AH173" s="180"/>
      <c r="AI173" s="257">
        <f>SUM(AI174)</f>
        <v>39741</v>
      </c>
      <c r="AJ173" s="257">
        <f>SUM(AJ174)</f>
        <v>885000</v>
      </c>
      <c r="AK173" s="248">
        <f>SUM(AK174)</f>
        <v>1258</v>
      </c>
      <c r="AL173" s="257"/>
      <c r="AM173" s="257"/>
      <c r="AN173" s="180"/>
      <c r="AO173" s="180"/>
      <c r="AP173" s="180"/>
      <c r="AQ173" s="180"/>
      <c r="AR173" s="180"/>
      <c r="AS173" s="180"/>
      <c r="AT173" s="180"/>
      <c r="AU173" s="180"/>
      <c r="AV173" s="180"/>
      <c r="AW173" s="180"/>
      <c r="AX173" s="180"/>
      <c r="AY173" s="180"/>
      <c r="AZ173" s="180"/>
      <c r="BA173" s="180"/>
    </row>
    <row r="174" spans="1:53" ht="114.75" x14ac:dyDescent="0.25">
      <c r="A174" s="254"/>
      <c r="B174" s="254"/>
      <c r="C174" s="254"/>
      <c r="D174" s="254"/>
      <c r="E174" s="254"/>
      <c r="F174" s="254"/>
      <c r="G174" s="254"/>
      <c r="H174" s="254"/>
      <c r="I174" s="220"/>
      <c r="J174" s="251"/>
      <c r="K174" s="251"/>
      <c r="L174" s="251"/>
      <c r="M174" s="269"/>
      <c r="N174" s="180"/>
      <c r="O174" s="180"/>
      <c r="P174" s="223">
        <f>SUM(Q174:AD174)</f>
        <v>885000</v>
      </c>
      <c r="Q174" s="224"/>
      <c r="R174" s="224"/>
      <c r="S174" s="224"/>
      <c r="T174" s="224"/>
      <c r="U174" s="224"/>
      <c r="V174" s="224"/>
      <c r="W174" s="224"/>
      <c r="X174" s="224"/>
      <c r="Y174" s="224"/>
      <c r="Z174" s="224">
        <v>885000</v>
      </c>
      <c r="AA174" s="224"/>
      <c r="AB174" s="224"/>
      <c r="AC174" s="224"/>
      <c r="AD174" s="224"/>
      <c r="AE174" s="236" t="s">
        <v>2120</v>
      </c>
      <c r="AF174" s="230"/>
      <c r="AG174" s="180" t="s">
        <v>1845</v>
      </c>
      <c r="AH174" s="180" t="s">
        <v>481</v>
      </c>
      <c r="AI174" s="233">
        <v>39741</v>
      </c>
      <c r="AJ174" s="227">
        <f>SUM(Q174:AD174)</f>
        <v>885000</v>
      </c>
      <c r="AK174" s="275">
        <v>1258</v>
      </c>
      <c r="AL174" s="227">
        <v>0</v>
      </c>
      <c r="AM174" s="227"/>
      <c r="AN174" s="180"/>
      <c r="AO174" s="180"/>
      <c r="AP174" s="180"/>
      <c r="AQ174" s="180"/>
      <c r="AR174" s="180"/>
      <c r="AS174" s="180"/>
      <c r="AT174" s="185" t="s">
        <v>395</v>
      </c>
      <c r="AU174" s="185" t="s">
        <v>395</v>
      </c>
      <c r="AV174" s="185" t="s">
        <v>395</v>
      </c>
      <c r="AW174" s="185" t="s">
        <v>395</v>
      </c>
      <c r="AX174" s="185" t="s">
        <v>395</v>
      </c>
      <c r="AY174" s="185" t="s">
        <v>395</v>
      </c>
      <c r="AZ174" s="217" t="s">
        <v>1775</v>
      </c>
      <c r="BA174" s="180"/>
    </row>
    <row r="175" spans="1:53" ht="15.75" x14ac:dyDescent="0.25">
      <c r="A175" s="220"/>
      <c r="B175" s="220"/>
      <c r="C175" s="246"/>
      <c r="D175" s="246"/>
      <c r="E175" s="246"/>
      <c r="F175" s="246"/>
      <c r="G175" s="246"/>
      <c r="H175" s="220"/>
      <c r="I175" s="220"/>
      <c r="J175" s="176"/>
      <c r="K175" s="176"/>
      <c r="L175" s="251"/>
      <c r="M175" s="248"/>
      <c r="N175" s="180"/>
      <c r="O175" s="180"/>
      <c r="P175" s="289">
        <f>+P15+P21+P26+P28+P40+P43+P46+P50+P70+P76+P79+P90+P93+P98+P103+P106+P109+P112+P115+P125+P128+P131+P134+P137+P153+P161+P173</f>
        <v>244605984.7230078</v>
      </c>
      <c r="Q175" s="223">
        <f>+Q15+Q21+Q26+Q28+Q40+Q43+Q46+Q50+Q70+Q76+Q79+Q90+Q93+Q98+Q103+Q106+Q109+Q112+Q115+Q125+Q128+Q131+Q134+Q137+Q153+Q161+Q173</f>
        <v>20966095.348699994</v>
      </c>
      <c r="R175" s="223">
        <f t="shared" ref="R175:AD175" si="47">+R15+R21+R26+R28+R40+R43+R46+R50+R70+R76+R79+R90+R93+R98+R103+R106+R109+R112+R115+R125+R128+R131+R134+R137+R153+R161+R173</f>
        <v>0</v>
      </c>
      <c r="S175" s="223">
        <f t="shared" si="47"/>
        <v>0</v>
      </c>
      <c r="T175" s="223">
        <f t="shared" si="47"/>
        <v>0</v>
      </c>
      <c r="U175" s="223">
        <f t="shared" si="47"/>
        <v>26792872.914000001</v>
      </c>
      <c r="V175" s="223">
        <f t="shared" si="47"/>
        <v>37206804.530000001</v>
      </c>
      <c r="W175" s="223">
        <f t="shared" si="47"/>
        <v>0</v>
      </c>
      <c r="X175" s="223">
        <f t="shared" si="47"/>
        <v>0</v>
      </c>
      <c r="Y175" s="223">
        <f t="shared" si="47"/>
        <v>0</v>
      </c>
      <c r="Z175" s="223">
        <f t="shared" si="47"/>
        <v>57435120.326433443</v>
      </c>
      <c r="AA175" s="223">
        <f t="shared" si="47"/>
        <v>2828281.1666666698</v>
      </c>
      <c r="AB175" s="223">
        <f t="shared" si="47"/>
        <v>89812.796999999991</v>
      </c>
      <c r="AC175" s="223">
        <f t="shared" si="47"/>
        <v>222182.74610000002</v>
      </c>
      <c r="AD175" s="223">
        <f t="shared" si="47"/>
        <v>99064814.89410764</v>
      </c>
      <c r="AE175" s="224"/>
      <c r="AF175" s="224"/>
      <c r="AG175" s="288"/>
      <c r="AH175" s="180"/>
      <c r="AI175" s="180"/>
      <c r="AJ175" s="289">
        <f>+AJ15+AJ21+AJ26+AJ28+AJ40+AJ43+AJ46+AJ50+AJ70+AJ76+AJ79+AJ90+AJ93+AJ98+AJ103+AJ106+AJ109+AJ112+AJ115+AJ125+AJ128+AJ131+AJ134+AJ137+AJ153+AJ161+AJ173</f>
        <v>244605984.7230078</v>
      </c>
      <c r="AK175" s="227"/>
      <c r="AL175" s="227"/>
      <c r="AM175" s="227"/>
      <c r="AN175" s="180"/>
      <c r="AO175" s="180"/>
      <c r="AP175" s="180"/>
      <c r="AQ175" s="180"/>
      <c r="AR175" s="180"/>
      <c r="AS175" s="180"/>
      <c r="AT175" s="180"/>
      <c r="AU175" s="180"/>
      <c r="AV175" s="180"/>
      <c r="AW175" s="180"/>
      <c r="AX175" s="180"/>
      <c r="AY175" s="180"/>
      <c r="AZ175" s="180"/>
      <c r="BA175" s="180"/>
    </row>
    <row r="176" spans="1:53" x14ac:dyDescent="0.25">
      <c r="A176" s="127"/>
      <c r="B176" s="127"/>
      <c r="C176" s="127"/>
      <c r="D176" s="127"/>
      <c r="E176" s="127"/>
      <c r="F176" s="127"/>
      <c r="G176" s="127"/>
      <c r="H176" s="127"/>
      <c r="I176" s="127"/>
      <c r="J176" s="127"/>
      <c r="K176" s="127"/>
      <c r="L176" s="127"/>
      <c r="M176" s="201"/>
      <c r="N176" s="130"/>
      <c r="O176" s="130"/>
      <c r="P176" s="239"/>
      <c r="Q176" s="239"/>
      <c r="R176" s="239"/>
      <c r="S176" s="239"/>
      <c r="T176" s="239"/>
      <c r="U176" s="239"/>
      <c r="V176" s="239"/>
      <c r="W176" s="239"/>
      <c r="X176" s="239"/>
      <c r="Y176" s="239"/>
      <c r="Z176" s="239"/>
      <c r="AA176" s="239"/>
      <c r="AB176" s="239"/>
      <c r="AC176" s="239"/>
      <c r="AD176" s="239"/>
      <c r="AE176" s="130"/>
      <c r="AF176" s="130"/>
      <c r="AG176" s="130"/>
      <c r="AH176" s="130"/>
      <c r="AI176" s="130"/>
      <c r="AJ176" s="130"/>
      <c r="AK176" s="130"/>
      <c r="AL176" s="202"/>
      <c r="AM176" s="202"/>
      <c r="AN176" s="130"/>
      <c r="AO176" s="130"/>
      <c r="AP176" s="130"/>
      <c r="AQ176" s="130"/>
      <c r="AR176" s="130"/>
      <c r="AS176" s="130"/>
      <c r="AT176" s="130"/>
      <c r="AU176" s="130"/>
      <c r="AV176" s="130"/>
      <c r="AW176" s="130"/>
      <c r="AX176" s="130"/>
      <c r="AY176" s="130"/>
      <c r="AZ176" s="130"/>
      <c r="BA176" s="130"/>
    </row>
    <row r="177" spans="1:53" x14ac:dyDescent="0.25">
      <c r="A177" s="127"/>
      <c r="B177" s="127"/>
      <c r="C177" s="127"/>
      <c r="D177" s="127"/>
      <c r="E177" s="127"/>
      <c r="F177" s="127"/>
      <c r="G177" s="127"/>
      <c r="H177" s="127"/>
      <c r="I177" s="127"/>
      <c r="J177" s="127"/>
      <c r="K177" s="127"/>
      <c r="L177" s="127"/>
      <c r="M177" s="201"/>
      <c r="N177" s="130"/>
      <c r="O177" s="130"/>
      <c r="P177" s="239"/>
      <c r="Q177" s="239"/>
      <c r="R177" s="239"/>
      <c r="S177" s="239"/>
      <c r="T177" s="239"/>
      <c r="U177" s="239"/>
      <c r="V177" s="239"/>
      <c r="W177" s="239"/>
      <c r="X177" s="239"/>
      <c r="Y177" s="239"/>
      <c r="Z177" s="239"/>
      <c r="AA177" s="239"/>
      <c r="AB177" s="239"/>
      <c r="AC177" s="239"/>
      <c r="AD177" s="239"/>
      <c r="AE177" s="130"/>
      <c r="AF177" s="130"/>
      <c r="AG177" s="130"/>
      <c r="AH177" s="130"/>
      <c r="AI177" s="130"/>
      <c r="AJ177" s="130"/>
      <c r="AK177" s="130"/>
      <c r="AL177" s="202"/>
      <c r="AM177" s="202"/>
      <c r="AN177" s="130"/>
      <c r="AO177" s="130"/>
      <c r="AP177" s="130"/>
      <c r="AQ177" s="130"/>
      <c r="AR177" s="130"/>
      <c r="AS177" s="130"/>
      <c r="AT177" s="130"/>
      <c r="AU177" s="130"/>
      <c r="AV177" s="130"/>
      <c r="AW177" s="130"/>
      <c r="AX177" s="130"/>
      <c r="AY177" s="130"/>
      <c r="AZ177" s="130"/>
      <c r="BA177" s="130"/>
    </row>
    <row r="178" spans="1:53" x14ac:dyDescent="0.25">
      <c r="A178" s="205" t="s">
        <v>2121</v>
      </c>
      <c r="B178" s="205"/>
      <c r="C178" s="127"/>
      <c r="D178" s="127"/>
      <c r="E178" s="127"/>
      <c r="F178" s="127"/>
      <c r="G178" s="127"/>
      <c r="H178" s="127"/>
      <c r="I178" s="127"/>
      <c r="J178" s="127"/>
      <c r="K178" s="127"/>
      <c r="L178" s="127"/>
      <c r="M178" s="201"/>
      <c r="N178" s="130"/>
      <c r="O178" s="130"/>
      <c r="P178" s="239"/>
      <c r="Q178" s="239"/>
      <c r="R178" s="239"/>
      <c r="S178" s="239"/>
      <c r="T178" s="239"/>
      <c r="U178" s="239"/>
      <c r="V178" s="239"/>
      <c r="W178" s="239"/>
      <c r="X178" s="239"/>
      <c r="Y178" s="239"/>
      <c r="Z178" s="239"/>
      <c r="AA178" s="239"/>
      <c r="AB178" s="239"/>
      <c r="AC178" s="239"/>
      <c r="AD178" s="239"/>
      <c r="AE178" s="130"/>
      <c r="AF178" s="130"/>
      <c r="AG178" s="130"/>
      <c r="AH178" s="130"/>
      <c r="AI178" s="130"/>
      <c r="AJ178" s="130"/>
      <c r="AK178" s="130"/>
      <c r="AL178" s="202"/>
      <c r="AM178" s="202"/>
      <c r="AN178" s="130"/>
      <c r="AO178" s="130"/>
      <c r="AP178" s="130"/>
      <c r="AQ178" s="130"/>
      <c r="AR178" s="130"/>
      <c r="AS178" s="130"/>
      <c r="AT178" s="130"/>
      <c r="AU178" s="130"/>
      <c r="AV178" s="130"/>
      <c r="AW178" s="130"/>
      <c r="AX178" s="130"/>
      <c r="AY178" s="130"/>
      <c r="AZ178" s="130"/>
      <c r="BA178" s="130"/>
    </row>
    <row r="179" spans="1:53" x14ac:dyDescent="0.25">
      <c r="A179" s="205" t="s">
        <v>312</v>
      </c>
      <c r="B179" s="240" t="s">
        <v>2122</v>
      </c>
      <c r="C179" s="127"/>
      <c r="D179" s="127"/>
      <c r="E179" s="127"/>
      <c r="F179" s="127"/>
      <c r="G179" s="127"/>
      <c r="H179" s="127"/>
      <c r="I179" s="127"/>
      <c r="J179" s="127"/>
      <c r="K179" s="127"/>
      <c r="L179" s="127"/>
      <c r="M179" s="201"/>
      <c r="N179" s="130"/>
      <c r="O179" s="130"/>
      <c r="P179" s="239"/>
      <c r="Q179" s="239"/>
      <c r="R179" s="239"/>
      <c r="S179" s="239"/>
      <c r="T179" s="239"/>
      <c r="U179" s="239"/>
      <c r="V179" s="239"/>
      <c r="W179" s="239"/>
      <c r="X179" s="239"/>
      <c r="Y179" s="239"/>
      <c r="Z179" s="239"/>
      <c r="AA179" s="239"/>
      <c r="AB179" s="239"/>
      <c r="AC179" s="239"/>
      <c r="AD179" s="239"/>
      <c r="AE179" s="130"/>
      <c r="AF179" s="130"/>
      <c r="AG179" s="130"/>
      <c r="AH179" s="130"/>
      <c r="AI179" s="130"/>
      <c r="AJ179" s="130"/>
      <c r="AK179" s="130"/>
      <c r="AL179" s="202"/>
      <c r="AM179" s="202"/>
      <c r="AN179" s="130"/>
      <c r="AO179" s="130"/>
      <c r="AP179" s="130"/>
      <c r="AQ179" s="130"/>
      <c r="AR179" s="130"/>
      <c r="AS179" s="130"/>
      <c r="AT179" s="130"/>
      <c r="AU179" s="130"/>
      <c r="AV179" s="130"/>
      <c r="AW179" s="130"/>
      <c r="AX179" s="130"/>
      <c r="AY179" s="130"/>
      <c r="AZ179" s="130"/>
      <c r="BA179" s="130"/>
    </row>
    <row r="180" spans="1:53" x14ac:dyDescent="0.25">
      <c r="A180" s="205" t="s">
        <v>313</v>
      </c>
      <c r="B180" s="205" t="s">
        <v>2123</v>
      </c>
      <c r="C180" s="127"/>
      <c r="D180" s="127"/>
      <c r="E180" s="127"/>
      <c r="F180" s="127"/>
      <c r="G180" s="127"/>
      <c r="H180" s="127"/>
      <c r="I180" s="127"/>
      <c r="J180" s="127"/>
      <c r="K180" s="127"/>
      <c r="L180" s="127"/>
      <c r="M180" s="201"/>
      <c r="N180" s="130"/>
      <c r="O180" s="130"/>
      <c r="P180" s="239"/>
      <c r="Q180" s="239"/>
      <c r="R180" s="239"/>
      <c r="S180" s="239"/>
      <c r="T180" s="239"/>
      <c r="U180" s="239"/>
      <c r="V180" s="239"/>
      <c r="W180" s="239"/>
      <c r="X180" s="239"/>
      <c r="Y180" s="239"/>
      <c r="Z180" s="239"/>
      <c r="AA180" s="239"/>
      <c r="AB180" s="239"/>
      <c r="AC180" s="239"/>
      <c r="AD180" s="239"/>
      <c r="AE180" s="130"/>
      <c r="AF180" s="130"/>
      <c r="AG180" s="130"/>
      <c r="AH180" s="130"/>
      <c r="AI180" s="130"/>
      <c r="AJ180" s="130"/>
      <c r="AK180" s="130"/>
      <c r="AL180" s="202"/>
      <c r="AM180" s="202"/>
      <c r="AN180" s="130"/>
      <c r="AO180" s="130"/>
      <c r="AP180" s="130"/>
      <c r="AQ180" s="130"/>
      <c r="AR180" s="130"/>
      <c r="AS180" s="130"/>
      <c r="AT180" s="130"/>
      <c r="AU180" s="130"/>
      <c r="AV180" s="130"/>
      <c r="AW180" s="130"/>
      <c r="AX180" s="130"/>
      <c r="AY180" s="130"/>
      <c r="AZ180" s="130"/>
      <c r="BA180" s="130"/>
    </row>
    <row r="181" spans="1:53" x14ac:dyDescent="0.25">
      <c r="A181" s="205"/>
      <c r="B181" s="205"/>
      <c r="C181" s="127"/>
      <c r="D181" s="127"/>
      <c r="E181" s="127"/>
      <c r="F181" s="127"/>
      <c r="G181" s="127"/>
      <c r="H181" s="127"/>
      <c r="I181" s="127"/>
      <c r="J181" s="127"/>
      <c r="K181" s="127"/>
      <c r="L181" s="127"/>
      <c r="M181" s="201"/>
      <c r="N181" s="130"/>
      <c r="O181" s="130"/>
      <c r="P181" s="239"/>
      <c r="Q181" s="239"/>
      <c r="R181" s="239"/>
      <c r="S181" s="239"/>
      <c r="T181" s="239"/>
      <c r="U181" s="239"/>
      <c r="V181" s="239"/>
      <c r="W181" s="239"/>
      <c r="X181" s="239"/>
      <c r="Y181" s="239"/>
      <c r="Z181" s="239"/>
      <c r="AA181" s="239"/>
      <c r="AB181" s="239"/>
      <c r="AC181" s="239"/>
      <c r="AD181" s="239"/>
      <c r="AE181" s="130"/>
      <c r="AF181" s="130"/>
      <c r="AG181" s="130"/>
      <c r="AH181" s="130"/>
      <c r="AI181" s="130"/>
      <c r="AJ181" s="130"/>
      <c r="AK181" s="130"/>
      <c r="AL181" s="202"/>
      <c r="AM181" s="202"/>
      <c r="AN181" s="130"/>
      <c r="AO181" s="130"/>
      <c r="AP181" s="130"/>
      <c r="AQ181" s="130"/>
      <c r="AR181" s="130"/>
      <c r="AS181" s="130"/>
      <c r="AT181" s="130"/>
      <c r="AU181" s="130"/>
      <c r="AV181" s="130"/>
      <c r="AW181" s="130"/>
      <c r="AX181" s="130"/>
      <c r="AY181" s="130"/>
      <c r="AZ181" s="130"/>
      <c r="BA181" s="130"/>
    </row>
    <row r="182" spans="1:53" x14ac:dyDescent="0.25">
      <c r="A182" s="205"/>
      <c r="B182" s="205"/>
      <c r="C182" s="127"/>
      <c r="D182" s="127"/>
      <c r="E182" s="127"/>
      <c r="F182" s="127"/>
      <c r="G182" s="127"/>
      <c r="H182" s="127"/>
      <c r="I182" s="127"/>
      <c r="J182" s="127"/>
      <c r="K182" s="127"/>
      <c r="L182" s="127"/>
      <c r="M182" s="201"/>
      <c r="N182" s="130"/>
      <c r="O182" s="130"/>
      <c r="P182" s="239"/>
      <c r="Q182" s="239"/>
      <c r="R182" s="239"/>
      <c r="S182" s="239"/>
      <c r="T182" s="239"/>
      <c r="U182" s="239"/>
      <c r="V182" s="239"/>
      <c r="W182" s="239"/>
      <c r="X182" s="239"/>
      <c r="Y182" s="239"/>
      <c r="Z182" s="239"/>
      <c r="AA182" s="239"/>
      <c r="AB182" s="239"/>
      <c r="AC182" s="239"/>
      <c r="AD182" s="239"/>
      <c r="AE182" s="130"/>
      <c r="AF182" s="130"/>
      <c r="AG182" s="130"/>
      <c r="AH182" s="130"/>
      <c r="AI182" s="130"/>
      <c r="AJ182" s="130"/>
      <c r="AK182" s="130"/>
      <c r="AL182" s="202"/>
      <c r="AM182" s="202"/>
      <c r="AN182" s="130"/>
      <c r="AO182" s="130"/>
      <c r="AP182" s="130"/>
      <c r="AQ182" s="130"/>
      <c r="AR182" s="130"/>
      <c r="AS182" s="130"/>
      <c r="AT182" s="130"/>
      <c r="AU182" s="130"/>
      <c r="AV182" s="130"/>
      <c r="AW182" s="130"/>
      <c r="AX182" s="130"/>
      <c r="AY182" s="130"/>
      <c r="AZ182" s="130"/>
      <c r="BA182" s="130"/>
    </row>
    <row r="183" spans="1:53" x14ac:dyDescent="0.25">
      <c r="A183" s="205" t="s">
        <v>311</v>
      </c>
      <c r="B183" s="205"/>
      <c r="C183" s="241"/>
      <c r="D183" s="241"/>
      <c r="E183" s="127"/>
      <c r="F183" s="127"/>
      <c r="G183" s="127"/>
      <c r="H183" s="127"/>
      <c r="I183" s="127"/>
      <c r="J183" s="127"/>
      <c r="K183" s="127"/>
      <c r="L183" s="127"/>
      <c r="M183" s="201"/>
      <c r="N183" s="130"/>
      <c r="O183" s="130"/>
      <c r="P183" s="239"/>
      <c r="Q183" s="239"/>
      <c r="R183" s="239"/>
      <c r="S183" s="239"/>
      <c r="T183" s="239"/>
      <c r="U183" s="239"/>
      <c r="V183" s="239"/>
      <c r="W183" s="239"/>
      <c r="X183" s="239"/>
      <c r="Y183" s="239"/>
      <c r="Z183" s="239"/>
      <c r="AA183" s="239"/>
      <c r="AB183" s="239"/>
      <c r="AC183" s="239"/>
      <c r="AD183" s="239"/>
      <c r="AE183" s="130"/>
      <c r="AF183" s="130"/>
      <c r="AG183" s="130"/>
      <c r="AH183" s="130"/>
      <c r="AI183" s="130"/>
      <c r="AJ183" s="130"/>
      <c r="AK183" s="130"/>
      <c r="AL183" s="202"/>
      <c r="AM183" s="202"/>
      <c r="AN183" s="130"/>
      <c r="AO183" s="130"/>
      <c r="AP183" s="130"/>
      <c r="AQ183" s="130"/>
      <c r="AR183" s="130"/>
      <c r="AS183" s="130"/>
      <c r="AT183" s="130"/>
      <c r="AU183" s="130"/>
      <c r="AV183" s="130"/>
      <c r="AW183" s="130"/>
      <c r="AX183" s="130"/>
      <c r="AY183" s="130"/>
      <c r="AZ183" s="130"/>
      <c r="BA183" s="130"/>
    </row>
    <row r="184" spans="1:53" x14ac:dyDescent="0.25">
      <c r="A184" s="205" t="s">
        <v>312</v>
      </c>
      <c r="B184" s="240" t="s">
        <v>2124</v>
      </c>
      <c r="C184" s="836"/>
      <c r="D184" s="836"/>
      <c r="E184" s="127"/>
      <c r="F184" s="127"/>
      <c r="G184" s="127"/>
      <c r="H184" s="127"/>
      <c r="I184" s="127"/>
      <c r="J184" s="127"/>
      <c r="K184" s="127"/>
      <c r="L184" s="127"/>
      <c r="M184" s="201"/>
      <c r="N184" s="130"/>
      <c r="O184" s="130"/>
      <c r="P184" s="239"/>
      <c r="Q184" s="239"/>
      <c r="R184" s="239"/>
      <c r="S184" s="239"/>
      <c r="T184" s="239"/>
      <c r="U184" s="239"/>
      <c r="V184" s="239"/>
      <c r="W184" s="239"/>
      <c r="X184" s="239"/>
      <c r="Y184" s="239"/>
      <c r="Z184" s="239"/>
      <c r="AA184" s="239"/>
      <c r="AB184" s="239"/>
      <c r="AC184" s="239"/>
      <c r="AD184" s="239"/>
      <c r="AE184" s="130"/>
      <c r="AF184" s="130"/>
      <c r="AG184" s="130"/>
      <c r="AH184" s="130"/>
      <c r="AI184" s="130"/>
      <c r="AJ184" s="130"/>
      <c r="AK184" s="130"/>
      <c r="AL184" s="202"/>
      <c r="AM184" s="202"/>
      <c r="AN184" s="130"/>
      <c r="AO184" s="130"/>
      <c r="AP184" s="130"/>
      <c r="AQ184" s="130"/>
      <c r="AR184" s="130"/>
      <c r="AS184" s="130"/>
      <c r="AT184" s="130"/>
      <c r="AU184" s="130"/>
      <c r="AV184" s="130"/>
      <c r="AW184" s="130"/>
      <c r="AX184" s="130"/>
      <c r="AY184" s="130"/>
      <c r="AZ184" s="130"/>
      <c r="BA184" s="130"/>
    </row>
  </sheetData>
  <sheetProtection password="C71C" sheet="1" objects="1" scenarios="1"/>
  <mergeCells count="40">
    <mergeCell ref="C184:D184"/>
    <mergeCell ref="AZ13:AZ14"/>
    <mergeCell ref="BA13:BA14"/>
    <mergeCell ref="F103:F104"/>
    <mergeCell ref="G103:G104"/>
    <mergeCell ref="H103:H104"/>
    <mergeCell ref="I103:I104"/>
    <mergeCell ref="J103:J104"/>
    <mergeCell ref="K103:K104"/>
    <mergeCell ref="L103:L104"/>
    <mergeCell ref="AG13:AG14"/>
    <mergeCell ref="AH13:AH14"/>
    <mergeCell ref="AI13:AI14"/>
    <mergeCell ref="AJ13:AJ14"/>
    <mergeCell ref="AK13:AK14"/>
    <mergeCell ref="AN13:AY13"/>
    <mergeCell ref="AF13:AF14"/>
    <mergeCell ref="G13:G14"/>
    <mergeCell ref="H13:H14"/>
    <mergeCell ref="I13:I14"/>
    <mergeCell ref="J13:J14"/>
    <mergeCell ref="K13:K14"/>
    <mergeCell ref="L13:L14"/>
    <mergeCell ref="M13:M14"/>
    <mergeCell ref="N13:O13"/>
    <mergeCell ref="P13:P14"/>
    <mergeCell ref="Q13:AD13"/>
    <mergeCell ref="AE13:AE14"/>
    <mergeCell ref="F13:F14"/>
    <mergeCell ref="A2:L2"/>
    <mergeCell ref="A3:L3"/>
    <mergeCell ref="A5:L5"/>
    <mergeCell ref="A6:L6"/>
    <mergeCell ref="A9:N9"/>
    <mergeCell ref="A11:N11"/>
    <mergeCell ref="A13:A14"/>
    <mergeCell ref="B13:B14"/>
    <mergeCell ref="C13:C14"/>
    <mergeCell ref="D13:D14"/>
    <mergeCell ref="E13:E1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4"/>
  <sheetViews>
    <sheetView zoomScale="70" zoomScaleNormal="70" workbookViewId="0">
      <selection activeCell="K13" sqref="K13"/>
    </sheetView>
  </sheetViews>
  <sheetFormatPr baseColWidth="10" defaultRowHeight="15" x14ac:dyDescent="0.25"/>
  <cols>
    <col min="2" max="2" width="18.140625" customWidth="1"/>
    <col min="3" max="3" width="16.7109375" customWidth="1"/>
    <col min="4" max="4" width="15.7109375" customWidth="1"/>
    <col min="5" max="5" width="11.5703125" bestFit="1" customWidth="1"/>
    <col min="10" max="10" width="11.7109375" bestFit="1" customWidth="1"/>
    <col min="11" max="13" width="11.5703125" bestFit="1" customWidth="1"/>
    <col min="15" max="16" width="11.5703125" bestFit="1" customWidth="1"/>
    <col min="20" max="20" width="11.5703125" bestFit="1" customWidth="1"/>
    <col min="26" max="26" width="11.5703125" bestFit="1" customWidth="1"/>
    <col min="30" max="30" width="11.5703125" bestFit="1" customWidth="1"/>
    <col min="34" max="34" width="11.5703125" bestFit="1" customWidth="1"/>
    <col min="35" max="35" width="12.140625" bestFit="1" customWidth="1"/>
    <col min="36" max="36" width="12.28515625" bestFit="1" customWidth="1"/>
    <col min="38" max="49" width="4.7109375" customWidth="1"/>
  </cols>
  <sheetData>
    <row r="1" spans="1:51"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x14ac:dyDescent="0.25">
      <c r="A2" s="843" t="s">
        <v>0</v>
      </c>
      <c r="B2" s="843"/>
      <c r="C2" s="843"/>
      <c r="D2" s="843"/>
      <c r="E2" s="843"/>
      <c r="F2" s="843"/>
      <c r="G2" s="843"/>
      <c r="H2" s="843"/>
      <c r="I2" s="843"/>
      <c r="J2" s="843"/>
      <c r="K2" s="843"/>
      <c r="L2" s="843"/>
      <c r="M2" s="291"/>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row>
    <row r="3" spans="1:51" x14ac:dyDescent="0.25">
      <c r="A3" s="844" t="s">
        <v>1</v>
      </c>
      <c r="B3" s="844"/>
      <c r="C3" s="844"/>
      <c r="D3" s="844"/>
      <c r="E3" s="844"/>
      <c r="F3" s="844"/>
      <c r="G3" s="844"/>
      <c r="H3" s="844"/>
      <c r="I3" s="844"/>
      <c r="J3" s="844"/>
      <c r="K3" s="844"/>
      <c r="L3" s="844"/>
      <c r="M3" s="291"/>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row>
    <row r="4" spans="1:51" x14ac:dyDescent="0.25">
      <c r="A4" s="843" t="s">
        <v>2</v>
      </c>
      <c r="B4" s="843"/>
      <c r="C4" s="843"/>
      <c r="D4" s="843"/>
      <c r="E4" s="843"/>
      <c r="F4" s="843"/>
      <c r="G4" s="843"/>
      <c r="H4" s="843"/>
      <c r="I4" s="843"/>
      <c r="J4" s="843"/>
      <c r="K4" s="843"/>
      <c r="L4" s="843"/>
      <c r="M4" s="291"/>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row>
    <row r="5" spans="1:51" x14ac:dyDescent="0.25">
      <c r="A5" s="845" t="s">
        <v>2125</v>
      </c>
      <c r="B5" s="845"/>
      <c r="C5" s="845"/>
      <c r="D5" s="845"/>
      <c r="E5" s="845"/>
      <c r="F5" s="845"/>
      <c r="G5" s="845"/>
      <c r="H5" s="845"/>
      <c r="I5" s="845"/>
      <c r="J5" s="845"/>
      <c r="K5" s="845"/>
      <c r="L5" s="845"/>
      <c r="M5" s="291"/>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row>
    <row r="6" spans="1:51" x14ac:dyDescent="0.25">
      <c r="A6" s="293"/>
      <c r="B6" s="293"/>
      <c r="C6" s="293"/>
      <c r="D6" s="293"/>
      <c r="E6" s="293"/>
      <c r="F6" s="293"/>
      <c r="G6" s="293"/>
      <c r="H6" s="293"/>
      <c r="I6" s="293"/>
      <c r="J6" s="293"/>
      <c r="K6" s="293"/>
      <c r="L6" s="293"/>
      <c r="M6" s="291"/>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row>
    <row r="7" spans="1:51" x14ac:dyDescent="0.25">
      <c r="A7" s="846" t="s">
        <v>2512</v>
      </c>
      <c r="B7" s="846"/>
      <c r="C7" s="846"/>
      <c r="D7" s="846"/>
      <c r="E7" s="846"/>
      <c r="F7" s="846"/>
      <c r="G7" s="846"/>
      <c r="H7" s="846"/>
      <c r="I7" s="846"/>
      <c r="J7" s="846"/>
      <c r="K7" s="846"/>
      <c r="L7" s="846"/>
      <c r="M7" s="846"/>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row>
    <row r="8" spans="1:51" x14ac:dyDescent="0.25">
      <c r="A8" s="294"/>
      <c r="B8" s="294"/>
      <c r="C8" s="294"/>
      <c r="D8" s="294"/>
      <c r="E8" s="294"/>
      <c r="F8" s="293"/>
      <c r="G8" s="293"/>
      <c r="H8" s="293"/>
      <c r="I8" s="293"/>
      <c r="J8" s="293"/>
      <c r="K8" s="293"/>
      <c r="L8" s="293"/>
      <c r="M8" s="293"/>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row>
    <row r="9" spans="1:51" x14ac:dyDescent="0.25">
      <c r="A9" s="295"/>
      <c r="B9" s="295"/>
      <c r="C9" s="295"/>
      <c r="D9" s="295"/>
      <c r="E9" s="295"/>
      <c r="F9" s="295"/>
      <c r="G9" s="295"/>
      <c r="H9" s="295"/>
      <c r="I9" s="295"/>
      <c r="J9" s="295"/>
      <c r="K9" s="296"/>
      <c r="L9" s="296"/>
      <c r="M9" s="297"/>
      <c r="N9" s="297"/>
      <c r="O9" s="298"/>
      <c r="P9" s="299"/>
      <c r="Q9" s="292"/>
      <c r="R9" s="292"/>
      <c r="S9" s="292"/>
      <c r="T9" s="292"/>
      <c r="U9" s="292"/>
      <c r="V9" s="292"/>
      <c r="W9" s="292"/>
      <c r="X9" s="292"/>
      <c r="Y9" s="292"/>
      <c r="Z9" s="292"/>
      <c r="AA9" s="292"/>
      <c r="AB9" s="292"/>
      <c r="AC9" s="292"/>
      <c r="AD9" s="370"/>
      <c r="AE9" s="292"/>
      <c r="AF9" s="292"/>
      <c r="AG9" s="292"/>
      <c r="AH9" s="292"/>
      <c r="AI9" s="292"/>
      <c r="AJ9" s="292"/>
      <c r="AK9" s="292"/>
      <c r="AL9" s="292"/>
      <c r="AM9" s="292"/>
      <c r="AN9" s="292"/>
      <c r="AO9" s="292"/>
      <c r="AP9" s="292"/>
      <c r="AQ9" s="292"/>
      <c r="AR9" s="292"/>
      <c r="AS9" s="292"/>
      <c r="AT9" s="292"/>
      <c r="AU9" s="292"/>
      <c r="AV9" s="292"/>
      <c r="AW9" s="292"/>
      <c r="AX9" s="292"/>
      <c r="AY9" s="292"/>
    </row>
    <row r="10" spans="1:51" ht="33" customHeight="1" x14ac:dyDescent="0.25">
      <c r="A10" s="847" t="s">
        <v>3</v>
      </c>
      <c r="B10" s="847" t="s">
        <v>4</v>
      </c>
      <c r="C10" s="850" t="s">
        <v>5</v>
      </c>
      <c r="D10" s="842" t="s">
        <v>6</v>
      </c>
      <c r="E10" s="842" t="s">
        <v>7</v>
      </c>
      <c r="F10" s="842" t="s">
        <v>8</v>
      </c>
      <c r="G10" s="842" t="s">
        <v>9</v>
      </c>
      <c r="H10" s="842" t="s">
        <v>2126</v>
      </c>
      <c r="I10" s="842" t="s">
        <v>11</v>
      </c>
      <c r="J10" s="842" t="s">
        <v>12</v>
      </c>
      <c r="K10" s="842" t="s">
        <v>13</v>
      </c>
      <c r="L10" s="842" t="s">
        <v>617</v>
      </c>
      <c r="M10" s="853" t="s">
        <v>325</v>
      </c>
      <c r="N10" s="853" t="s">
        <v>11</v>
      </c>
      <c r="O10" s="853"/>
      <c r="P10" s="853" t="s">
        <v>326</v>
      </c>
      <c r="Q10" s="853" t="s">
        <v>15</v>
      </c>
      <c r="R10" s="853"/>
      <c r="S10" s="853"/>
      <c r="T10" s="853"/>
      <c r="U10" s="853"/>
      <c r="V10" s="853"/>
      <c r="W10" s="853"/>
      <c r="X10" s="853"/>
      <c r="Y10" s="853"/>
      <c r="Z10" s="853"/>
      <c r="AA10" s="853"/>
      <c r="AB10" s="853"/>
      <c r="AC10" s="853"/>
      <c r="AD10" s="853"/>
      <c r="AE10" s="853" t="s">
        <v>16</v>
      </c>
      <c r="AF10" s="855" t="s">
        <v>17</v>
      </c>
      <c r="AG10" s="855" t="s">
        <v>18</v>
      </c>
      <c r="AH10" s="855" t="s">
        <v>19</v>
      </c>
      <c r="AI10" s="855" t="s">
        <v>619</v>
      </c>
      <c r="AJ10" s="855" t="s">
        <v>568</v>
      </c>
      <c r="AK10" s="855" t="s">
        <v>21</v>
      </c>
      <c r="AL10" s="854" t="s">
        <v>22</v>
      </c>
      <c r="AM10" s="854"/>
      <c r="AN10" s="854"/>
      <c r="AO10" s="854"/>
      <c r="AP10" s="854"/>
      <c r="AQ10" s="854"/>
      <c r="AR10" s="854"/>
      <c r="AS10" s="854"/>
      <c r="AT10" s="854"/>
      <c r="AU10" s="854"/>
      <c r="AV10" s="854"/>
      <c r="AW10" s="854"/>
      <c r="AX10" s="854" t="s">
        <v>23</v>
      </c>
      <c r="AY10" s="854" t="s">
        <v>24</v>
      </c>
    </row>
    <row r="11" spans="1:51" ht="38.25" customHeight="1" x14ac:dyDescent="0.25">
      <c r="A11" s="848"/>
      <c r="B11" s="848"/>
      <c r="C11" s="851"/>
      <c r="D11" s="842"/>
      <c r="E11" s="842"/>
      <c r="F11" s="842"/>
      <c r="G11" s="842"/>
      <c r="H11" s="842"/>
      <c r="I11" s="842"/>
      <c r="J11" s="842"/>
      <c r="K11" s="842"/>
      <c r="L11" s="842"/>
      <c r="M11" s="853"/>
      <c r="N11" s="853" t="s">
        <v>25</v>
      </c>
      <c r="O11" s="853" t="s">
        <v>2127</v>
      </c>
      <c r="P11" s="853"/>
      <c r="Q11" s="855" t="s">
        <v>27</v>
      </c>
      <c r="R11" s="855" t="s">
        <v>28</v>
      </c>
      <c r="S11" s="855" t="s">
        <v>29</v>
      </c>
      <c r="T11" s="855" t="s">
        <v>623</v>
      </c>
      <c r="U11" s="855" t="s">
        <v>30</v>
      </c>
      <c r="V11" s="855" t="s">
        <v>1449</v>
      </c>
      <c r="W11" s="855" t="s">
        <v>1450</v>
      </c>
      <c r="X11" s="855" t="s">
        <v>33</v>
      </c>
      <c r="Y11" s="855" t="s">
        <v>34</v>
      </c>
      <c r="Z11" s="855" t="s">
        <v>35</v>
      </c>
      <c r="AA11" s="855" t="s">
        <v>36</v>
      </c>
      <c r="AB11" s="855" t="s">
        <v>37</v>
      </c>
      <c r="AC11" s="855" t="s">
        <v>38</v>
      </c>
      <c r="AD11" s="855" t="s">
        <v>39</v>
      </c>
      <c r="AE11" s="853"/>
      <c r="AF11" s="855"/>
      <c r="AG11" s="855"/>
      <c r="AH11" s="855"/>
      <c r="AI11" s="855"/>
      <c r="AJ11" s="855"/>
      <c r="AK11" s="855"/>
      <c r="AL11" s="854" t="s">
        <v>40</v>
      </c>
      <c r="AM11" s="854" t="s">
        <v>41</v>
      </c>
      <c r="AN11" s="854" t="s">
        <v>42</v>
      </c>
      <c r="AO11" s="854" t="s">
        <v>43</v>
      </c>
      <c r="AP11" s="854" t="s">
        <v>42</v>
      </c>
      <c r="AQ11" s="854" t="s">
        <v>44</v>
      </c>
      <c r="AR11" s="854" t="s">
        <v>44</v>
      </c>
      <c r="AS11" s="854" t="s">
        <v>43</v>
      </c>
      <c r="AT11" s="854" t="s">
        <v>45</v>
      </c>
      <c r="AU11" s="854" t="s">
        <v>46</v>
      </c>
      <c r="AV11" s="854" t="s">
        <v>47</v>
      </c>
      <c r="AW11" s="854" t="s">
        <v>48</v>
      </c>
      <c r="AX11" s="854"/>
      <c r="AY11" s="854"/>
    </row>
    <row r="12" spans="1:51" ht="45.75" customHeight="1" x14ac:dyDescent="0.25">
      <c r="A12" s="849"/>
      <c r="B12" s="849"/>
      <c r="C12" s="852"/>
      <c r="D12" s="842"/>
      <c r="E12" s="842"/>
      <c r="F12" s="842"/>
      <c r="G12" s="842"/>
      <c r="H12" s="842"/>
      <c r="I12" s="842"/>
      <c r="J12" s="842"/>
      <c r="K12" s="842"/>
      <c r="L12" s="842"/>
      <c r="M12" s="853"/>
      <c r="N12" s="853"/>
      <c r="O12" s="853"/>
      <c r="P12" s="853"/>
      <c r="Q12" s="855"/>
      <c r="R12" s="855"/>
      <c r="S12" s="855"/>
      <c r="T12" s="855"/>
      <c r="U12" s="855"/>
      <c r="V12" s="855"/>
      <c r="W12" s="855"/>
      <c r="X12" s="855"/>
      <c r="Y12" s="855"/>
      <c r="Z12" s="855"/>
      <c r="AA12" s="855"/>
      <c r="AB12" s="855"/>
      <c r="AC12" s="855"/>
      <c r="AD12" s="855"/>
      <c r="AE12" s="853"/>
      <c r="AF12" s="855"/>
      <c r="AG12" s="855"/>
      <c r="AH12" s="855"/>
      <c r="AI12" s="855"/>
      <c r="AJ12" s="855"/>
      <c r="AK12" s="855"/>
      <c r="AL12" s="854"/>
      <c r="AM12" s="854"/>
      <c r="AN12" s="854"/>
      <c r="AO12" s="854"/>
      <c r="AP12" s="854"/>
      <c r="AQ12" s="854"/>
      <c r="AR12" s="854"/>
      <c r="AS12" s="854"/>
      <c r="AT12" s="854"/>
      <c r="AU12" s="854"/>
      <c r="AV12" s="854"/>
      <c r="AW12" s="854"/>
      <c r="AX12" s="854"/>
      <c r="AY12" s="854"/>
    </row>
    <row r="13" spans="1:51" ht="357" x14ac:dyDescent="0.25">
      <c r="A13" s="349" t="s">
        <v>201</v>
      </c>
      <c r="B13" s="349" t="s">
        <v>2128</v>
      </c>
      <c r="C13" s="859" t="s">
        <v>2129</v>
      </c>
      <c r="D13" s="856" t="s">
        <v>2130</v>
      </c>
      <c r="E13" s="350" t="s">
        <v>2131</v>
      </c>
      <c r="F13" s="351" t="s">
        <v>2132</v>
      </c>
      <c r="G13" s="856" t="s">
        <v>2133</v>
      </c>
      <c r="H13" s="856" t="s">
        <v>2134</v>
      </c>
      <c r="I13" s="856" t="s">
        <v>2135</v>
      </c>
      <c r="J13" s="302">
        <v>10</v>
      </c>
      <c r="K13" s="302" t="str">
        <f>'[2]PLAN INDICATIVO'!O61</f>
        <v>Incremento</v>
      </c>
      <c r="L13" s="302">
        <v>12</v>
      </c>
      <c r="M13" s="352">
        <f>'[2]PLAN INDICATIVO'!S61</f>
        <v>5</v>
      </c>
      <c r="N13" s="301" t="s">
        <v>2135</v>
      </c>
      <c r="O13" s="302">
        <f>+J13+M13</f>
        <v>15</v>
      </c>
      <c r="P13" s="303">
        <v>17000</v>
      </c>
      <c r="Q13" s="303"/>
      <c r="R13" s="308"/>
      <c r="S13" s="308"/>
      <c r="T13" s="303">
        <f>500+4500</f>
        <v>5000</v>
      </c>
      <c r="U13" s="307"/>
      <c r="V13" s="307"/>
      <c r="W13" s="307"/>
      <c r="X13" s="307"/>
      <c r="Y13" s="303"/>
      <c r="Z13" s="303">
        <v>12000</v>
      </c>
      <c r="AA13" s="307"/>
      <c r="AB13" s="307"/>
      <c r="AC13" s="307"/>
      <c r="AD13" s="303"/>
      <c r="AE13" s="313" t="s">
        <v>2136</v>
      </c>
      <c r="AF13" s="317" t="s">
        <v>364</v>
      </c>
      <c r="AG13" s="301" t="s">
        <v>2137</v>
      </c>
      <c r="AH13" s="301" t="s">
        <v>2138</v>
      </c>
      <c r="AI13" s="309">
        <v>3029</v>
      </c>
      <c r="AJ13" s="310">
        <f>(1312286.735*0.94)</f>
        <v>1233549.5309000001</v>
      </c>
      <c r="AK13" s="311" t="s">
        <v>2139</v>
      </c>
      <c r="AL13" s="312" t="s">
        <v>751</v>
      </c>
      <c r="AM13" s="312" t="s">
        <v>751</v>
      </c>
      <c r="AN13" s="312" t="s">
        <v>751</v>
      </c>
      <c r="AO13" s="312" t="s">
        <v>751</v>
      </c>
      <c r="AP13" s="312" t="s">
        <v>751</v>
      </c>
      <c r="AQ13" s="312" t="s">
        <v>751</v>
      </c>
      <c r="AR13" s="312"/>
      <c r="AS13" s="312"/>
      <c r="AT13" s="312"/>
      <c r="AU13" s="312"/>
      <c r="AV13" s="312"/>
      <c r="AW13" s="312"/>
      <c r="AX13" s="317" t="s">
        <v>2140</v>
      </c>
      <c r="AY13" s="305" t="s">
        <v>2141</v>
      </c>
    </row>
    <row r="14" spans="1:51" ht="204" x14ac:dyDescent="0.25">
      <c r="A14" s="349" t="s">
        <v>201</v>
      </c>
      <c r="B14" s="349"/>
      <c r="C14" s="859"/>
      <c r="D14" s="856"/>
      <c r="E14" s="351"/>
      <c r="F14" s="351"/>
      <c r="G14" s="856"/>
      <c r="H14" s="856"/>
      <c r="I14" s="856"/>
      <c r="J14" s="302"/>
      <c r="K14" s="307"/>
      <c r="L14" s="307"/>
      <c r="M14" s="307"/>
      <c r="N14" s="301" t="s">
        <v>2135</v>
      </c>
      <c r="O14" s="307"/>
      <c r="P14" s="307"/>
      <c r="Q14" s="307"/>
      <c r="R14" s="308"/>
      <c r="S14" s="308" t="s">
        <v>2142</v>
      </c>
      <c r="T14" s="307"/>
      <c r="U14" s="307"/>
      <c r="V14" s="307"/>
      <c r="W14" s="307"/>
      <c r="X14" s="307"/>
      <c r="Y14" s="307"/>
      <c r="Z14" s="307"/>
      <c r="AA14" s="307"/>
      <c r="AB14" s="307"/>
      <c r="AC14" s="307"/>
      <c r="AD14" s="307"/>
      <c r="AE14" s="313" t="s">
        <v>2143</v>
      </c>
      <c r="AF14" s="317" t="s">
        <v>364</v>
      </c>
      <c r="AG14" s="301" t="s">
        <v>2144</v>
      </c>
      <c r="AH14" s="301" t="s">
        <v>2145</v>
      </c>
      <c r="AI14" s="309">
        <v>4033</v>
      </c>
      <c r="AJ14" s="310">
        <f>3797229.365*0.91</f>
        <v>3455478.7221500003</v>
      </c>
      <c r="AK14" s="311" t="s">
        <v>2146</v>
      </c>
      <c r="AL14" s="312" t="s">
        <v>751</v>
      </c>
      <c r="AM14" s="312" t="s">
        <v>751</v>
      </c>
      <c r="AN14" s="312" t="s">
        <v>751</v>
      </c>
      <c r="AO14" s="312" t="s">
        <v>751</v>
      </c>
      <c r="AP14" s="312" t="s">
        <v>751</v>
      </c>
      <c r="AQ14" s="312" t="s">
        <v>751</v>
      </c>
      <c r="AR14" s="312" t="s">
        <v>751</v>
      </c>
      <c r="AS14" s="312" t="s">
        <v>751</v>
      </c>
      <c r="AT14" s="312" t="s">
        <v>751</v>
      </c>
      <c r="AU14" s="312" t="s">
        <v>751</v>
      </c>
      <c r="AV14" s="312" t="s">
        <v>751</v>
      </c>
      <c r="AW14" s="312" t="s">
        <v>751</v>
      </c>
      <c r="AX14" s="317" t="s">
        <v>2147</v>
      </c>
      <c r="AY14" s="313" t="s">
        <v>2148</v>
      </c>
    </row>
    <row r="15" spans="1:51" ht="409.5" x14ac:dyDescent="0.25">
      <c r="A15" s="349" t="s">
        <v>201</v>
      </c>
      <c r="B15" s="349"/>
      <c r="C15" s="859"/>
      <c r="D15" s="340"/>
      <c r="E15" s="351"/>
      <c r="F15" s="351"/>
      <c r="G15" s="856"/>
      <c r="H15" s="340"/>
      <c r="I15" s="340"/>
      <c r="J15" s="302"/>
      <c r="K15" s="307"/>
      <c r="L15" s="307"/>
      <c r="M15" s="307"/>
      <c r="N15" s="301" t="s">
        <v>2135</v>
      </c>
      <c r="O15" s="307"/>
      <c r="P15" s="307"/>
      <c r="Q15" s="307"/>
      <c r="R15" s="308"/>
      <c r="S15" s="308"/>
      <c r="T15" s="307"/>
      <c r="U15" s="307"/>
      <c r="V15" s="307"/>
      <c r="W15" s="307"/>
      <c r="X15" s="307"/>
      <c r="Y15" s="307"/>
      <c r="Z15" s="307"/>
      <c r="AA15" s="307"/>
      <c r="AB15" s="307"/>
      <c r="AC15" s="307"/>
      <c r="AD15" s="307"/>
      <c r="AE15" s="313" t="s">
        <v>2149</v>
      </c>
      <c r="AF15" s="317" t="s">
        <v>364</v>
      </c>
      <c r="AG15" s="301" t="s">
        <v>2150</v>
      </c>
      <c r="AH15" s="301" t="s">
        <v>2145</v>
      </c>
      <c r="AI15" s="309" t="s">
        <v>2142</v>
      </c>
      <c r="AJ15" s="310">
        <f>3454503.371*0.93</f>
        <v>3212688.13503</v>
      </c>
      <c r="AK15" s="311" t="s">
        <v>2151</v>
      </c>
      <c r="AL15" s="312" t="s">
        <v>751</v>
      </c>
      <c r="AM15" s="312" t="s">
        <v>751</v>
      </c>
      <c r="AN15" s="312" t="s">
        <v>751</v>
      </c>
      <c r="AO15" s="312" t="s">
        <v>751</v>
      </c>
      <c r="AP15" s="312" t="s">
        <v>751</v>
      </c>
      <c r="AQ15" s="312" t="s">
        <v>751</v>
      </c>
      <c r="AR15" s="312" t="s">
        <v>751</v>
      </c>
      <c r="AS15" s="312" t="s">
        <v>751</v>
      </c>
      <c r="AT15" s="312" t="s">
        <v>751</v>
      </c>
      <c r="AU15" s="312" t="s">
        <v>751</v>
      </c>
      <c r="AV15" s="312" t="s">
        <v>751</v>
      </c>
      <c r="AW15" s="312" t="s">
        <v>751</v>
      </c>
      <c r="AX15" s="317" t="s">
        <v>2152</v>
      </c>
      <c r="AY15" s="314" t="s">
        <v>2153</v>
      </c>
    </row>
    <row r="16" spans="1:51" ht="191.25" x14ac:dyDescent="0.25">
      <c r="A16" s="349" t="s">
        <v>201</v>
      </c>
      <c r="B16" s="349"/>
      <c r="C16" s="859"/>
      <c r="D16" s="340"/>
      <c r="E16" s="351"/>
      <c r="F16" s="351"/>
      <c r="G16" s="351"/>
      <c r="H16" s="340"/>
      <c r="I16" s="340"/>
      <c r="J16" s="302"/>
      <c r="K16" s="307"/>
      <c r="L16" s="307"/>
      <c r="M16" s="307"/>
      <c r="N16" s="301" t="s">
        <v>2135</v>
      </c>
      <c r="O16" s="307"/>
      <c r="P16" s="307"/>
      <c r="Q16" s="307"/>
      <c r="R16" s="308"/>
      <c r="S16" s="308"/>
      <c r="T16" s="307"/>
      <c r="U16" s="307"/>
      <c r="V16" s="307"/>
      <c r="W16" s="307"/>
      <c r="X16" s="307"/>
      <c r="Y16" s="307"/>
      <c r="Z16" s="307"/>
      <c r="AA16" s="307"/>
      <c r="AB16" s="307"/>
      <c r="AC16" s="307"/>
      <c r="AD16" s="307"/>
      <c r="AE16" s="313" t="s">
        <v>2154</v>
      </c>
      <c r="AF16" s="317" t="s">
        <v>364</v>
      </c>
      <c r="AG16" s="301" t="s">
        <v>2155</v>
      </c>
      <c r="AH16" s="301" t="s">
        <v>2138</v>
      </c>
      <c r="AI16" s="309">
        <v>1040</v>
      </c>
      <c r="AJ16" s="310">
        <v>390502.91399999999</v>
      </c>
      <c r="AK16" s="311" t="s">
        <v>2156</v>
      </c>
      <c r="AL16" s="312" t="s">
        <v>751</v>
      </c>
      <c r="AM16" s="312" t="s">
        <v>751</v>
      </c>
      <c r="AN16" s="312" t="s">
        <v>751</v>
      </c>
      <c r="AO16" s="312" t="s">
        <v>751</v>
      </c>
      <c r="AP16" s="312" t="s">
        <v>751</v>
      </c>
      <c r="AQ16" s="312" t="s">
        <v>751</v>
      </c>
      <c r="AR16" s="312" t="s">
        <v>751</v>
      </c>
      <c r="AS16" s="312" t="s">
        <v>751</v>
      </c>
      <c r="AT16" s="312" t="s">
        <v>751</v>
      </c>
      <c r="AU16" s="312" t="s">
        <v>751</v>
      </c>
      <c r="AV16" s="312" t="s">
        <v>751</v>
      </c>
      <c r="AW16" s="312" t="s">
        <v>751</v>
      </c>
      <c r="AX16" s="317" t="s">
        <v>2157</v>
      </c>
      <c r="AY16" s="314" t="s">
        <v>2158</v>
      </c>
    </row>
    <row r="17" spans="1:51" ht="306" x14ac:dyDescent="0.25">
      <c r="A17" s="349" t="s">
        <v>201</v>
      </c>
      <c r="B17" s="349"/>
      <c r="C17" s="859"/>
      <c r="D17" s="340"/>
      <c r="E17" s="351"/>
      <c r="F17" s="351"/>
      <c r="G17" s="351"/>
      <c r="H17" s="340"/>
      <c r="I17" s="340"/>
      <c r="J17" s="353">
        <v>49500</v>
      </c>
      <c r="K17" s="307"/>
      <c r="L17" s="307"/>
      <c r="M17" s="307"/>
      <c r="N17" s="301" t="s">
        <v>2135</v>
      </c>
      <c r="O17" s="307"/>
      <c r="P17" s="307"/>
      <c r="Q17" s="307"/>
      <c r="R17" s="308"/>
      <c r="S17" s="308"/>
      <c r="T17" s="307"/>
      <c r="U17" s="307"/>
      <c r="V17" s="307"/>
      <c r="W17" s="307"/>
      <c r="X17" s="307"/>
      <c r="Y17" s="307"/>
      <c r="Z17" s="307"/>
      <c r="AA17" s="307"/>
      <c r="AB17" s="307"/>
      <c r="AC17" s="307"/>
      <c r="AD17" s="307"/>
      <c r="AE17" s="313" t="s">
        <v>2159</v>
      </c>
      <c r="AF17" s="317" t="s">
        <v>364</v>
      </c>
      <c r="AG17" s="301" t="s">
        <v>2160</v>
      </c>
      <c r="AH17" s="301" t="s">
        <v>2145</v>
      </c>
      <c r="AI17" s="309">
        <v>13038</v>
      </c>
      <c r="AJ17" s="310">
        <v>1440000</v>
      </c>
      <c r="AK17" s="311" t="s">
        <v>2161</v>
      </c>
      <c r="AL17" s="312" t="s">
        <v>751</v>
      </c>
      <c r="AM17" s="312" t="s">
        <v>751</v>
      </c>
      <c r="AN17" s="312" t="s">
        <v>751</v>
      </c>
      <c r="AO17" s="312" t="s">
        <v>751</v>
      </c>
      <c r="AP17" s="312" t="s">
        <v>751</v>
      </c>
      <c r="AQ17" s="312" t="s">
        <v>751</v>
      </c>
      <c r="AR17" s="312" t="s">
        <v>751</v>
      </c>
      <c r="AS17" s="312" t="s">
        <v>751</v>
      </c>
      <c r="AT17" s="312" t="s">
        <v>751</v>
      </c>
      <c r="AU17" s="312" t="s">
        <v>751</v>
      </c>
      <c r="AV17" s="312" t="s">
        <v>751</v>
      </c>
      <c r="AW17" s="312" t="s">
        <v>751</v>
      </c>
      <c r="AX17" s="317" t="s">
        <v>2162</v>
      </c>
      <c r="AY17" s="315" t="s">
        <v>2163</v>
      </c>
    </row>
    <row r="18" spans="1:51" ht="191.25" x14ac:dyDescent="0.25">
      <c r="A18" s="349" t="s">
        <v>201</v>
      </c>
      <c r="B18" s="349"/>
      <c r="C18" s="859"/>
      <c r="D18" s="340"/>
      <c r="E18" s="351"/>
      <c r="F18" s="351"/>
      <c r="G18" s="351"/>
      <c r="H18" s="340"/>
      <c r="I18" s="340"/>
      <c r="J18" s="354"/>
      <c r="K18" s="307"/>
      <c r="L18" s="307"/>
      <c r="M18" s="307"/>
      <c r="N18" s="301" t="s">
        <v>2135</v>
      </c>
      <c r="O18" s="307"/>
      <c r="P18" s="307"/>
      <c r="Q18" s="307"/>
      <c r="R18" s="308"/>
      <c r="S18" s="308"/>
      <c r="T18" s="307"/>
      <c r="U18" s="307"/>
      <c r="V18" s="307"/>
      <c r="W18" s="307"/>
      <c r="X18" s="307"/>
      <c r="Y18" s="307"/>
      <c r="Z18" s="307"/>
      <c r="AA18" s="307"/>
      <c r="AB18" s="307"/>
      <c r="AC18" s="307"/>
      <c r="AD18" s="307"/>
      <c r="AE18" s="313" t="s">
        <v>2164</v>
      </c>
      <c r="AF18" s="317" t="s">
        <v>364</v>
      </c>
      <c r="AG18" s="301" t="s">
        <v>2165</v>
      </c>
      <c r="AH18" s="301" t="s">
        <v>2166</v>
      </c>
      <c r="AI18" s="309">
        <v>12709</v>
      </c>
      <c r="AJ18" s="310">
        <f>2762359.569*0.97</f>
        <v>2679488.7819300001</v>
      </c>
      <c r="AK18" s="311" t="s">
        <v>2167</v>
      </c>
      <c r="AL18" s="312" t="s">
        <v>751</v>
      </c>
      <c r="AM18" s="312" t="s">
        <v>751</v>
      </c>
      <c r="AN18" s="312" t="s">
        <v>751</v>
      </c>
      <c r="AO18" s="312" t="s">
        <v>751</v>
      </c>
      <c r="AP18" s="312" t="s">
        <v>751</v>
      </c>
      <c r="AQ18" s="312" t="s">
        <v>751</v>
      </c>
      <c r="AR18" s="312" t="s">
        <v>751</v>
      </c>
      <c r="AS18" s="312" t="s">
        <v>751</v>
      </c>
      <c r="AT18" s="312" t="s">
        <v>751</v>
      </c>
      <c r="AU18" s="312" t="s">
        <v>751</v>
      </c>
      <c r="AV18" s="312" t="s">
        <v>751</v>
      </c>
      <c r="AW18" s="312" t="s">
        <v>751</v>
      </c>
      <c r="AX18" s="317" t="s">
        <v>2168</v>
      </c>
      <c r="AY18" s="313" t="s">
        <v>2169</v>
      </c>
    </row>
    <row r="19" spans="1:51" ht="76.5" x14ac:dyDescent="0.25">
      <c r="A19" s="349" t="s">
        <v>201</v>
      </c>
      <c r="B19" s="349"/>
      <c r="C19" s="859"/>
      <c r="D19" s="340"/>
      <c r="E19" s="351"/>
      <c r="F19" s="351"/>
      <c r="G19" s="351"/>
      <c r="H19" s="340"/>
      <c r="I19" s="340"/>
      <c r="J19" s="302"/>
      <c r="K19" s="307"/>
      <c r="L19" s="307"/>
      <c r="M19" s="307"/>
      <c r="N19" s="301"/>
      <c r="O19" s="307"/>
      <c r="P19" s="307"/>
      <c r="Q19" s="307"/>
      <c r="R19" s="308"/>
      <c r="S19" s="308"/>
      <c r="T19" s="307"/>
      <c r="U19" s="307"/>
      <c r="V19" s="307"/>
      <c r="W19" s="307"/>
      <c r="X19" s="307"/>
      <c r="Y19" s="307"/>
      <c r="Z19" s="307"/>
      <c r="AA19" s="307"/>
      <c r="AB19" s="307"/>
      <c r="AC19" s="307"/>
      <c r="AD19" s="307"/>
      <c r="AE19" s="313"/>
      <c r="AF19" s="317" t="s">
        <v>364</v>
      </c>
      <c r="AG19" s="301"/>
      <c r="AH19" s="301"/>
      <c r="AI19" s="309"/>
      <c r="AJ19" s="316"/>
      <c r="AK19" s="311"/>
      <c r="AL19" s="312"/>
      <c r="AM19" s="312"/>
      <c r="AN19" s="312"/>
      <c r="AO19" s="312"/>
      <c r="AP19" s="312"/>
      <c r="AQ19" s="312"/>
      <c r="AR19" s="312"/>
      <c r="AS19" s="312"/>
      <c r="AT19" s="312"/>
      <c r="AU19" s="312"/>
      <c r="AV19" s="312"/>
      <c r="AW19" s="312"/>
      <c r="AX19" s="317"/>
      <c r="AY19" s="313"/>
    </row>
    <row r="20" spans="1:51" ht="293.25" x14ac:dyDescent="0.25">
      <c r="A20" s="349" t="s">
        <v>201</v>
      </c>
      <c r="B20" s="340" t="s">
        <v>2128</v>
      </c>
      <c r="C20" s="859"/>
      <c r="D20" s="351"/>
      <c r="E20" s="351"/>
      <c r="F20" s="351" t="s">
        <v>2132</v>
      </c>
      <c r="G20" s="351"/>
      <c r="H20" s="340" t="s">
        <v>2170</v>
      </c>
      <c r="I20" s="340" t="s">
        <v>2171</v>
      </c>
      <c r="J20" s="302">
        <v>11</v>
      </c>
      <c r="K20" s="302" t="str">
        <f>'[2]PLAN INDICATIVO'!O62</f>
        <v>Incremento</v>
      </c>
      <c r="L20" s="302">
        <v>10</v>
      </c>
      <c r="M20" s="355">
        <v>4</v>
      </c>
      <c r="N20" s="317" t="s">
        <v>2171</v>
      </c>
      <c r="O20" s="318">
        <f>+J20+M20</f>
        <v>15</v>
      </c>
      <c r="P20" s="319">
        <v>14400</v>
      </c>
      <c r="Q20" s="319"/>
      <c r="R20" s="308"/>
      <c r="S20" s="308"/>
      <c r="T20" s="319">
        <f>P20-Z20</f>
        <v>5900</v>
      </c>
      <c r="U20" s="307"/>
      <c r="V20" s="307"/>
      <c r="W20" s="307"/>
      <c r="X20" s="307"/>
      <c r="Y20" s="319"/>
      <c r="Z20" s="319">
        <v>8500</v>
      </c>
      <c r="AA20" s="307"/>
      <c r="AB20" s="307"/>
      <c r="AC20" s="307"/>
      <c r="AD20" s="319"/>
      <c r="AE20" s="313" t="s">
        <v>2172</v>
      </c>
      <c r="AF20" s="317" t="s">
        <v>364</v>
      </c>
      <c r="AG20" s="312" t="s">
        <v>2173</v>
      </c>
      <c r="AH20" s="312" t="s">
        <v>2145</v>
      </c>
      <c r="AI20" s="309">
        <v>3570</v>
      </c>
      <c r="AJ20" s="310">
        <f>5977179.464*0.09</f>
        <v>537946.15175999992</v>
      </c>
      <c r="AK20" s="311" t="s">
        <v>2174</v>
      </c>
      <c r="AL20" s="312" t="s">
        <v>751</v>
      </c>
      <c r="AM20" s="312" t="s">
        <v>751</v>
      </c>
      <c r="AN20" s="312" t="s">
        <v>751</v>
      </c>
      <c r="AO20" s="312" t="s">
        <v>751</v>
      </c>
      <c r="AP20" s="312" t="s">
        <v>751</v>
      </c>
      <c r="AQ20" s="312" t="s">
        <v>751</v>
      </c>
      <c r="AR20" s="312" t="s">
        <v>751</v>
      </c>
      <c r="AS20" s="312" t="s">
        <v>751</v>
      </c>
      <c r="AT20" s="312" t="s">
        <v>751</v>
      </c>
      <c r="AU20" s="312" t="s">
        <v>751</v>
      </c>
      <c r="AV20" s="312" t="s">
        <v>751</v>
      </c>
      <c r="AW20" s="312" t="s">
        <v>751</v>
      </c>
      <c r="AX20" s="317" t="s">
        <v>2175</v>
      </c>
      <c r="AY20" s="320" t="s">
        <v>2176</v>
      </c>
    </row>
    <row r="21" spans="1:51" ht="255" x14ac:dyDescent="0.25">
      <c r="A21" s="349" t="s">
        <v>201</v>
      </c>
      <c r="B21" s="351"/>
      <c r="C21" s="859"/>
      <c r="D21" s="351"/>
      <c r="E21" s="351"/>
      <c r="F21" s="351"/>
      <c r="G21" s="351"/>
      <c r="H21" s="351"/>
      <c r="I21" s="351"/>
      <c r="J21" s="302"/>
      <c r="K21" s="302"/>
      <c r="L21" s="302"/>
      <c r="M21" s="307"/>
      <c r="N21" s="317" t="s">
        <v>2171</v>
      </c>
      <c r="O21" s="318"/>
      <c r="P21" s="308"/>
      <c r="Q21" s="308"/>
      <c r="R21" s="308"/>
      <c r="S21" s="308"/>
      <c r="T21" s="308"/>
      <c r="U21" s="307"/>
      <c r="V21" s="307"/>
      <c r="W21" s="307"/>
      <c r="X21" s="307"/>
      <c r="Y21" s="308"/>
      <c r="Z21" s="308"/>
      <c r="AA21" s="307"/>
      <c r="AB21" s="307"/>
      <c r="AC21" s="307"/>
      <c r="AD21" s="308"/>
      <c r="AE21" s="313" t="s">
        <v>2177</v>
      </c>
      <c r="AF21" s="317" t="s">
        <v>364</v>
      </c>
      <c r="AG21" s="317" t="s">
        <v>2178</v>
      </c>
      <c r="AH21" s="312" t="s">
        <v>2145</v>
      </c>
      <c r="AI21" s="309">
        <v>5148</v>
      </c>
      <c r="AJ21" s="310">
        <f>1681351.109*0.94</f>
        <v>1580470.0424599999</v>
      </c>
      <c r="AK21" s="311" t="s">
        <v>2179</v>
      </c>
      <c r="AL21" s="312" t="s">
        <v>751</v>
      </c>
      <c r="AM21" s="312" t="s">
        <v>751</v>
      </c>
      <c r="AN21" s="312" t="s">
        <v>751</v>
      </c>
      <c r="AO21" s="312" t="s">
        <v>751</v>
      </c>
      <c r="AP21" s="312" t="s">
        <v>751</v>
      </c>
      <c r="AQ21" s="312" t="s">
        <v>751</v>
      </c>
      <c r="AR21" s="312" t="s">
        <v>751</v>
      </c>
      <c r="AS21" s="312" t="s">
        <v>751</v>
      </c>
      <c r="AT21" s="312" t="s">
        <v>751</v>
      </c>
      <c r="AU21" s="312"/>
      <c r="AV21" s="312"/>
      <c r="AW21" s="312"/>
      <c r="AX21" s="317" t="s">
        <v>2180</v>
      </c>
      <c r="AY21" s="320" t="s">
        <v>2181</v>
      </c>
    </row>
    <row r="22" spans="1:51" ht="255" x14ac:dyDescent="0.25">
      <c r="A22" s="349" t="s">
        <v>201</v>
      </c>
      <c r="B22" s="351"/>
      <c r="C22" s="859"/>
      <c r="D22" s="351"/>
      <c r="E22" s="351"/>
      <c r="F22" s="351"/>
      <c r="G22" s="351"/>
      <c r="H22" s="351"/>
      <c r="I22" s="351"/>
      <c r="J22" s="302"/>
      <c r="K22" s="302"/>
      <c r="L22" s="302"/>
      <c r="M22" s="307"/>
      <c r="N22" s="317" t="s">
        <v>2171</v>
      </c>
      <c r="O22" s="318"/>
      <c r="P22" s="308"/>
      <c r="Q22" s="308"/>
      <c r="R22" s="308"/>
      <c r="S22" s="308"/>
      <c r="T22" s="308"/>
      <c r="U22" s="307"/>
      <c r="V22" s="307"/>
      <c r="W22" s="307"/>
      <c r="X22" s="307"/>
      <c r="Y22" s="308"/>
      <c r="Z22" s="308"/>
      <c r="AA22" s="307"/>
      <c r="AB22" s="307"/>
      <c r="AC22" s="307"/>
      <c r="AD22" s="308"/>
      <c r="AE22" s="313" t="s">
        <v>2182</v>
      </c>
      <c r="AF22" s="317" t="s">
        <v>364</v>
      </c>
      <c r="AG22" s="317" t="s">
        <v>2183</v>
      </c>
      <c r="AH22" s="312" t="s">
        <v>2145</v>
      </c>
      <c r="AI22" s="309">
        <v>1282</v>
      </c>
      <c r="AJ22" s="310">
        <v>2934454.1779999998</v>
      </c>
      <c r="AK22" s="311" t="s">
        <v>2184</v>
      </c>
      <c r="AL22" s="312" t="s">
        <v>751</v>
      </c>
      <c r="AM22" s="312" t="s">
        <v>751</v>
      </c>
      <c r="AN22" s="312" t="s">
        <v>751</v>
      </c>
      <c r="AO22" s="312" t="s">
        <v>751</v>
      </c>
      <c r="AP22" s="312" t="s">
        <v>751</v>
      </c>
      <c r="AQ22" s="312" t="s">
        <v>751</v>
      </c>
      <c r="AR22" s="312" t="s">
        <v>751</v>
      </c>
      <c r="AS22" s="312" t="s">
        <v>751</v>
      </c>
      <c r="AT22" s="312" t="s">
        <v>751</v>
      </c>
      <c r="AU22" s="312" t="s">
        <v>751</v>
      </c>
      <c r="AV22" s="312" t="s">
        <v>751</v>
      </c>
      <c r="AW22" s="312" t="s">
        <v>751</v>
      </c>
      <c r="AX22" s="317" t="s">
        <v>2180</v>
      </c>
      <c r="AY22" s="320" t="s">
        <v>2185</v>
      </c>
    </row>
    <row r="23" spans="1:51" ht="204" x14ac:dyDescent="0.25">
      <c r="A23" s="349" t="s">
        <v>201</v>
      </c>
      <c r="B23" s="351"/>
      <c r="C23" s="859"/>
      <c r="D23" s="351"/>
      <c r="E23" s="351"/>
      <c r="F23" s="351"/>
      <c r="G23" s="351"/>
      <c r="H23" s="351"/>
      <c r="I23" s="351"/>
      <c r="J23" s="354"/>
      <c r="K23" s="302"/>
      <c r="L23" s="302"/>
      <c r="M23" s="307"/>
      <c r="N23" s="317" t="s">
        <v>2171</v>
      </c>
      <c r="O23" s="318"/>
      <c r="P23" s="308"/>
      <c r="Q23" s="308"/>
      <c r="R23" s="308"/>
      <c r="S23" s="308"/>
      <c r="T23" s="308"/>
      <c r="U23" s="307"/>
      <c r="V23" s="307"/>
      <c r="W23" s="307"/>
      <c r="X23" s="307"/>
      <c r="Y23" s="308"/>
      <c r="Z23" s="308"/>
      <c r="AA23" s="307"/>
      <c r="AB23" s="307"/>
      <c r="AC23" s="307"/>
      <c r="AD23" s="308"/>
      <c r="AE23" s="313" t="s">
        <v>2143</v>
      </c>
      <c r="AF23" s="317" t="s">
        <v>364</v>
      </c>
      <c r="AG23" s="317" t="s">
        <v>2144</v>
      </c>
      <c r="AH23" s="312" t="s">
        <v>2145</v>
      </c>
      <c r="AI23" s="309">
        <v>3645</v>
      </c>
      <c r="AJ23" s="310">
        <f>3797229.365*0.09*0.78</f>
        <v>266565.50142300001</v>
      </c>
      <c r="AK23" s="311" t="s">
        <v>2146</v>
      </c>
      <c r="AL23" s="312" t="s">
        <v>751</v>
      </c>
      <c r="AM23" s="312" t="s">
        <v>751</v>
      </c>
      <c r="AN23" s="312" t="s">
        <v>751</v>
      </c>
      <c r="AO23" s="312" t="s">
        <v>751</v>
      </c>
      <c r="AP23" s="312" t="s">
        <v>751</v>
      </c>
      <c r="AQ23" s="312" t="s">
        <v>751</v>
      </c>
      <c r="AR23" s="312" t="s">
        <v>751</v>
      </c>
      <c r="AS23" s="312" t="s">
        <v>751</v>
      </c>
      <c r="AT23" s="312" t="s">
        <v>751</v>
      </c>
      <c r="AU23" s="312" t="s">
        <v>751</v>
      </c>
      <c r="AV23" s="312" t="s">
        <v>751</v>
      </c>
      <c r="AW23" s="312" t="s">
        <v>751</v>
      </c>
      <c r="AX23" s="317" t="s">
        <v>2186</v>
      </c>
      <c r="AY23" s="320" t="s">
        <v>2187</v>
      </c>
    </row>
    <row r="24" spans="1:51" ht="191.25" x14ac:dyDescent="0.25">
      <c r="A24" s="349" t="s">
        <v>201</v>
      </c>
      <c r="B24" s="351"/>
      <c r="C24" s="859"/>
      <c r="D24" s="351"/>
      <c r="E24" s="351"/>
      <c r="F24" s="351"/>
      <c r="G24" s="351"/>
      <c r="H24" s="351"/>
      <c r="I24" s="351"/>
      <c r="J24" s="354"/>
      <c r="K24" s="302"/>
      <c r="L24" s="302"/>
      <c r="M24" s="307"/>
      <c r="N24" s="317" t="s">
        <v>2171</v>
      </c>
      <c r="O24" s="318"/>
      <c r="P24" s="308"/>
      <c r="Q24" s="308"/>
      <c r="R24" s="308"/>
      <c r="S24" s="308"/>
      <c r="T24" s="308"/>
      <c r="U24" s="307"/>
      <c r="V24" s="307"/>
      <c r="W24" s="307"/>
      <c r="X24" s="307"/>
      <c r="Y24" s="308"/>
      <c r="Z24" s="308"/>
      <c r="AA24" s="307"/>
      <c r="AB24" s="321"/>
      <c r="AC24" s="307"/>
      <c r="AD24" s="308"/>
      <c r="AE24" s="313" t="s">
        <v>2188</v>
      </c>
      <c r="AF24" s="317" t="s">
        <v>364</v>
      </c>
      <c r="AG24" s="317" t="s">
        <v>2189</v>
      </c>
      <c r="AH24" s="312" t="s">
        <v>2145</v>
      </c>
      <c r="AI24" s="309">
        <f>6558-889</f>
        <v>5669</v>
      </c>
      <c r="AJ24" s="310">
        <f>3328339.046*0.84</f>
        <v>2795804.7986400002</v>
      </c>
      <c r="AK24" s="311" t="s">
        <v>2190</v>
      </c>
      <c r="AL24" s="312" t="s">
        <v>751</v>
      </c>
      <c r="AM24" s="312" t="s">
        <v>751</v>
      </c>
      <c r="AN24" s="312" t="s">
        <v>751</v>
      </c>
      <c r="AO24" s="312" t="s">
        <v>751</v>
      </c>
      <c r="AP24" s="312" t="s">
        <v>751</v>
      </c>
      <c r="AQ24" s="312" t="s">
        <v>751</v>
      </c>
      <c r="AR24" s="312" t="s">
        <v>751</v>
      </c>
      <c r="AS24" s="312" t="s">
        <v>751</v>
      </c>
      <c r="AT24" s="312" t="s">
        <v>751</v>
      </c>
      <c r="AU24" s="312" t="s">
        <v>751</v>
      </c>
      <c r="AV24" s="312" t="s">
        <v>751</v>
      </c>
      <c r="AW24" s="312" t="s">
        <v>751</v>
      </c>
      <c r="AX24" s="317" t="s">
        <v>2191</v>
      </c>
      <c r="AY24" s="320" t="s">
        <v>2192</v>
      </c>
    </row>
    <row r="25" spans="1:51" ht="229.5" x14ac:dyDescent="0.25">
      <c r="A25" s="349" t="s">
        <v>201</v>
      </c>
      <c r="B25" s="351"/>
      <c r="C25" s="859"/>
      <c r="D25" s="351"/>
      <c r="E25" s="351"/>
      <c r="F25" s="351"/>
      <c r="G25" s="351"/>
      <c r="H25" s="351" t="s">
        <v>2193</v>
      </c>
      <c r="I25" s="351" t="s">
        <v>2194</v>
      </c>
      <c r="J25" s="302">
        <v>2</v>
      </c>
      <c r="K25" s="356" t="str">
        <f>'[2]PLAN INDICATIVO'!O63</f>
        <v>Incremento</v>
      </c>
      <c r="L25" s="302">
        <v>2</v>
      </c>
      <c r="M25" s="355">
        <v>0.22</v>
      </c>
      <c r="N25" s="317" t="s">
        <v>2194</v>
      </c>
      <c r="O25" s="302">
        <f>+J25+M25</f>
        <v>2.2200000000000002</v>
      </c>
      <c r="P25" s="303">
        <v>2250</v>
      </c>
      <c r="Q25" s="303"/>
      <c r="R25" s="308"/>
      <c r="S25" s="308"/>
      <c r="T25" s="319">
        <f>P25-Z25</f>
        <v>2250</v>
      </c>
      <c r="U25" s="307"/>
      <c r="V25" s="307"/>
      <c r="W25" s="307"/>
      <c r="X25" s="307"/>
      <c r="Y25" s="303"/>
      <c r="Z25" s="303"/>
      <c r="AA25" s="307"/>
      <c r="AB25" s="322"/>
      <c r="AC25" s="307"/>
      <c r="AD25" s="303"/>
      <c r="AE25" s="323" t="s">
        <v>2195</v>
      </c>
      <c r="AF25" s="317" t="s">
        <v>364</v>
      </c>
      <c r="AG25" s="317" t="s">
        <v>2196</v>
      </c>
      <c r="AH25" s="312" t="s">
        <v>2197</v>
      </c>
      <c r="AI25" s="324">
        <v>5606</v>
      </c>
      <c r="AJ25" s="310">
        <v>4800000</v>
      </c>
      <c r="AK25" s="311" t="s">
        <v>2198</v>
      </c>
      <c r="AL25" s="312" t="s">
        <v>751</v>
      </c>
      <c r="AM25" s="312" t="s">
        <v>751</v>
      </c>
      <c r="AN25" s="312" t="s">
        <v>751</v>
      </c>
      <c r="AO25" s="312" t="s">
        <v>751</v>
      </c>
      <c r="AP25" s="312" t="s">
        <v>751</v>
      </c>
      <c r="AQ25" s="312" t="s">
        <v>751</v>
      </c>
      <c r="AR25" s="312" t="s">
        <v>751</v>
      </c>
      <c r="AS25" s="312" t="s">
        <v>751</v>
      </c>
      <c r="AT25" s="312" t="s">
        <v>751</v>
      </c>
      <c r="AU25" s="312" t="s">
        <v>751</v>
      </c>
      <c r="AV25" s="312" t="s">
        <v>751</v>
      </c>
      <c r="AW25" s="312" t="s">
        <v>751</v>
      </c>
      <c r="AX25" s="317" t="s">
        <v>2199</v>
      </c>
      <c r="AY25" s="313" t="s">
        <v>2200</v>
      </c>
    </row>
    <row r="26" spans="1:51" ht="395.25" x14ac:dyDescent="0.25">
      <c r="A26" s="349" t="s">
        <v>201</v>
      </c>
      <c r="B26" s="351"/>
      <c r="C26" s="859"/>
      <c r="D26" s="351"/>
      <c r="E26" s="351"/>
      <c r="F26" s="351"/>
      <c r="G26" s="351"/>
      <c r="H26" s="351"/>
      <c r="I26" s="351"/>
      <c r="J26" s="357"/>
      <c r="K26" s="356"/>
      <c r="L26" s="302"/>
      <c r="M26" s="307"/>
      <c r="N26" s="317" t="s">
        <v>2194</v>
      </c>
      <c r="O26" s="308"/>
      <c r="P26" s="308"/>
      <c r="Q26" s="308"/>
      <c r="R26" s="308"/>
      <c r="S26" s="308"/>
      <c r="T26" s="308"/>
      <c r="U26" s="307"/>
      <c r="V26" s="307"/>
      <c r="W26" s="307"/>
      <c r="X26" s="307"/>
      <c r="Y26" s="308"/>
      <c r="Z26" s="308"/>
      <c r="AA26" s="307"/>
      <c r="AB26" s="325"/>
      <c r="AC26" s="307"/>
      <c r="AD26" s="308"/>
      <c r="AE26" s="323" t="s">
        <v>2201</v>
      </c>
      <c r="AF26" s="317" t="s">
        <v>364</v>
      </c>
      <c r="AG26" s="317" t="s">
        <v>2202</v>
      </c>
      <c r="AH26" s="312" t="s">
        <v>2166</v>
      </c>
      <c r="AI26" s="324">
        <v>15886</v>
      </c>
      <c r="AJ26" s="310"/>
      <c r="AK26" s="311" t="s">
        <v>2203</v>
      </c>
      <c r="AL26" s="312" t="s">
        <v>751</v>
      </c>
      <c r="AM26" s="312" t="s">
        <v>751</v>
      </c>
      <c r="AN26" s="312" t="s">
        <v>751</v>
      </c>
      <c r="AO26" s="312" t="s">
        <v>751</v>
      </c>
      <c r="AP26" s="312" t="s">
        <v>751</v>
      </c>
      <c r="AQ26" s="312" t="s">
        <v>751</v>
      </c>
      <c r="AR26" s="312" t="s">
        <v>751</v>
      </c>
      <c r="AS26" s="312" t="s">
        <v>751</v>
      </c>
      <c r="AT26" s="312" t="s">
        <v>751</v>
      </c>
      <c r="AU26" s="312" t="s">
        <v>751</v>
      </c>
      <c r="AV26" s="312" t="s">
        <v>751</v>
      </c>
      <c r="AW26" s="312" t="s">
        <v>751</v>
      </c>
      <c r="AX26" s="317" t="s">
        <v>2204</v>
      </c>
      <c r="AY26" s="313" t="s">
        <v>2205</v>
      </c>
    </row>
    <row r="27" spans="1:51" ht="216.75" x14ac:dyDescent="0.25">
      <c r="A27" s="349" t="s">
        <v>201</v>
      </c>
      <c r="B27" s="351"/>
      <c r="C27" s="859"/>
      <c r="D27" s="351"/>
      <c r="E27" s="351"/>
      <c r="F27" s="351"/>
      <c r="G27" s="351"/>
      <c r="H27" s="351"/>
      <c r="I27" s="351"/>
      <c r="J27" s="357"/>
      <c r="K27" s="356"/>
      <c r="L27" s="302"/>
      <c r="M27" s="307"/>
      <c r="N27" s="317" t="s">
        <v>2194</v>
      </c>
      <c r="O27" s="308"/>
      <c r="P27" s="308"/>
      <c r="Q27" s="308"/>
      <c r="R27" s="308"/>
      <c r="S27" s="308"/>
      <c r="T27" s="308"/>
      <c r="U27" s="307"/>
      <c r="V27" s="307"/>
      <c r="W27" s="307"/>
      <c r="X27" s="307"/>
      <c r="Y27" s="308"/>
      <c r="Z27" s="308"/>
      <c r="AA27" s="307"/>
      <c r="AB27" s="325"/>
      <c r="AC27" s="307"/>
      <c r="AD27" s="308"/>
      <c r="AE27" s="313" t="s">
        <v>2206</v>
      </c>
      <c r="AF27" s="317" t="s">
        <v>364</v>
      </c>
      <c r="AG27" s="317" t="s">
        <v>2207</v>
      </c>
      <c r="AH27" s="317" t="s">
        <v>2208</v>
      </c>
      <c r="AI27" s="312">
        <v>17000</v>
      </c>
      <c r="AJ27" s="310">
        <v>870</v>
      </c>
      <c r="AK27" s="311" t="s">
        <v>2209</v>
      </c>
      <c r="AL27" s="326" t="s">
        <v>751</v>
      </c>
      <c r="AM27" s="326" t="s">
        <v>751</v>
      </c>
      <c r="AN27" s="326" t="s">
        <v>751</v>
      </c>
      <c r="AO27" s="326" t="s">
        <v>751</v>
      </c>
      <c r="AP27" s="326" t="s">
        <v>751</v>
      </c>
      <c r="AQ27" s="326" t="s">
        <v>751</v>
      </c>
      <c r="AR27" s="326" t="s">
        <v>751</v>
      </c>
      <c r="AS27" s="326" t="s">
        <v>751</v>
      </c>
      <c r="AT27" s="326" t="s">
        <v>751</v>
      </c>
      <c r="AU27" s="326"/>
      <c r="AV27" s="326"/>
      <c r="AW27" s="326"/>
      <c r="AX27" s="317" t="s">
        <v>2180</v>
      </c>
      <c r="AY27" s="327" t="s">
        <v>2210</v>
      </c>
    </row>
    <row r="28" spans="1:51" ht="76.5" x14ac:dyDescent="0.25">
      <c r="A28" s="349" t="s">
        <v>201</v>
      </c>
      <c r="B28" s="351"/>
      <c r="C28" s="859"/>
      <c r="D28" s="351"/>
      <c r="E28" s="351"/>
      <c r="F28" s="351"/>
      <c r="G28" s="351"/>
      <c r="H28" s="351"/>
      <c r="I28" s="351"/>
      <c r="J28" s="358">
        <v>21600000</v>
      </c>
      <c r="K28" s="356"/>
      <c r="L28" s="302"/>
      <c r="M28" s="307"/>
      <c r="N28" s="312"/>
      <c r="O28" s="308"/>
      <c r="P28" s="308"/>
      <c r="Q28" s="308"/>
      <c r="R28" s="308"/>
      <c r="S28" s="308"/>
      <c r="T28" s="308"/>
      <c r="U28" s="307"/>
      <c r="V28" s="307"/>
      <c r="W28" s="307"/>
      <c r="X28" s="307"/>
      <c r="Y28" s="308"/>
      <c r="Z28" s="308"/>
      <c r="AA28" s="307"/>
      <c r="AB28" s="307"/>
      <c r="AC28" s="307"/>
      <c r="AD28" s="308"/>
      <c r="AE28" s="307"/>
      <c r="AF28" s="317" t="s">
        <v>364</v>
      </c>
      <c r="AG28" s="307"/>
      <c r="AH28" s="307"/>
      <c r="AI28" s="307"/>
      <c r="AJ28" s="310"/>
      <c r="AK28" s="311"/>
      <c r="AL28" s="328"/>
      <c r="AM28" s="328"/>
      <c r="AN28" s="328"/>
      <c r="AO28" s="328"/>
      <c r="AP28" s="328"/>
      <c r="AQ28" s="328"/>
      <c r="AR28" s="328"/>
      <c r="AS28" s="328"/>
      <c r="AT28" s="328"/>
      <c r="AU28" s="328"/>
      <c r="AV28" s="328"/>
      <c r="AW28" s="328"/>
      <c r="AX28" s="317"/>
      <c r="AY28" s="307"/>
    </row>
    <row r="29" spans="1:51" ht="191.25" x14ac:dyDescent="0.25">
      <c r="A29" s="349" t="s">
        <v>201</v>
      </c>
      <c r="B29" s="349" t="s">
        <v>2128</v>
      </c>
      <c r="C29" s="859"/>
      <c r="D29" s="351"/>
      <c r="E29" s="351"/>
      <c r="F29" s="349" t="s">
        <v>2132</v>
      </c>
      <c r="G29" s="307"/>
      <c r="H29" s="856" t="s">
        <v>2211</v>
      </c>
      <c r="I29" s="856" t="s">
        <v>2212</v>
      </c>
      <c r="J29" s="302">
        <v>0</v>
      </c>
      <c r="K29" s="359" t="str">
        <f>'[2]PLAN INDICATIVO'!O64</f>
        <v>Incremento</v>
      </c>
      <c r="L29" s="359">
        <v>1</v>
      </c>
      <c r="M29" s="360">
        <v>0.25</v>
      </c>
      <c r="N29" s="317" t="s">
        <v>2212</v>
      </c>
      <c r="O29" s="308"/>
      <c r="P29" s="329">
        <v>3500</v>
      </c>
      <c r="Q29" s="316"/>
      <c r="R29" s="330"/>
      <c r="S29" s="330"/>
      <c r="T29" s="319">
        <f>P29-Z29</f>
        <v>3500</v>
      </c>
      <c r="U29" s="307"/>
      <c r="V29" s="307"/>
      <c r="W29" s="307"/>
      <c r="X29" s="307"/>
      <c r="Y29" s="329"/>
      <c r="Z29" s="316"/>
      <c r="AA29" s="307"/>
      <c r="AB29" s="307"/>
      <c r="AC29" s="307"/>
      <c r="AD29" s="313"/>
      <c r="AE29" s="313" t="s">
        <v>2513</v>
      </c>
      <c r="AF29" s="317" t="s">
        <v>364</v>
      </c>
      <c r="AG29" s="317" t="s">
        <v>2213</v>
      </c>
      <c r="AH29" s="317"/>
      <c r="AI29" s="331">
        <v>49016</v>
      </c>
      <c r="AJ29" s="310">
        <v>310000</v>
      </c>
      <c r="AK29" s="311" t="s">
        <v>2214</v>
      </c>
      <c r="AL29" s="317" t="s">
        <v>751</v>
      </c>
      <c r="AM29" s="317" t="s">
        <v>751</v>
      </c>
      <c r="AN29" s="317" t="s">
        <v>751</v>
      </c>
      <c r="AO29" s="317" t="s">
        <v>751</v>
      </c>
      <c r="AP29" s="317" t="s">
        <v>751</v>
      </c>
      <c r="AQ29" s="317" t="s">
        <v>751</v>
      </c>
      <c r="AR29" s="317"/>
      <c r="AS29" s="317"/>
      <c r="AT29" s="317"/>
      <c r="AU29" s="317"/>
      <c r="AV29" s="317"/>
      <c r="AW29" s="317"/>
      <c r="AX29" s="317" t="s">
        <v>2215</v>
      </c>
      <c r="AY29" s="313"/>
    </row>
    <row r="30" spans="1:51" ht="191.25" x14ac:dyDescent="0.25">
      <c r="A30" s="349" t="s">
        <v>201</v>
      </c>
      <c r="B30" s="349"/>
      <c r="C30" s="859"/>
      <c r="D30" s="351"/>
      <c r="E30" s="351"/>
      <c r="F30" s="349"/>
      <c r="G30" s="307"/>
      <c r="H30" s="856"/>
      <c r="I30" s="856"/>
      <c r="J30" s="302"/>
      <c r="K30" s="359"/>
      <c r="L30" s="359"/>
      <c r="M30" s="360"/>
      <c r="N30" s="317"/>
      <c r="O30" s="308"/>
      <c r="P30" s="329"/>
      <c r="Q30" s="316"/>
      <c r="R30" s="330"/>
      <c r="S30" s="330"/>
      <c r="T30" s="329"/>
      <c r="U30" s="307"/>
      <c r="V30" s="307"/>
      <c r="W30" s="307"/>
      <c r="X30" s="307"/>
      <c r="Y30" s="329"/>
      <c r="Z30" s="316"/>
      <c r="AA30" s="307"/>
      <c r="AB30" s="307"/>
      <c r="AC30" s="307"/>
      <c r="AD30" s="329"/>
      <c r="AE30" s="313" t="s">
        <v>2514</v>
      </c>
      <c r="AF30" s="317" t="s">
        <v>364</v>
      </c>
      <c r="AG30" s="317" t="s">
        <v>2213</v>
      </c>
      <c r="AH30" s="317"/>
      <c r="AI30" s="331">
        <v>49016</v>
      </c>
      <c r="AJ30" s="310">
        <v>320000</v>
      </c>
      <c r="AK30" s="311" t="s">
        <v>2216</v>
      </c>
      <c r="AL30" s="317" t="s">
        <v>751</v>
      </c>
      <c r="AM30" s="317" t="s">
        <v>751</v>
      </c>
      <c r="AN30" s="317" t="s">
        <v>751</v>
      </c>
      <c r="AO30" s="317" t="s">
        <v>751</v>
      </c>
      <c r="AP30" s="317" t="s">
        <v>751</v>
      </c>
      <c r="AQ30" s="317" t="s">
        <v>751</v>
      </c>
      <c r="AR30" s="317"/>
      <c r="AS30" s="317"/>
      <c r="AT30" s="317"/>
      <c r="AU30" s="317"/>
      <c r="AV30" s="317"/>
      <c r="AW30" s="317"/>
      <c r="AX30" s="317" t="s">
        <v>2215</v>
      </c>
      <c r="AY30" s="313"/>
    </row>
    <row r="31" spans="1:51" ht="191.25" x14ac:dyDescent="0.25">
      <c r="A31" s="349" t="s">
        <v>201</v>
      </c>
      <c r="B31" s="349"/>
      <c r="C31" s="859"/>
      <c r="D31" s="351"/>
      <c r="E31" s="351"/>
      <c r="F31" s="349"/>
      <c r="G31" s="307"/>
      <c r="H31" s="856"/>
      <c r="I31" s="856"/>
      <c r="J31" s="302"/>
      <c r="K31" s="359"/>
      <c r="L31" s="359"/>
      <c r="M31" s="360"/>
      <c r="N31" s="317"/>
      <c r="O31" s="308"/>
      <c r="P31" s="329"/>
      <c r="Q31" s="316"/>
      <c r="R31" s="330"/>
      <c r="S31" s="330"/>
      <c r="T31" s="329"/>
      <c r="U31" s="307"/>
      <c r="V31" s="307"/>
      <c r="W31" s="307"/>
      <c r="X31" s="307"/>
      <c r="Y31" s="329"/>
      <c r="Z31" s="316"/>
      <c r="AA31" s="307"/>
      <c r="AB31" s="307"/>
      <c r="AC31" s="307"/>
      <c r="AD31" s="329"/>
      <c r="AE31" s="313" t="s">
        <v>2515</v>
      </c>
      <c r="AF31" s="317" t="s">
        <v>364</v>
      </c>
      <c r="AG31" s="317" t="s">
        <v>2217</v>
      </c>
      <c r="AH31" s="317"/>
      <c r="AI31" s="331">
        <v>57576</v>
      </c>
      <c r="AJ31" s="310">
        <v>347000</v>
      </c>
      <c r="AK31" s="311" t="s">
        <v>2218</v>
      </c>
      <c r="AL31" s="317" t="s">
        <v>751</v>
      </c>
      <c r="AM31" s="317" t="s">
        <v>751</v>
      </c>
      <c r="AN31" s="317" t="s">
        <v>751</v>
      </c>
      <c r="AO31" s="317" t="s">
        <v>751</v>
      </c>
      <c r="AP31" s="317" t="s">
        <v>751</v>
      </c>
      <c r="AQ31" s="317" t="s">
        <v>751</v>
      </c>
      <c r="AR31" s="317"/>
      <c r="AS31" s="317"/>
      <c r="AT31" s="317"/>
      <c r="AU31" s="317"/>
      <c r="AV31" s="317"/>
      <c r="AW31" s="317"/>
      <c r="AX31" s="317" t="s">
        <v>2215</v>
      </c>
      <c r="AY31" s="313"/>
    </row>
    <row r="32" spans="1:51" ht="191.25" x14ac:dyDescent="0.25">
      <c r="A32" s="349" t="s">
        <v>201</v>
      </c>
      <c r="B32" s="349"/>
      <c r="C32" s="859"/>
      <c r="D32" s="351"/>
      <c r="E32" s="351"/>
      <c r="F32" s="349"/>
      <c r="G32" s="307"/>
      <c r="H32" s="856"/>
      <c r="I32" s="856"/>
      <c r="J32" s="302"/>
      <c r="K32" s="359"/>
      <c r="L32" s="359"/>
      <c r="M32" s="360"/>
      <c r="N32" s="317"/>
      <c r="O32" s="308"/>
      <c r="P32" s="329"/>
      <c r="Q32" s="316"/>
      <c r="R32" s="330"/>
      <c r="S32" s="330"/>
      <c r="T32" s="329"/>
      <c r="U32" s="307"/>
      <c r="V32" s="307"/>
      <c r="W32" s="307"/>
      <c r="X32" s="307"/>
      <c r="Y32" s="329"/>
      <c r="Z32" s="316"/>
      <c r="AA32" s="307"/>
      <c r="AB32" s="307"/>
      <c r="AC32" s="307"/>
      <c r="AD32" s="329"/>
      <c r="AE32" s="313" t="s">
        <v>2516</v>
      </c>
      <c r="AF32" s="317" t="s">
        <v>364</v>
      </c>
      <c r="AG32" s="317" t="s">
        <v>2217</v>
      </c>
      <c r="AH32" s="317"/>
      <c r="AI32" s="331">
        <v>57576</v>
      </c>
      <c r="AJ32" s="310">
        <v>97800</v>
      </c>
      <c r="AK32" s="311" t="s">
        <v>2219</v>
      </c>
      <c r="AL32" s="317" t="s">
        <v>751</v>
      </c>
      <c r="AM32" s="317" t="s">
        <v>751</v>
      </c>
      <c r="AN32" s="317" t="s">
        <v>751</v>
      </c>
      <c r="AO32" s="317" t="s">
        <v>751</v>
      </c>
      <c r="AP32" s="317" t="s">
        <v>751</v>
      </c>
      <c r="AQ32" s="317" t="s">
        <v>751</v>
      </c>
      <c r="AR32" s="317"/>
      <c r="AS32" s="317"/>
      <c r="AT32" s="317"/>
      <c r="AU32" s="317"/>
      <c r="AV32" s="317"/>
      <c r="AW32" s="317"/>
      <c r="AX32" s="317" t="s">
        <v>2215</v>
      </c>
      <c r="AY32" s="313"/>
    </row>
    <row r="33" spans="1:51" ht="191.25" x14ac:dyDescent="0.25">
      <c r="A33" s="349" t="s">
        <v>201</v>
      </c>
      <c r="B33" s="349"/>
      <c r="C33" s="859"/>
      <c r="D33" s="351"/>
      <c r="E33" s="351"/>
      <c r="F33" s="349"/>
      <c r="G33" s="307"/>
      <c r="H33" s="856"/>
      <c r="I33" s="856"/>
      <c r="J33" s="302"/>
      <c r="K33" s="359"/>
      <c r="L33" s="359"/>
      <c r="M33" s="360"/>
      <c r="N33" s="317"/>
      <c r="O33" s="308"/>
      <c r="P33" s="329"/>
      <c r="Q33" s="316"/>
      <c r="R33" s="330"/>
      <c r="S33" s="330"/>
      <c r="T33" s="329"/>
      <c r="U33" s="307"/>
      <c r="V33" s="307"/>
      <c r="W33" s="307"/>
      <c r="X33" s="307"/>
      <c r="Y33" s="329"/>
      <c r="Z33" s="316"/>
      <c r="AA33" s="307"/>
      <c r="AB33" s="307"/>
      <c r="AC33" s="307"/>
      <c r="AD33" s="329"/>
      <c r="AE33" s="313" t="s">
        <v>2517</v>
      </c>
      <c r="AF33" s="317" t="s">
        <v>364</v>
      </c>
      <c r="AG33" s="317" t="s">
        <v>2217</v>
      </c>
      <c r="AH33" s="317"/>
      <c r="AI33" s="331">
        <v>57576</v>
      </c>
      <c r="AJ33" s="310">
        <v>46900</v>
      </c>
      <c r="AK33" s="311" t="s">
        <v>2220</v>
      </c>
      <c r="AL33" s="317" t="s">
        <v>751</v>
      </c>
      <c r="AM33" s="317" t="s">
        <v>751</v>
      </c>
      <c r="AN33" s="317" t="s">
        <v>751</v>
      </c>
      <c r="AO33" s="317" t="s">
        <v>751</v>
      </c>
      <c r="AP33" s="317" t="s">
        <v>751</v>
      </c>
      <c r="AQ33" s="317" t="s">
        <v>751</v>
      </c>
      <c r="AR33" s="317"/>
      <c r="AS33" s="317"/>
      <c r="AT33" s="317"/>
      <c r="AU33" s="317"/>
      <c r="AV33" s="317"/>
      <c r="AW33" s="317"/>
      <c r="AX33" s="317" t="s">
        <v>2215</v>
      </c>
      <c r="AY33" s="313"/>
    </row>
    <row r="34" spans="1:51" ht="191.25" x14ac:dyDescent="0.25">
      <c r="A34" s="349" t="s">
        <v>201</v>
      </c>
      <c r="B34" s="349"/>
      <c r="C34" s="859"/>
      <c r="D34" s="351"/>
      <c r="E34" s="351"/>
      <c r="F34" s="349"/>
      <c r="G34" s="307"/>
      <c r="H34" s="856"/>
      <c r="I34" s="856"/>
      <c r="J34" s="302"/>
      <c r="K34" s="359"/>
      <c r="L34" s="359"/>
      <c r="M34" s="360"/>
      <c r="N34" s="317"/>
      <c r="O34" s="308"/>
      <c r="P34" s="329"/>
      <c r="Q34" s="316"/>
      <c r="R34" s="330"/>
      <c r="S34" s="330"/>
      <c r="T34" s="329"/>
      <c r="U34" s="307"/>
      <c r="V34" s="307"/>
      <c r="W34" s="307"/>
      <c r="X34" s="307"/>
      <c r="Y34" s="329"/>
      <c r="Z34" s="316"/>
      <c r="AA34" s="307"/>
      <c r="AB34" s="307"/>
      <c r="AC34" s="307"/>
      <c r="AD34" s="329"/>
      <c r="AE34" s="313" t="s">
        <v>2518</v>
      </c>
      <c r="AF34" s="317" t="s">
        <v>364</v>
      </c>
      <c r="AG34" s="317" t="s">
        <v>2221</v>
      </c>
      <c r="AH34" s="317"/>
      <c r="AI34" s="331">
        <v>12738.309523809525</v>
      </c>
      <c r="AJ34" s="310">
        <v>540300</v>
      </c>
      <c r="AK34" s="311" t="s">
        <v>2222</v>
      </c>
      <c r="AL34" s="317" t="s">
        <v>751</v>
      </c>
      <c r="AM34" s="317" t="s">
        <v>751</v>
      </c>
      <c r="AN34" s="317" t="s">
        <v>751</v>
      </c>
      <c r="AO34" s="317" t="s">
        <v>751</v>
      </c>
      <c r="AP34" s="317" t="s">
        <v>751</v>
      </c>
      <c r="AQ34" s="317" t="s">
        <v>751</v>
      </c>
      <c r="AR34" s="317"/>
      <c r="AS34" s="317"/>
      <c r="AT34" s="317"/>
      <c r="AU34" s="317"/>
      <c r="AV34" s="317"/>
      <c r="AW34" s="317"/>
      <c r="AX34" s="317" t="s">
        <v>2215</v>
      </c>
      <c r="AY34" s="313"/>
    </row>
    <row r="35" spans="1:51" ht="191.25" x14ac:dyDescent="0.25">
      <c r="A35" s="349" t="s">
        <v>201</v>
      </c>
      <c r="B35" s="349"/>
      <c r="C35" s="859"/>
      <c r="D35" s="351"/>
      <c r="E35" s="351"/>
      <c r="F35" s="349"/>
      <c r="G35" s="307"/>
      <c r="H35" s="856"/>
      <c r="I35" s="856"/>
      <c r="J35" s="302"/>
      <c r="K35" s="359"/>
      <c r="L35" s="359"/>
      <c r="M35" s="360"/>
      <c r="N35" s="317"/>
      <c r="O35" s="308"/>
      <c r="P35" s="329"/>
      <c r="Q35" s="316"/>
      <c r="R35" s="330"/>
      <c r="S35" s="330"/>
      <c r="T35" s="329"/>
      <c r="U35" s="307"/>
      <c r="V35" s="307"/>
      <c r="W35" s="307"/>
      <c r="X35" s="307"/>
      <c r="Y35" s="329"/>
      <c r="Z35" s="316"/>
      <c r="AA35" s="307"/>
      <c r="AB35" s="307"/>
      <c r="AC35" s="307"/>
      <c r="AD35" s="329"/>
      <c r="AE35" s="313" t="s">
        <v>2519</v>
      </c>
      <c r="AF35" s="317" t="s">
        <v>364</v>
      </c>
      <c r="AG35" s="317" t="s">
        <v>2223</v>
      </c>
      <c r="AH35" s="317"/>
      <c r="AI35" s="331">
        <v>192916</v>
      </c>
      <c r="AJ35" s="310"/>
      <c r="AK35" s="311" t="s">
        <v>2224</v>
      </c>
      <c r="AL35" s="317"/>
      <c r="AM35" s="317"/>
      <c r="AN35" s="317"/>
      <c r="AO35" s="317"/>
      <c r="AP35" s="317"/>
      <c r="AQ35" s="317"/>
      <c r="AR35" s="317" t="s">
        <v>751</v>
      </c>
      <c r="AS35" s="317" t="s">
        <v>751</v>
      </c>
      <c r="AT35" s="317" t="s">
        <v>751</v>
      </c>
      <c r="AU35" s="317" t="s">
        <v>751</v>
      </c>
      <c r="AV35" s="317" t="s">
        <v>751</v>
      </c>
      <c r="AW35" s="317" t="s">
        <v>751</v>
      </c>
      <c r="AX35" s="317" t="s">
        <v>2215</v>
      </c>
      <c r="AY35" s="313"/>
    </row>
    <row r="36" spans="1:51" ht="191.25" x14ac:dyDescent="0.25">
      <c r="A36" s="349" t="s">
        <v>201</v>
      </c>
      <c r="B36" s="349"/>
      <c r="C36" s="859"/>
      <c r="D36" s="351"/>
      <c r="E36" s="351"/>
      <c r="F36" s="349"/>
      <c r="G36" s="307"/>
      <c r="H36" s="856"/>
      <c r="I36" s="856"/>
      <c r="J36" s="302"/>
      <c r="K36" s="359"/>
      <c r="L36" s="359"/>
      <c r="M36" s="360"/>
      <c r="N36" s="317"/>
      <c r="O36" s="308"/>
      <c r="P36" s="329"/>
      <c r="Q36" s="316"/>
      <c r="R36" s="330"/>
      <c r="S36" s="330"/>
      <c r="T36" s="329"/>
      <c r="U36" s="307"/>
      <c r="V36" s="307"/>
      <c r="W36" s="307"/>
      <c r="X36" s="307"/>
      <c r="Y36" s="329"/>
      <c r="Z36" s="316"/>
      <c r="AA36" s="307"/>
      <c r="AB36" s="307"/>
      <c r="AC36" s="307"/>
      <c r="AD36" s="329"/>
      <c r="AE36" s="313" t="s">
        <v>2520</v>
      </c>
      <c r="AF36" s="317" t="s">
        <v>364</v>
      </c>
      <c r="AG36" s="317" t="s">
        <v>2223</v>
      </c>
      <c r="AH36" s="317"/>
      <c r="AI36" s="331">
        <v>192916</v>
      </c>
      <c r="AJ36" s="310">
        <v>670000</v>
      </c>
      <c r="AK36" s="311" t="s">
        <v>2225</v>
      </c>
      <c r="AL36" s="317"/>
      <c r="AM36" s="317"/>
      <c r="AN36" s="317"/>
      <c r="AO36" s="317"/>
      <c r="AP36" s="317"/>
      <c r="AQ36" s="317"/>
      <c r="AR36" s="317" t="s">
        <v>751</v>
      </c>
      <c r="AS36" s="317" t="s">
        <v>751</v>
      </c>
      <c r="AT36" s="317" t="s">
        <v>751</v>
      </c>
      <c r="AU36" s="317" t="s">
        <v>751</v>
      </c>
      <c r="AV36" s="317" t="s">
        <v>751</v>
      </c>
      <c r="AW36" s="317" t="s">
        <v>751</v>
      </c>
      <c r="AX36" s="317" t="s">
        <v>2215</v>
      </c>
      <c r="AY36" s="313"/>
    </row>
    <row r="37" spans="1:51" ht="191.25" x14ac:dyDescent="0.25">
      <c r="A37" s="349" t="s">
        <v>201</v>
      </c>
      <c r="B37" s="349"/>
      <c r="C37" s="859"/>
      <c r="D37" s="351"/>
      <c r="E37" s="351"/>
      <c r="F37" s="349"/>
      <c r="G37" s="307"/>
      <c r="H37" s="856"/>
      <c r="I37" s="856"/>
      <c r="J37" s="302"/>
      <c r="K37" s="359"/>
      <c r="L37" s="359"/>
      <c r="M37" s="360"/>
      <c r="N37" s="317"/>
      <c r="O37" s="308"/>
      <c r="P37" s="329"/>
      <c r="Q37" s="316"/>
      <c r="R37" s="330"/>
      <c r="S37" s="330"/>
      <c r="T37" s="329"/>
      <c r="U37" s="307"/>
      <c r="V37" s="307"/>
      <c r="W37" s="307"/>
      <c r="X37" s="307"/>
      <c r="Y37" s="329"/>
      <c r="Z37" s="316"/>
      <c r="AA37" s="307"/>
      <c r="AB37" s="307"/>
      <c r="AC37" s="307"/>
      <c r="AD37" s="329"/>
      <c r="AE37" s="313" t="s">
        <v>2521</v>
      </c>
      <c r="AF37" s="317" t="s">
        <v>364</v>
      </c>
      <c r="AG37" s="317" t="s">
        <v>2226</v>
      </c>
      <c r="AH37" s="317"/>
      <c r="AI37" s="331">
        <v>5271</v>
      </c>
      <c r="AJ37" s="310">
        <v>90000</v>
      </c>
      <c r="AK37" s="311" t="s">
        <v>2227</v>
      </c>
      <c r="AL37" s="317"/>
      <c r="AM37" s="317"/>
      <c r="AN37" s="317"/>
      <c r="AO37" s="317"/>
      <c r="AP37" s="317"/>
      <c r="AQ37" s="317"/>
      <c r="AR37" s="317" t="s">
        <v>751</v>
      </c>
      <c r="AS37" s="317" t="s">
        <v>751</v>
      </c>
      <c r="AT37" s="317" t="s">
        <v>751</v>
      </c>
      <c r="AU37" s="317" t="s">
        <v>751</v>
      </c>
      <c r="AV37" s="317" t="s">
        <v>751</v>
      </c>
      <c r="AW37" s="317" t="s">
        <v>751</v>
      </c>
      <c r="AX37" s="317" t="s">
        <v>2215</v>
      </c>
      <c r="AY37" s="313"/>
    </row>
    <row r="38" spans="1:51" ht="191.25" x14ac:dyDescent="0.25">
      <c r="A38" s="349" t="s">
        <v>201</v>
      </c>
      <c r="B38" s="349"/>
      <c r="C38" s="859"/>
      <c r="D38" s="351"/>
      <c r="E38" s="351"/>
      <c r="F38" s="349"/>
      <c r="G38" s="307"/>
      <c r="H38" s="856"/>
      <c r="I38" s="856"/>
      <c r="J38" s="302"/>
      <c r="K38" s="359"/>
      <c r="L38" s="359"/>
      <c r="M38" s="360"/>
      <c r="N38" s="317"/>
      <c r="O38" s="308"/>
      <c r="P38" s="329"/>
      <c r="Q38" s="316"/>
      <c r="R38" s="330"/>
      <c r="S38" s="330"/>
      <c r="T38" s="329"/>
      <c r="U38" s="307"/>
      <c r="V38" s="307"/>
      <c r="W38" s="307"/>
      <c r="X38" s="307"/>
      <c r="Y38" s="329"/>
      <c r="Z38" s="316"/>
      <c r="AA38" s="307"/>
      <c r="AB38" s="307"/>
      <c r="AC38" s="307"/>
      <c r="AD38" s="329"/>
      <c r="AE38" s="313" t="s">
        <v>2522</v>
      </c>
      <c r="AF38" s="317" t="s">
        <v>364</v>
      </c>
      <c r="AG38" s="317" t="s">
        <v>2228</v>
      </c>
      <c r="AH38" s="317"/>
      <c r="AI38" s="331">
        <v>187645</v>
      </c>
      <c r="AJ38" s="310">
        <v>165000</v>
      </c>
      <c r="AK38" s="311" t="s">
        <v>2214</v>
      </c>
      <c r="AL38" s="317"/>
      <c r="AM38" s="317"/>
      <c r="AN38" s="317"/>
      <c r="AO38" s="317"/>
      <c r="AP38" s="317"/>
      <c r="AQ38" s="317"/>
      <c r="AR38" s="317" t="s">
        <v>751</v>
      </c>
      <c r="AS38" s="317" t="s">
        <v>751</v>
      </c>
      <c r="AT38" s="317" t="s">
        <v>751</v>
      </c>
      <c r="AU38" s="317" t="s">
        <v>751</v>
      </c>
      <c r="AV38" s="317" t="s">
        <v>751</v>
      </c>
      <c r="AW38" s="317" t="s">
        <v>751</v>
      </c>
      <c r="AX38" s="317" t="s">
        <v>2215</v>
      </c>
      <c r="AY38" s="313"/>
    </row>
    <row r="39" spans="1:51" ht="191.25" x14ac:dyDescent="0.25">
      <c r="A39" s="349" t="s">
        <v>201</v>
      </c>
      <c r="B39" s="349"/>
      <c r="C39" s="859"/>
      <c r="D39" s="351"/>
      <c r="E39" s="351"/>
      <c r="F39" s="349"/>
      <c r="G39" s="307"/>
      <c r="H39" s="856"/>
      <c r="I39" s="856"/>
      <c r="J39" s="302"/>
      <c r="K39" s="359"/>
      <c r="L39" s="359"/>
      <c r="M39" s="360"/>
      <c r="N39" s="317"/>
      <c r="O39" s="308"/>
      <c r="P39" s="329"/>
      <c r="Q39" s="316"/>
      <c r="R39" s="330"/>
      <c r="S39" s="330"/>
      <c r="T39" s="329"/>
      <c r="U39" s="307"/>
      <c r="V39" s="307"/>
      <c r="W39" s="307"/>
      <c r="X39" s="307"/>
      <c r="Y39" s="329"/>
      <c r="Z39" s="316"/>
      <c r="AA39" s="307"/>
      <c r="AB39" s="307"/>
      <c r="AC39" s="307"/>
      <c r="AD39" s="329"/>
      <c r="AE39" s="313" t="s">
        <v>2523</v>
      </c>
      <c r="AF39" s="317" t="s">
        <v>364</v>
      </c>
      <c r="AG39" s="317" t="s">
        <v>2228</v>
      </c>
      <c r="AH39" s="317"/>
      <c r="AI39" s="331">
        <v>187645</v>
      </c>
      <c r="AJ39" s="310">
        <v>350000</v>
      </c>
      <c r="AK39" s="311" t="s">
        <v>2216</v>
      </c>
      <c r="AL39" s="317"/>
      <c r="AM39" s="317"/>
      <c r="AN39" s="317"/>
      <c r="AO39" s="317"/>
      <c r="AP39" s="317"/>
      <c r="AQ39" s="317"/>
      <c r="AR39" s="317" t="s">
        <v>751</v>
      </c>
      <c r="AS39" s="317" t="s">
        <v>751</v>
      </c>
      <c r="AT39" s="317" t="s">
        <v>751</v>
      </c>
      <c r="AU39" s="317" t="s">
        <v>751</v>
      </c>
      <c r="AV39" s="317" t="s">
        <v>751</v>
      </c>
      <c r="AW39" s="317" t="s">
        <v>751</v>
      </c>
      <c r="AX39" s="317" t="s">
        <v>2215</v>
      </c>
      <c r="AY39" s="313"/>
    </row>
    <row r="40" spans="1:51" ht="191.25" x14ac:dyDescent="0.25">
      <c r="A40" s="349" t="s">
        <v>201</v>
      </c>
      <c r="B40" s="349"/>
      <c r="C40" s="859"/>
      <c r="D40" s="351"/>
      <c r="E40" s="351"/>
      <c r="F40" s="349"/>
      <c r="G40" s="307"/>
      <c r="H40" s="856"/>
      <c r="I40" s="856"/>
      <c r="J40" s="302"/>
      <c r="K40" s="359"/>
      <c r="L40" s="359"/>
      <c r="M40" s="360"/>
      <c r="N40" s="317"/>
      <c r="O40" s="308"/>
      <c r="P40" s="329"/>
      <c r="Q40" s="316"/>
      <c r="R40" s="330"/>
      <c r="S40" s="330"/>
      <c r="T40" s="329"/>
      <c r="U40" s="307"/>
      <c r="V40" s="307"/>
      <c r="W40" s="307"/>
      <c r="X40" s="307"/>
      <c r="Y40" s="329"/>
      <c r="Z40" s="316"/>
      <c r="AA40" s="307"/>
      <c r="AB40" s="307"/>
      <c r="AC40" s="307"/>
      <c r="AD40" s="329"/>
      <c r="AE40" s="313" t="s">
        <v>2524</v>
      </c>
      <c r="AF40" s="317" t="s">
        <v>364</v>
      </c>
      <c r="AG40" s="317" t="s">
        <v>2223</v>
      </c>
      <c r="AH40" s="317"/>
      <c r="AI40" s="331">
        <v>192916</v>
      </c>
      <c r="AJ40" s="310">
        <v>465000</v>
      </c>
      <c r="AK40" s="311" t="s">
        <v>2218</v>
      </c>
      <c r="AL40" s="317"/>
      <c r="AM40" s="317"/>
      <c r="AN40" s="317"/>
      <c r="AO40" s="317"/>
      <c r="AP40" s="317"/>
      <c r="AQ40" s="317"/>
      <c r="AR40" s="317" t="s">
        <v>751</v>
      </c>
      <c r="AS40" s="317" t="s">
        <v>751</v>
      </c>
      <c r="AT40" s="317" t="s">
        <v>751</v>
      </c>
      <c r="AU40" s="317" t="s">
        <v>751</v>
      </c>
      <c r="AV40" s="317" t="s">
        <v>751</v>
      </c>
      <c r="AW40" s="317" t="s">
        <v>751</v>
      </c>
      <c r="AX40" s="317" t="s">
        <v>2215</v>
      </c>
      <c r="AY40" s="313"/>
    </row>
    <row r="41" spans="1:51" ht="191.25" x14ac:dyDescent="0.25">
      <c r="A41" s="349" t="s">
        <v>201</v>
      </c>
      <c r="B41" s="349"/>
      <c r="C41" s="859"/>
      <c r="D41" s="351"/>
      <c r="E41" s="351"/>
      <c r="F41" s="349"/>
      <c r="G41" s="307"/>
      <c r="H41" s="856"/>
      <c r="I41" s="856"/>
      <c r="J41" s="302"/>
      <c r="K41" s="359"/>
      <c r="L41" s="359"/>
      <c r="M41" s="360"/>
      <c r="N41" s="317"/>
      <c r="O41" s="308"/>
      <c r="P41" s="329"/>
      <c r="Q41" s="316"/>
      <c r="R41" s="330"/>
      <c r="S41" s="330"/>
      <c r="T41" s="329"/>
      <c r="U41" s="307"/>
      <c r="V41" s="307"/>
      <c r="W41" s="307"/>
      <c r="X41" s="307"/>
      <c r="Y41" s="329"/>
      <c r="Z41" s="316"/>
      <c r="AA41" s="307"/>
      <c r="AB41" s="307"/>
      <c r="AC41" s="307"/>
      <c r="AD41" s="329"/>
      <c r="AE41" s="313" t="s">
        <v>2525</v>
      </c>
      <c r="AF41" s="317" t="s">
        <v>364</v>
      </c>
      <c r="AG41" s="317" t="s">
        <v>2223</v>
      </c>
      <c r="AH41" s="317"/>
      <c r="AI41" s="331">
        <v>192916</v>
      </c>
      <c r="AJ41" s="310">
        <v>100000</v>
      </c>
      <c r="AK41" s="311" t="s">
        <v>2219</v>
      </c>
      <c r="AL41" s="317"/>
      <c r="AM41" s="317"/>
      <c r="AN41" s="317"/>
      <c r="AO41" s="317"/>
      <c r="AP41" s="317"/>
      <c r="AQ41" s="317"/>
      <c r="AR41" s="317" t="s">
        <v>751</v>
      </c>
      <c r="AS41" s="317" t="s">
        <v>751</v>
      </c>
      <c r="AT41" s="317" t="s">
        <v>751</v>
      </c>
      <c r="AU41" s="317" t="s">
        <v>751</v>
      </c>
      <c r="AV41" s="317" t="s">
        <v>751</v>
      </c>
      <c r="AW41" s="317" t="s">
        <v>751</v>
      </c>
      <c r="AX41" s="317" t="s">
        <v>2215</v>
      </c>
      <c r="AY41" s="313"/>
    </row>
    <row r="42" spans="1:51" ht="191.25" x14ac:dyDescent="0.25">
      <c r="A42" s="349" t="s">
        <v>201</v>
      </c>
      <c r="B42" s="349"/>
      <c r="C42" s="859"/>
      <c r="D42" s="351"/>
      <c r="E42" s="351"/>
      <c r="F42" s="349"/>
      <c r="G42" s="307"/>
      <c r="H42" s="856"/>
      <c r="I42" s="856"/>
      <c r="J42" s="302"/>
      <c r="K42" s="359"/>
      <c r="L42" s="359"/>
      <c r="M42" s="360"/>
      <c r="N42" s="317"/>
      <c r="O42" s="308"/>
      <c r="P42" s="329"/>
      <c r="Q42" s="316"/>
      <c r="R42" s="330"/>
      <c r="S42" s="330"/>
      <c r="T42" s="329"/>
      <c r="U42" s="307"/>
      <c r="V42" s="307"/>
      <c r="W42" s="307"/>
      <c r="X42" s="307"/>
      <c r="Y42" s="329"/>
      <c r="Z42" s="316"/>
      <c r="AA42" s="307"/>
      <c r="AB42" s="307"/>
      <c r="AC42" s="307"/>
      <c r="AD42" s="329"/>
      <c r="AE42" s="313" t="s">
        <v>2526</v>
      </c>
      <c r="AF42" s="317" t="s">
        <v>364</v>
      </c>
      <c r="AG42" s="317" t="s">
        <v>2223</v>
      </c>
      <c r="AH42" s="317"/>
      <c r="AI42" s="331">
        <v>192916</v>
      </c>
      <c r="AJ42" s="310">
        <v>75000</v>
      </c>
      <c r="AK42" s="311" t="s">
        <v>2220</v>
      </c>
      <c r="AL42" s="317"/>
      <c r="AM42" s="317"/>
      <c r="AN42" s="317"/>
      <c r="AO42" s="317"/>
      <c r="AP42" s="317"/>
      <c r="AQ42" s="317"/>
      <c r="AR42" s="317" t="s">
        <v>751</v>
      </c>
      <c r="AS42" s="317" t="s">
        <v>751</v>
      </c>
      <c r="AT42" s="317" t="s">
        <v>751</v>
      </c>
      <c r="AU42" s="317" t="s">
        <v>751</v>
      </c>
      <c r="AV42" s="317" t="s">
        <v>751</v>
      </c>
      <c r="AW42" s="317" t="s">
        <v>751</v>
      </c>
      <c r="AX42" s="317" t="s">
        <v>2215</v>
      </c>
      <c r="AY42" s="313"/>
    </row>
    <row r="43" spans="1:51" ht="191.25" x14ac:dyDescent="0.25">
      <c r="A43" s="349" t="s">
        <v>201</v>
      </c>
      <c r="B43" s="349"/>
      <c r="C43" s="859"/>
      <c r="D43" s="351"/>
      <c r="E43" s="351"/>
      <c r="F43" s="349"/>
      <c r="G43" s="307"/>
      <c r="H43" s="856"/>
      <c r="I43" s="856"/>
      <c r="J43" s="302"/>
      <c r="K43" s="359"/>
      <c r="L43" s="359"/>
      <c r="M43" s="360"/>
      <c r="N43" s="317"/>
      <c r="O43" s="308"/>
      <c r="P43" s="329"/>
      <c r="Q43" s="316"/>
      <c r="R43" s="330"/>
      <c r="S43" s="330"/>
      <c r="T43" s="329"/>
      <c r="U43" s="307"/>
      <c r="V43" s="307"/>
      <c r="W43" s="307"/>
      <c r="X43" s="307"/>
      <c r="Y43" s="329"/>
      <c r="Z43" s="316"/>
      <c r="AA43" s="307"/>
      <c r="AB43" s="307"/>
      <c r="AC43" s="307"/>
      <c r="AD43" s="329"/>
      <c r="AE43" s="313" t="s">
        <v>2527</v>
      </c>
      <c r="AF43" s="317" t="s">
        <v>364</v>
      </c>
      <c r="AG43" s="317" t="s">
        <v>2229</v>
      </c>
      <c r="AH43" s="317"/>
      <c r="AI43" s="331">
        <v>50832</v>
      </c>
      <c r="AJ43" s="310">
        <v>585000</v>
      </c>
      <c r="AK43" s="311" t="s">
        <v>2222</v>
      </c>
      <c r="AL43" s="317"/>
      <c r="AM43" s="317"/>
      <c r="AN43" s="317"/>
      <c r="AO43" s="317"/>
      <c r="AP43" s="317"/>
      <c r="AQ43" s="317"/>
      <c r="AR43" s="317" t="s">
        <v>751</v>
      </c>
      <c r="AS43" s="317" t="s">
        <v>751</v>
      </c>
      <c r="AT43" s="317" t="s">
        <v>751</v>
      </c>
      <c r="AU43" s="317" t="s">
        <v>751</v>
      </c>
      <c r="AV43" s="317" t="s">
        <v>751</v>
      </c>
      <c r="AW43" s="317" t="s">
        <v>751</v>
      </c>
      <c r="AX43" s="317" t="s">
        <v>2215</v>
      </c>
      <c r="AY43" s="313"/>
    </row>
    <row r="44" spans="1:51" ht="191.25" x14ac:dyDescent="0.25">
      <c r="A44" s="349" t="s">
        <v>201</v>
      </c>
      <c r="B44" s="351" t="s">
        <v>2128</v>
      </c>
      <c r="C44" s="859"/>
      <c r="D44" s="351"/>
      <c r="E44" s="351"/>
      <c r="F44" s="351" t="s">
        <v>2132</v>
      </c>
      <c r="G44" s="351"/>
      <c r="H44" s="856" t="s">
        <v>2230</v>
      </c>
      <c r="I44" s="856" t="s">
        <v>2231</v>
      </c>
      <c r="J44" s="302">
        <v>8</v>
      </c>
      <c r="K44" s="302" t="str">
        <f>'[2]PLAN INDICATIVO'!O65</f>
        <v>Incremento</v>
      </c>
      <c r="L44" s="302">
        <v>8</v>
      </c>
      <c r="M44" s="302">
        <v>3</v>
      </c>
      <c r="N44" s="317" t="s">
        <v>2231</v>
      </c>
      <c r="O44" s="302">
        <f>+J44+M44</f>
        <v>11</v>
      </c>
      <c r="P44" s="303">
        <v>11000</v>
      </c>
      <c r="Q44" s="303"/>
      <c r="R44" s="308"/>
      <c r="S44" s="308"/>
      <c r="T44" s="319">
        <f>P44-Z44</f>
        <v>2500</v>
      </c>
      <c r="U44" s="312"/>
      <c r="V44" s="307"/>
      <c r="W44" s="307"/>
      <c r="X44" s="307"/>
      <c r="Y44" s="303"/>
      <c r="Z44" s="303">
        <v>8500</v>
      </c>
      <c r="AA44" s="307"/>
      <c r="AB44" s="307"/>
      <c r="AC44" s="307"/>
      <c r="AD44" s="303"/>
      <c r="AE44" s="313" t="s">
        <v>2232</v>
      </c>
      <c r="AF44" s="317" t="s">
        <v>364</v>
      </c>
      <c r="AG44" s="312" t="s">
        <v>2165</v>
      </c>
      <c r="AH44" s="312" t="s">
        <v>2166</v>
      </c>
      <c r="AI44" s="312">
        <v>9150</v>
      </c>
      <c r="AJ44" s="310">
        <f>2734434.398*0.96</f>
        <v>2625057.02208</v>
      </c>
      <c r="AK44" s="311" t="s">
        <v>2233</v>
      </c>
      <c r="AL44" s="312" t="s">
        <v>751</v>
      </c>
      <c r="AM44" s="312" t="s">
        <v>751</v>
      </c>
      <c r="AN44" s="312" t="s">
        <v>751</v>
      </c>
      <c r="AO44" s="312" t="s">
        <v>751</v>
      </c>
      <c r="AP44" s="312" t="s">
        <v>751</v>
      </c>
      <c r="AQ44" s="312" t="s">
        <v>751</v>
      </c>
      <c r="AR44" s="312"/>
      <c r="AS44" s="312"/>
      <c r="AT44" s="312"/>
      <c r="AU44" s="312"/>
      <c r="AV44" s="312"/>
      <c r="AW44" s="312"/>
      <c r="AX44" s="317" t="s">
        <v>2234</v>
      </c>
      <c r="AY44" s="313" t="s">
        <v>2235</v>
      </c>
    </row>
    <row r="45" spans="1:51" ht="191.25" x14ac:dyDescent="0.25">
      <c r="A45" s="349" t="s">
        <v>201</v>
      </c>
      <c r="B45" s="351"/>
      <c r="C45" s="859"/>
      <c r="D45" s="351"/>
      <c r="E45" s="351"/>
      <c r="F45" s="351"/>
      <c r="G45" s="351"/>
      <c r="H45" s="856"/>
      <c r="I45" s="856"/>
      <c r="J45" s="302"/>
      <c r="K45" s="302"/>
      <c r="L45" s="302"/>
      <c r="M45" s="307"/>
      <c r="N45" s="317" t="s">
        <v>2231</v>
      </c>
      <c r="O45" s="308"/>
      <c r="P45" s="308"/>
      <c r="Q45" s="308"/>
      <c r="R45" s="308"/>
      <c r="S45" s="308"/>
      <c r="T45" s="308"/>
      <c r="U45" s="307"/>
      <c r="V45" s="307"/>
      <c r="W45" s="307"/>
      <c r="X45" s="307"/>
      <c r="Y45" s="308"/>
      <c r="Z45" s="308"/>
      <c r="AA45" s="307"/>
      <c r="AB45" s="307"/>
      <c r="AC45" s="307"/>
      <c r="AD45" s="308"/>
      <c r="AE45" s="313" t="s">
        <v>2236</v>
      </c>
      <c r="AF45" s="317" t="s">
        <v>364</v>
      </c>
      <c r="AG45" s="312" t="s">
        <v>2237</v>
      </c>
      <c r="AH45" s="312" t="s">
        <v>2145</v>
      </c>
      <c r="AI45" s="312">
        <v>4516</v>
      </c>
      <c r="AJ45" s="310">
        <f>(5478220.996*0.92)-100799.266</f>
        <v>4939164.0503200004</v>
      </c>
      <c r="AK45" s="311" t="s">
        <v>2238</v>
      </c>
      <c r="AL45" s="312" t="s">
        <v>751</v>
      </c>
      <c r="AM45" s="312" t="s">
        <v>751</v>
      </c>
      <c r="AN45" s="312" t="s">
        <v>751</v>
      </c>
      <c r="AO45" s="312" t="s">
        <v>751</v>
      </c>
      <c r="AP45" s="312" t="s">
        <v>751</v>
      </c>
      <c r="AQ45" s="312" t="s">
        <v>751</v>
      </c>
      <c r="AR45" s="312" t="s">
        <v>751</v>
      </c>
      <c r="AS45" s="312" t="s">
        <v>751</v>
      </c>
      <c r="AT45" s="312" t="s">
        <v>751</v>
      </c>
      <c r="AU45" s="312" t="s">
        <v>751</v>
      </c>
      <c r="AV45" s="312" t="s">
        <v>751</v>
      </c>
      <c r="AW45" s="312" t="s">
        <v>751</v>
      </c>
      <c r="AX45" s="317" t="s">
        <v>2239</v>
      </c>
      <c r="AY45" s="313" t="s">
        <v>2240</v>
      </c>
    </row>
    <row r="46" spans="1:51" ht="357" x14ac:dyDescent="0.25">
      <c r="A46" s="349" t="s">
        <v>201</v>
      </c>
      <c r="B46" s="351"/>
      <c r="C46" s="859"/>
      <c r="D46" s="351"/>
      <c r="E46" s="351"/>
      <c r="F46" s="351"/>
      <c r="G46" s="351"/>
      <c r="H46" s="351"/>
      <c r="I46" s="351"/>
      <c r="J46" s="302"/>
      <c r="K46" s="302"/>
      <c r="L46" s="302"/>
      <c r="M46" s="307"/>
      <c r="N46" s="317" t="s">
        <v>2231</v>
      </c>
      <c r="O46" s="308"/>
      <c r="P46" s="308"/>
      <c r="Q46" s="308"/>
      <c r="R46" s="308"/>
      <c r="S46" s="308"/>
      <c r="T46" s="308"/>
      <c r="U46" s="307"/>
      <c r="V46" s="307"/>
      <c r="W46" s="307"/>
      <c r="X46" s="307"/>
      <c r="Y46" s="308"/>
      <c r="Z46" s="308"/>
      <c r="AA46" s="307"/>
      <c r="AB46" s="307"/>
      <c r="AC46" s="307"/>
      <c r="AD46" s="308"/>
      <c r="AE46" s="313" t="s">
        <v>2241</v>
      </c>
      <c r="AF46" s="317" t="s">
        <v>364</v>
      </c>
      <c r="AG46" s="312" t="s">
        <v>2242</v>
      </c>
      <c r="AH46" s="312" t="s">
        <v>2145</v>
      </c>
      <c r="AI46" s="312">
        <v>4095</v>
      </c>
      <c r="AJ46" s="310">
        <v>6267711.523</v>
      </c>
      <c r="AK46" s="311" t="s">
        <v>2243</v>
      </c>
      <c r="AL46" s="312" t="s">
        <v>751</v>
      </c>
      <c r="AM46" s="312" t="s">
        <v>751</v>
      </c>
      <c r="AN46" s="312" t="s">
        <v>751</v>
      </c>
      <c r="AO46" s="312" t="s">
        <v>751</v>
      </c>
      <c r="AP46" s="312" t="s">
        <v>751</v>
      </c>
      <c r="AQ46" s="312" t="s">
        <v>751</v>
      </c>
      <c r="AR46" s="312"/>
      <c r="AS46" s="312"/>
      <c r="AT46" s="312"/>
      <c r="AU46" s="312"/>
      <c r="AV46" s="312"/>
      <c r="AW46" s="312"/>
      <c r="AX46" s="317" t="s">
        <v>2244</v>
      </c>
      <c r="AY46" s="320" t="s">
        <v>2245</v>
      </c>
    </row>
    <row r="47" spans="1:51" ht="409.5" x14ac:dyDescent="0.25">
      <c r="A47" s="349" t="s">
        <v>201</v>
      </c>
      <c r="B47" s="351"/>
      <c r="C47" s="859"/>
      <c r="D47" s="351"/>
      <c r="E47" s="351"/>
      <c r="F47" s="351"/>
      <c r="G47" s="351"/>
      <c r="H47" s="351"/>
      <c r="I47" s="351"/>
      <c r="J47" s="302"/>
      <c r="K47" s="302"/>
      <c r="L47" s="302"/>
      <c r="M47" s="307"/>
      <c r="N47" s="317" t="s">
        <v>2231</v>
      </c>
      <c r="O47" s="308"/>
      <c r="P47" s="308"/>
      <c r="Q47" s="308"/>
      <c r="R47" s="308"/>
      <c r="S47" s="308"/>
      <c r="T47" s="308"/>
      <c r="U47" s="307"/>
      <c r="V47" s="307"/>
      <c r="W47" s="307"/>
      <c r="X47" s="307"/>
      <c r="Y47" s="308"/>
      <c r="Z47" s="308"/>
      <c r="AA47" s="307"/>
      <c r="AB47" s="307"/>
      <c r="AC47" s="307"/>
      <c r="AD47" s="308"/>
      <c r="AE47" s="313" t="s">
        <v>2246</v>
      </c>
      <c r="AF47" s="317" t="s">
        <v>364</v>
      </c>
      <c r="AG47" s="312" t="s">
        <v>2247</v>
      </c>
      <c r="AH47" s="312" t="s">
        <v>2145</v>
      </c>
      <c r="AI47" s="312">
        <v>1547</v>
      </c>
      <c r="AJ47" s="310">
        <v>1986584.7479999999</v>
      </c>
      <c r="AK47" s="311" t="s">
        <v>2248</v>
      </c>
      <c r="AL47" s="312" t="s">
        <v>751</v>
      </c>
      <c r="AM47" s="312" t="s">
        <v>751</v>
      </c>
      <c r="AN47" s="312" t="s">
        <v>751</v>
      </c>
      <c r="AO47" s="312" t="s">
        <v>751</v>
      </c>
      <c r="AP47" s="312" t="s">
        <v>751</v>
      </c>
      <c r="AQ47" s="312" t="s">
        <v>751</v>
      </c>
      <c r="AR47" s="312" t="s">
        <v>751</v>
      </c>
      <c r="AS47" s="312" t="s">
        <v>751</v>
      </c>
      <c r="AT47" s="312" t="s">
        <v>751</v>
      </c>
      <c r="AU47" s="312"/>
      <c r="AV47" s="312"/>
      <c r="AW47" s="312"/>
      <c r="AX47" s="317" t="s">
        <v>2249</v>
      </c>
      <c r="AY47" s="320" t="s">
        <v>2250</v>
      </c>
    </row>
    <row r="48" spans="1:51" ht="153" x14ac:dyDescent="0.25">
      <c r="A48" s="349" t="s">
        <v>201</v>
      </c>
      <c r="B48" s="351"/>
      <c r="C48" s="859"/>
      <c r="D48" s="351"/>
      <c r="E48" s="351"/>
      <c r="F48" s="351"/>
      <c r="G48" s="351"/>
      <c r="H48" s="351"/>
      <c r="I48" s="351"/>
      <c r="J48" s="302"/>
      <c r="K48" s="302"/>
      <c r="L48" s="302"/>
      <c r="M48" s="307"/>
      <c r="N48" s="317" t="s">
        <v>2231</v>
      </c>
      <c r="O48" s="308"/>
      <c r="P48" s="308"/>
      <c r="Q48" s="308"/>
      <c r="R48" s="308"/>
      <c r="S48" s="308"/>
      <c r="T48" s="308"/>
      <c r="U48" s="307"/>
      <c r="V48" s="307"/>
      <c r="W48" s="307"/>
      <c r="X48" s="307"/>
      <c r="Y48" s="308"/>
      <c r="Z48" s="308"/>
      <c r="AA48" s="307"/>
      <c r="AB48" s="307"/>
      <c r="AC48" s="307"/>
      <c r="AD48" s="308"/>
      <c r="AE48" s="313" t="s">
        <v>2251</v>
      </c>
      <c r="AF48" s="317" t="s">
        <v>364</v>
      </c>
      <c r="AG48" s="312" t="s">
        <v>2252</v>
      </c>
      <c r="AH48" s="312" t="s">
        <v>2145</v>
      </c>
      <c r="AI48" s="312"/>
      <c r="AJ48" s="310">
        <v>1246000</v>
      </c>
      <c r="AK48" s="311"/>
      <c r="AL48" s="312" t="s">
        <v>751</v>
      </c>
      <c r="AM48" s="312" t="s">
        <v>751</v>
      </c>
      <c r="AN48" s="312" t="s">
        <v>751</v>
      </c>
      <c r="AO48" s="312" t="s">
        <v>751</v>
      </c>
      <c r="AP48" s="312" t="s">
        <v>751</v>
      </c>
      <c r="AQ48" s="312" t="s">
        <v>751</v>
      </c>
      <c r="AR48" s="312" t="s">
        <v>751</v>
      </c>
      <c r="AS48" s="312" t="s">
        <v>751</v>
      </c>
      <c r="AT48" s="312" t="s">
        <v>751</v>
      </c>
      <c r="AU48" s="312" t="s">
        <v>751</v>
      </c>
      <c r="AV48" s="312" t="s">
        <v>751</v>
      </c>
      <c r="AW48" s="312" t="s">
        <v>751</v>
      </c>
      <c r="AX48" s="317" t="s">
        <v>2249</v>
      </c>
      <c r="AY48" s="320" t="s">
        <v>2253</v>
      </c>
    </row>
    <row r="49" spans="1:51" ht="395.25" x14ac:dyDescent="0.25">
      <c r="A49" s="349" t="s">
        <v>201</v>
      </c>
      <c r="B49" s="351"/>
      <c r="C49" s="859"/>
      <c r="D49" s="351"/>
      <c r="E49" s="351"/>
      <c r="F49" s="351"/>
      <c r="G49" s="351"/>
      <c r="H49" s="351"/>
      <c r="I49" s="351"/>
      <c r="J49" s="302"/>
      <c r="K49" s="302"/>
      <c r="L49" s="302"/>
      <c r="M49" s="307"/>
      <c r="N49" s="317" t="s">
        <v>2231</v>
      </c>
      <c r="O49" s="308"/>
      <c r="P49" s="308"/>
      <c r="Q49" s="308"/>
      <c r="R49" s="308"/>
      <c r="S49" s="308"/>
      <c r="T49" s="308"/>
      <c r="U49" s="307"/>
      <c r="V49" s="307"/>
      <c r="W49" s="307"/>
      <c r="X49" s="307"/>
      <c r="Y49" s="308"/>
      <c r="Z49" s="308"/>
      <c r="AA49" s="307"/>
      <c r="AB49" s="307"/>
      <c r="AC49" s="307"/>
      <c r="AD49" s="308"/>
      <c r="AE49" s="313" t="s">
        <v>2254</v>
      </c>
      <c r="AF49" s="317" t="s">
        <v>364</v>
      </c>
      <c r="AG49" s="312" t="s">
        <v>2255</v>
      </c>
      <c r="AH49" s="312" t="s">
        <v>2197</v>
      </c>
      <c r="AI49" s="312">
        <v>240452</v>
      </c>
      <c r="AJ49" s="310"/>
      <c r="AK49" s="311" t="s">
        <v>2256</v>
      </c>
      <c r="AL49" s="312" t="s">
        <v>751</v>
      </c>
      <c r="AM49" s="312" t="s">
        <v>751</v>
      </c>
      <c r="AN49" s="312" t="s">
        <v>751</v>
      </c>
      <c r="AO49" s="312" t="s">
        <v>751</v>
      </c>
      <c r="AP49" s="312" t="s">
        <v>751</v>
      </c>
      <c r="AQ49" s="312" t="s">
        <v>751</v>
      </c>
      <c r="AR49" s="312" t="s">
        <v>751</v>
      </c>
      <c r="AS49" s="312" t="s">
        <v>751</v>
      </c>
      <c r="AT49" s="312" t="s">
        <v>751</v>
      </c>
      <c r="AU49" s="312" t="s">
        <v>751</v>
      </c>
      <c r="AV49" s="312" t="s">
        <v>751</v>
      </c>
      <c r="AW49" s="312" t="s">
        <v>751</v>
      </c>
      <c r="AX49" s="317" t="s">
        <v>2204</v>
      </c>
      <c r="AY49" s="313" t="s">
        <v>2205</v>
      </c>
    </row>
    <row r="50" spans="1:51" ht="395.25" x14ac:dyDescent="0.25">
      <c r="A50" s="349" t="s">
        <v>201</v>
      </c>
      <c r="B50" s="351"/>
      <c r="C50" s="859"/>
      <c r="D50" s="351"/>
      <c r="E50" s="351"/>
      <c r="F50" s="351"/>
      <c r="G50" s="351"/>
      <c r="H50" s="351"/>
      <c r="I50" s="351"/>
      <c r="J50" s="302"/>
      <c r="K50" s="302"/>
      <c r="L50" s="302"/>
      <c r="M50" s="307"/>
      <c r="N50" s="317"/>
      <c r="O50" s="308"/>
      <c r="P50" s="308"/>
      <c r="Q50" s="308"/>
      <c r="R50" s="308"/>
      <c r="S50" s="308"/>
      <c r="T50" s="308"/>
      <c r="U50" s="307"/>
      <c r="V50" s="307"/>
      <c r="W50" s="307"/>
      <c r="X50" s="307"/>
      <c r="Y50" s="308"/>
      <c r="Z50" s="308"/>
      <c r="AA50" s="307"/>
      <c r="AB50" s="307"/>
      <c r="AC50" s="307"/>
      <c r="AD50" s="308"/>
      <c r="AE50" s="313" t="s">
        <v>2257</v>
      </c>
      <c r="AF50" s="317" t="s">
        <v>364</v>
      </c>
      <c r="AG50" s="312" t="s">
        <v>2255</v>
      </c>
      <c r="AH50" s="312" t="s">
        <v>2197</v>
      </c>
      <c r="AI50" s="312">
        <v>91337</v>
      </c>
      <c r="AJ50" s="310"/>
      <c r="AK50" s="311" t="s">
        <v>2258</v>
      </c>
      <c r="AL50" s="312" t="s">
        <v>751</v>
      </c>
      <c r="AM50" s="312" t="s">
        <v>751</v>
      </c>
      <c r="AN50" s="312" t="s">
        <v>751</v>
      </c>
      <c r="AO50" s="312" t="s">
        <v>751</v>
      </c>
      <c r="AP50" s="312" t="s">
        <v>751</v>
      </c>
      <c r="AQ50" s="312" t="s">
        <v>751</v>
      </c>
      <c r="AR50" s="312" t="s">
        <v>751</v>
      </c>
      <c r="AS50" s="312" t="s">
        <v>751</v>
      </c>
      <c r="AT50" s="312" t="s">
        <v>751</v>
      </c>
      <c r="AU50" s="312" t="s">
        <v>751</v>
      </c>
      <c r="AV50" s="312" t="s">
        <v>751</v>
      </c>
      <c r="AW50" s="312" t="s">
        <v>751</v>
      </c>
      <c r="AX50" s="317" t="s">
        <v>2204</v>
      </c>
      <c r="AY50" s="313" t="s">
        <v>2205</v>
      </c>
    </row>
    <row r="51" spans="1:51" ht="89.25" x14ac:dyDescent="0.25">
      <c r="A51" s="349" t="s">
        <v>201</v>
      </c>
      <c r="B51" s="351"/>
      <c r="C51" s="859"/>
      <c r="D51" s="351"/>
      <c r="E51" s="351"/>
      <c r="F51" s="351"/>
      <c r="G51" s="351"/>
      <c r="H51" s="351"/>
      <c r="I51" s="351"/>
      <c r="J51" s="358"/>
      <c r="K51" s="302"/>
      <c r="L51" s="302"/>
      <c r="M51" s="307"/>
      <c r="N51" s="317"/>
      <c r="O51" s="308"/>
      <c r="P51" s="308"/>
      <c r="Q51" s="308"/>
      <c r="R51" s="308"/>
      <c r="S51" s="308"/>
      <c r="T51" s="308"/>
      <c r="U51" s="307"/>
      <c r="V51" s="307"/>
      <c r="W51" s="307"/>
      <c r="X51" s="307"/>
      <c r="Y51" s="308"/>
      <c r="Z51" s="308"/>
      <c r="AA51" s="307"/>
      <c r="AB51" s="307"/>
      <c r="AC51" s="307"/>
      <c r="AD51" s="308"/>
      <c r="AE51" s="313"/>
      <c r="AF51" s="317" t="s">
        <v>364</v>
      </c>
      <c r="AG51" s="317"/>
      <c r="AH51" s="312"/>
      <c r="AI51" s="332"/>
      <c r="AJ51" s="310"/>
      <c r="AK51" s="311"/>
      <c r="AL51" s="312"/>
      <c r="AM51" s="312"/>
      <c r="AN51" s="312"/>
      <c r="AO51" s="312"/>
      <c r="AP51" s="312"/>
      <c r="AQ51" s="312"/>
      <c r="AR51" s="312"/>
      <c r="AS51" s="333"/>
      <c r="AT51" s="312"/>
      <c r="AU51" s="312"/>
      <c r="AV51" s="328"/>
      <c r="AW51" s="328"/>
      <c r="AX51" s="317" t="s">
        <v>2204</v>
      </c>
      <c r="AY51" s="313"/>
    </row>
    <row r="52" spans="1:51" ht="127.5" x14ac:dyDescent="0.25">
      <c r="A52" s="349" t="s">
        <v>201</v>
      </c>
      <c r="B52" s="349" t="s">
        <v>2128</v>
      </c>
      <c r="C52" s="859"/>
      <c r="D52" s="351"/>
      <c r="E52" s="351"/>
      <c r="F52" s="349" t="s">
        <v>2132</v>
      </c>
      <c r="G52" s="351"/>
      <c r="H52" s="856" t="s">
        <v>2259</v>
      </c>
      <c r="I52" s="856" t="s">
        <v>2260</v>
      </c>
      <c r="J52" s="302">
        <v>5</v>
      </c>
      <c r="K52" s="302" t="str">
        <f>'[2]PLAN INDICATIVO'!O66</f>
        <v>Incremento</v>
      </c>
      <c r="L52" s="302">
        <v>4</v>
      </c>
      <c r="M52" s="302">
        <v>0.7</v>
      </c>
      <c r="N52" s="317" t="s">
        <v>2260</v>
      </c>
      <c r="O52" s="302">
        <f>+J52+M52</f>
        <v>5.7</v>
      </c>
      <c r="P52" s="329">
        <v>2500</v>
      </c>
      <c r="Q52" s="329"/>
      <c r="R52" s="330"/>
      <c r="S52" s="330"/>
      <c r="T52" s="329">
        <v>2500</v>
      </c>
      <c r="U52" s="307"/>
      <c r="V52" s="307"/>
      <c r="W52" s="307"/>
      <c r="X52" s="307"/>
      <c r="Y52" s="316"/>
      <c r="Z52" s="316"/>
      <c r="AA52" s="307"/>
      <c r="AB52" s="307"/>
      <c r="AC52" s="307"/>
      <c r="AD52" s="316"/>
      <c r="AE52" s="313" t="s">
        <v>2261</v>
      </c>
      <c r="AF52" s="317" t="s">
        <v>364</v>
      </c>
      <c r="AG52" s="317" t="s">
        <v>2178</v>
      </c>
      <c r="AH52" s="312" t="s">
        <v>2145</v>
      </c>
      <c r="AI52" s="307"/>
      <c r="AJ52" s="310"/>
      <c r="AK52" s="311"/>
      <c r="AL52" s="312" t="s">
        <v>751</v>
      </c>
      <c r="AM52" s="312" t="s">
        <v>751</v>
      </c>
      <c r="AN52" s="312" t="s">
        <v>751</v>
      </c>
      <c r="AO52" s="312" t="s">
        <v>751</v>
      </c>
      <c r="AP52" s="312" t="s">
        <v>751</v>
      </c>
      <c r="AQ52" s="312" t="s">
        <v>751</v>
      </c>
      <c r="AR52" s="312" t="s">
        <v>751</v>
      </c>
      <c r="AS52" s="312" t="s">
        <v>751</v>
      </c>
      <c r="AT52" s="312" t="s">
        <v>751</v>
      </c>
      <c r="AU52" s="312" t="s">
        <v>751</v>
      </c>
      <c r="AV52" s="312" t="s">
        <v>751</v>
      </c>
      <c r="AW52" s="312" t="s">
        <v>751</v>
      </c>
      <c r="AX52" s="317" t="s">
        <v>2204</v>
      </c>
      <c r="AY52" s="323" t="s">
        <v>2262</v>
      </c>
    </row>
    <row r="53" spans="1:51" ht="409.5" x14ac:dyDescent="0.25">
      <c r="A53" s="349" t="s">
        <v>201</v>
      </c>
      <c r="B53" s="349"/>
      <c r="C53" s="349"/>
      <c r="D53" s="351"/>
      <c r="E53" s="351"/>
      <c r="F53" s="349"/>
      <c r="G53" s="351"/>
      <c r="H53" s="856"/>
      <c r="I53" s="856"/>
      <c r="J53" s="302"/>
      <c r="K53" s="302"/>
      <c r="L53" s="302"/>
      <c r="M53" s="302"/>
      <c r="N53" s="317" t="s">
        <v>2260</v>
      </c>
      <c r="O53" s="302"/>
      <c r="P53" s="330"/>
      <c r="Q53" s="330"/>
      <c r="R53" s="330"/>
      <c r="S53" s="330"/>
      <c r="T53" s="330"/>
      <c r="U53" s="307"/>
      <c r="V53" s="307"/>
      <c r="W53" s="307"/>
      <c r="X53" s="307"/>
      <c r="Y53" s="308"/>
      <c r="Z53" s="308"/>
      <c r="AA53" s="307"/>
      <c r="AB53" s="307"/>
      <c r="AC53" s="307"/>
      <c r="AD53" s="308"/>
      <c r="AE53" s="313" t="s">
        <v>2263</v>
      </c>
      <c r="AF53" s="317" t="s">
        <v>364</v>
      </c>
      <c r="AG53" s="317" t="s">
        <v>1821</v>
      </c>
      <c r="AH53" s="312" t="s">
        <v>2166</v>
      </c>
      <c r="AI53" s="312">
        <v>638</v>
      </c>
      <c r="AJ53" s="310"/>
      <c r="AK53" s="311" t="s">
        <v>2264</v>
      </c>
      <c r="AL53" s="312" t="s">
        <v>751</v>
      </c>
      <c r="AM53" s="312" t="s">
        <v>751</v>
      </c>
      <c r="AN53" s="312" t="s">
        <v>751</v>
      </c>
      <c r="AO53" s="312" t="s">
        <v>751</v>
      </c>
      <c r="AP53" s="312" t="s">
        <v>751</v>
      </c>
      <c r="AQ53" s="312" t="s">
        <v>751</v>
      </c>
      <c r="AR53" s="312" t="s">
        <v>751</v>
      </c>
      <c r="AS53" s="312" t="s">
        <v>751</v>
      </c>
      <c r="AT53" s="312" t="s">
        <v>751</v>
      </c>
      <c r="AU53" s="312" t="s">
        <v>751</v>
      </c>
      <c r="AV53" s="312" t="s">
        <v>751</v>
      </c>
      <c r="AW53" s="312" t="s">
        <v>751</v>
      </c>
      <c r="AX53" s="317" t="s">
        <v>2204</v>
      </c>
      <c r="AY53" s="334" t="s">
        <v>2265</v>
      </c>
    </row>
    <row r="54" spans="1:51" ht="369.75" x14ac:dyDescent="0.25">
      <c r="A54" s="349" t="s">
        <v>201</v>
      </c>
      <c r="B54" s="349"/>
      <c r="C54" s="349"/>
      <c r="D54" s="351"/>
      <c r="E54" s="351"/>
      <c r="F54" s="349"/>
      <c r="G54" s="351"/>
      <c r="H54" s="856"/>
      <c r="I54" s="856"/>
      <c r="J54" s="302"/>
      <c r="K54" s="302"/>
      <c r="L54" s="302"/>
      <c r="M54" s="302"/>
      <c r="N54" s="317" t="s">
        <v>2260</v>
      </c>
      <c r="O54" s="302"/>
      <c r="P54" s="308"/>
      <c r="Q54" s="308"/>
      <c r="R54" s="308"/>
      <c r="S54" s="308"/>
      <c r="T54" s="308"/>
      <c r="U54" s="307"/>
      <c r="V54" s="307"/>
      <c r="W54" s="307"/>
      <c r="X54" s="307"/>
      <c r="Y54" s="308"/>
      <c r="Z54" s="308"/>
      <c r="AA54" s="307"/>
      <c r="AB54" s="307"/>
      <c r="AC54" s="307"/>
      <c r="AD54" s="308"/>
      <c r="AE54" s="313" t="s">
        <v>2266</v>
      </c>
      <c r="AF54" s="317" t="s">
        <v>364</v>
      </c>
      <c r="AG54" s="317" t="s">
        <v>1821</v>
      </c>
      <c r="AH54" s="312" t="s">
        <v>2166</v>
      </c>
      <c r="AI54" s="307"/>
      <c r="AJ54" s="310"/>
      <c r="AK54" s="311" t="s">
        <v>2267</v>
      </c>
      <c r="AL54" s="312" t="s">
        <v>751</v>
      </c>
      <c r="AM54" s="312" t="s">
        <v>751</v>
      </c>
      <c r="AN54" s="312" t="s">
        <v>751</v>
      </c>
      <c r="AO54" s="312" t="s">
        <v>751</v>
      </c>
      <c r="AP54" s="312" t="s">
        <v>751</v>
      </c>
      <c r="AQ54" s="312" t="s">
        <v>751</v>
      </c>
      <c r="AR54" s="312" t="s">
        <v>751</v>
      </c>
      <c r="AS54" s="312" t="s">
        <v>751</v>
      </c>
      <c r="AT54" s="312" t="s">
        <v>751</v>
      </c>
      <c r="AU54" s="312" t="s">
        <v>751</v>
      </c>
      <c r="AV54" s="312" t="s">
        <v>751</v>
      </c>
      <c r="AW54" s="312" t="s">
        <v>751</v>
      </c>
      <c r="AX54" s="317" t="s">
        <v>2204</v>
      </c>
      <c r="AY54" s="334" t="s">
        <v>2268</v>
      </c>
    </row>
    <row r="55" spans="1:51" ht="395.25" x14ac:dyDescent="0.25">
      <c r="A55" s="349" t="s">
        <v>201</v>
      </c>
      <c r="B55" s="349"/>
      <c r="C55" s="349"/>
      <c r="D55" s="351"/>
      <c r="E55" s="351"/>
      <c r="F55" s="349"/>
      <c r="G55" s="351"/>
      <c r="H55" s="856"/>
      <c r="I55" s="856"/>
      <c r="J55" s="302"/>
      <c r="K55" s="302"/>
      <c r="L55" s="302"/>
      <c r="M55" s="302"/>
      <c r="N55" s="317" t="s">
        <v>2260</v>
      </c>
      <c r="O55" s="302"/>
      <c r="P55" s="308"/>
      <c r="Q55" s="308"/>
      <c r="R55" s="308"/>
      <c r="S55" s="308"/>
      <c r="T55" s="308"/>
      <c r="U55" s="307"/>
      <c r="V55" s="307"/>
      <c r="W55" s="307"/>
      <c r="X55" s="307"/>
      <c r="Y55" s="308"/>
      <c r="Z55" s="308"/>
      <c r="AA55" s="307"/>
      <c r="AB55" s="307"/>
      <c r="AC55" s="307"/>
      <c r="AD55" s="308"/>
      <c r="AE55" s="313" t="s">
        <v>2269</v>
      </c>
      <c r="AF55" s="317" t="s">
        <v>364</v>
      </c>
      <c r="AG55" s="317" t="s">
        <v>1821</v>
      </c>
      <c r="AH55" s="312" t="s">
        <v>2166</v>
      </c>
      <c r="AI55" s="307"/>
      <c r="AJ55" s="310"/>
      <c r="AK55" s="311" t="s">
        <v>2270</v>
      </c>
      <c r="AL55" s="312" t="s">
        <v>751</v>
      </c>
      <c r="AM55" s="312" t="s">
        <v>751</v>
      </c>
      <c r="AN55" s="312" t="s">
        <v>751</v>
      </c>
      <c r="AO55" s="312" t="s">
        <v>751</v>
      </c>
      <c r="AP55" s="312" t="s">
        <v>751</v>
      </c>
      <c r="AQ55" s="312" t="s">
        <v>751</v>
      </c>
      <c r="AR55" s="312" t="s">
        <v>751</v>
      </c>
      <c r="AS55" s="312" t="s">
        <v>751</v>
      </c>
      <c r="AT55" s="312" t="s">
        <v>751</v>
      </c>
      <c r="AU55" s="312" t="s">
        <v>751</v>
      </c>
      <c r="AV55" s="312" t="s">
        <v>751</v>
      </c>
      <c r="AW55" s="312" t="s">
        <v>751</v>
      </c>
      <c r="AX55" s="317" t="s">
        <v>2204</v>
      </c>
      <c r="AY55" s="334" t="s">
        <v>2271</v>
      </c>
    </row>
    <row r="56" spans="1:51" ht="409.5" x14ac:dyDescent="0.25">
      <c r="A56" s="349" t="s">
        <v>201</v>
      </c>
      <c r="B56" s="349"/>
      <c r="C56" s="349"/>
      <c r="D56" s="351"/>
      <c r="E56" s="351"/>
      <c r="F56" s="349"/>
      <c r="G56" s="351"/>
      <c r="H56" s="856"/>
      <c r="I56" s="856"/>
      <c r="J56" s="302"/>
      <c r="K56" s="302"/>
      <c r="L56" s="302"/>
      <c r="M56" s="302"/>
      <c r="N56" s="317" t="s">
        <v>2260</v>
      </c>
      <c r="O56" s="302"/>
      <c r="P56" s="308"/>
      <c r="Q56" s="308"/>
      <c r="R56" s="308"/>
      <c r="S56" s="308"/>
      <c r="T56" s="308"/>
      <c r="U56" s="307"/>
      <c r="V56" s="307"/>
      <c r="W56" s="307"/>
      <c r="X56" s="307"/>
      <c r="Y56" s="308"/>
      <c r="Z56" s="308"/>
      <c r="AA56" s="307"/>
      <c r="AB56" s="307"/>
      <c r="AC56" s="307"/>
      <c r="AD56" s="308"/>
      <c r="AE56" s="313" t="s">
        <v>2272</v>
      </c>
      <c r="AF56" s="317" t="s">
        <v>364</v>
      </c>
      <c r="AG56" s="317" t="s">
        <v>2273</v>
      </c>
      <c r="AH56" s="312" t="s">
        <v>2197</v>
      </c>
      <c r="AI56" s="307"/>
      <c r="AJ56" s="310"/>
      <c r="AK56" s="311" t="s">
        <v>2274</v>
      </c>
      <c r="AL56" s="312" t="s">
        <v>751</v>
      </c>
      <c r="AM56" s="312" t="s">
        <v>751</v>
      </c>
      <c r="AN56" s="312" t="s">
        <v>751</v>
      </c>
      <c r="AO56" s="312" t="s">
        <v>751</v>
      </c>
      <c r="AP56" s="312" t="s">
        <v>751</v>
      </c>
      <c r="AQ56" s="312" t="s">
        <v>751</v>
      </c>
      <c r="AR56" s="312" t="s">
        <v>751</v>
      </c>
      <c r="AS56" s="312" t="s">
        <v>751</v>
      </c>
      <c r="AT56" s="312" t="s">
        <v>751</v>
      </c>
      <c r="AU56" s="312" t="s">
        <v>751</v>
      </c>
      <c r="AV56" s="312" t="s">
        <v>751</v>
      </c>
      <c r="AW56" s="312" t="s">
        <v>751</v>
      </c>
      <c r="AX56" s="317" t="s">
        <v>2204</v>
      </c>
      <c r="AY56" s="323" t="s">
        <v>2275</v>
      </c>
    </row>
    <row r="57" spans="1:51" ht="216.75" x14ac:dyDescent="0.25">
      <c r="A57" s="349" t="s">
        <v>201</v>
      </c>
      <c r="B57" s="349"/>
      <c r="C57" s="349"/>
      <c r="D57" s="351"/>
      <c r="E57" s="351"/>
      <c r="F57" s="349"/>
      <c r="G57" s="351"/>
      <c r="H57" s="856"/>
      <c r="I57" s="856"/>
      <c r="J57" s="302"/>
      <c r="K57" s="302"/>
      <c r="L57" s="302"/>
      <c r="M57" s="302"/>
      <c r="N57" s="317" t="s">
        <v>2260</v>
      </c>
      <c r="O57" s="302"/>
      <c r="P57" s="308"/>
      <c r="Q57" s="308"/>
      <c r="R57" s="308"/>
      <c r="S57" s="308"/>
      <c r="T57" s="308"/>
      <c r="U57" s="307"/>
      <c r="V57" s="307"/>
      <c r="W57" s="307"/>
      <c r="X57" s="307"/>
      <c r="Y57" s="308"/>
      <c r="Z57" s="308"/>
      <c r="AA57" s="307"/>
      <c r="AB57" s="307"/>
      <c r="AC57" s="307"/>
      <c r="AD57" s="308"/>
      <c r="AE57" s="313" t="s">
        <v>2276</v>
      </c>
      <c r="AF57" s="317" t="s">
        <v>364</v>
      </c>
      <c r="AG57" s="312" t="s">
        <v>2277</v>
      </c>
      <c r="AH57" s="312">
        <v>289</v>
      </c>
      <c r="AI57" s="307"/>
      <c r="AJ57" s="310">
        <v>1005972.958</v>
      </c>
      <c r="AK57" s="311" t="s">
        <v>2278</v>
      </c>
      <c r="AL57" s="312" t="s">
        <v>751</v>
      </c>
      <c r="AM57" s="312" t="s">
        <v>751</v>
      </c>
      <c r="AN57" s="312" t="s">
        <v>751</v>
      </c>
      <c r="AO57" s="312" t="s">
        <v>751</v>
      </c>
      <c r="AP57" s="312" t="s">
        <v>751</v>
      </c>
      <c r="AQ57" s="312" t="s">
        <v>751</v>
      </c>
      <c r="AR57" s="312" t="s">
        <v>751</v>
      </c>
      <c r="AS57" s="312" t="s">
        <v>751</v>
      </c>
      <c r="AT57" s="312" t="s">
        <v>751</v>
      </c>
      <c r="AU57" s="312" t="s">
        <v>751</v>
      </c>
      <c r="AV57" s="312" t="s">
        <v>751</v>
      </c>
      <c r="AW57" s="312" t="s">
        <v>751</v>
      </c>
      <c r="AX57" s="317"/>
      <c r="AY57" s="323"/>
    </row>
    <row r="58" spans="1:51" ht="76.5" x14ac:dyDescent="0.25">
      <c r="A58" s="349" t="s">
        <v>201</v>
      </c>
      <c r="B58" s="349"/>
      <c r="C58" s="349"/>
      <c r="D58" s="349"/>
      <c r="E58" s="361"/>
      <c r="F58" s="349"/>
      <c r="G58" s="349"/>
      <c r="H58" s="856"/>
      <c r="I58" s="856"/>
      <c r="J58" s="354"/>
      <c r="K58" s="302"/>
      <c r="L58" s="302"/>
      <c r="M58" s="307"/>
      <c r="N58" s="317"/>
      <c r="O58" s="308"/>
      <c r="P58" s="308"/>
      <c r="Q58" s="308"/>
      <c r="R58" s="308"/>
      <c r="S58" s="308"/>
      <c r="T58" s="308"/>
      <c r="U58" s="307"/>
      <c r="V58" s="307"/>
      <c r="W58" s="307"/>
      <c r="X58" s="307"/>
      <c r="Y58" s="308"/>
      <c r="Z58" s="308"/>
      <c r="AA58" s="307"/>
      <c r="AB58" s="307"/>
      <c r="AC58" s="307"/>
      <c r="AD58" s="308"/>
      <c r="AE58" s="307"/>
      <c r="AF58" s="317" t="s">
        <v>364</v>
      </c>
      <c r="AG58" s="307"/>
      <c r="AH58" s="307"/>
      <c r="AI58" s="307"/>
      <c r="AJ58" s="310"/>
      <c r="AK58" s="311"/>
      <c r="AL58" s="312"/>
      <c r="AM58" s="312"/>
      <c r="AN58" s="312"/>
      <c r="AO58" s="312"/>
      <c r="AP58" s="312"/>
      <c r="AQ58" s="328"/>
      <c r="AR58" s="328"/>
      <c r="AS58" s="328"/>
      <c r="AT58" s="328"/>
      <c r="AU58" s="328"/>
      <c r="AV58" s="328"/>
      <c r="AW58" s="328"/>
      <c r="AX58" s="317"/>
      <c r="AY58" s="307"/>
    </row>
    <row r="59" spans="1:51" ht="191.25" x14ac:dyDescent="0.25">
      <c r="A59" s="349" t="s">
        <v>201</v>
      </c>
      <c r="B59" s="351" t="s">
        <v>2128</v>
      </c>
      <c r="C59" s="856" t="s">
        <v>2279</v>
      </c>
      <c r="D59" s="856" t="s">
        <v>2280</v>
      </c>
      <c r="E59" s="350">
        <v>0</v>
      </c>
      <c r="F59" s="340" t="s">
        <v>2281</v>
      </c>
      <c r="G59" s="351" t="s">
        <v>2282</v>
      </c>
      <c r="H59" s="340" t="s">
        <v>2283</v>
      </c>
      <c r="I59" s="340" t="s">
        <v>2284</v>
      </c>
      <c r="J59" s="302">
        <v>0</v>
      </c>
      <c r="K59" s="302" t="str">
        <f>'[2]PLAN INDICATIVO'!O67</f>
        <v>Incremento</v>
      </c>
      <c r="L59" s="302">
        <v>10</v>
      </c>
      <c r="M59" s="307">
        <v>5</v>
      </c>
      <c r="N59" s="317" t="s">
        <v>2284</v>
      </c>
      <c r="O59" s="308"/>
      <c r="P59" s="330">
        <v>1870</v>
      </c>
      <c r="Q59" s="330"/>
      <c r="R59" s="330"/>
      <c r="S59" s="330"/>
      <c r="T59" s="330">
        <f>P59-Z59</f>
        <v>1870</v>
      </c>
      <c r="U59" s="307"/>
      <c r="V59" s="307"/>
      <c r="W59" s="307"/>
      <c r="X59" s="307"/>
      <c r="Y59" s="307"/>
      <c r="Z59" s="307"/>
      <c r="AA59" s="307"/>
      <c r="AB59" s="307"/>
      <c r="AC59" s="307"/>
      <c r="AD59" s="307"/>
      <c r="AE59" s="307" t="s">
        <v>2285</v>
      </c>
      <c r="AF59" s="317"/>
      <c r="AG59" s="307" t="s">
        <v>2286</v>
      </c>
      <c r="AH59" s="307" t="s">
        <v>2286</v>
      </c>
      <c r="AI59" s="307" t="s">
        <v>2286</v>
      </c>
      <c r="AJ59" s="310">
        <v>1500000</v>
      </c>
      <c r="AK59" s="311" t="s">
        <v>2287</v>
      </c>
      <c r="AL59" s="328"/>
      <c r="AM59" s="328" t="s">
        <v>751</v>
      </c>
      <c r="AN59" s="328" t="s">
        <v>751</v>
      </c>
      <c r="AO59" s="328" t="s">
        <v>751</v>
      </c>
      <c r="AP59" s="328" t="s">
        <v>751</v>
      </c>
      <c r="AQ59" s="328" t="s">
        <v>751</v>
      </c>
      <c r="AR59" s="328" t="s">
        <v>751</v>
      </c>
      <c r="AS59" s="328" t="s">
        <v>751</v>
      </c>
      <c r="AT59" s="328" t="s">
        <v>751</v>
      </c>
      <c r="AU59" s="328" t="s">
        <v>751</v>
      </c>
      <c r="AV59" s="328" t="s">
        <v>751</v>
      </c>
      <c r="AW59" s="328" t="s">
        <v>751</v>
      </c>
      <c r="AX59" s="317" t="s">
        <v>2288</v>
      </c>
      <c r="AY59" s="306" t="s">
        <v>2289</v>
      </c>
    </row>
    <row r="60" spans="1:51" ht="178.5" x14ac:dyDescent="0.25">
      <c r="A60" s="349" t="s">
        <v>201</v>
      </c>
      <c r="B60" s="340" t="s">
        <v>2128</v>
      </c>
      <c r="C60" s="856"/>
      <c r="D60" s="856"/>
      <c r="E60" s="351"/>
      <c r="F60" s="340" t="s">
        <v>2281</v>
      </c>
      <c r="G60" s="351"/>
      <c r="H60" s="340" t="s">
        <v>2290</v>
      </c>
      <c r="I60" s="340" t="s">
        <v>2291</v>
      </c>
      <c r="J60" s="302">
        <v>0</v>
      </c>
      <c r="K60" s="302" t="str">
        <f>'[2]PLAN INDICATIVO'!O68</f>
        <v>Incremento</v>
      </c>
      <c r="L60" s="302">
        <v>15</v>
      </c>
      <c r="M60" s="307">
        <v>6</v>
      </c>
      <c r="N60" s="317" t="s">
        <v>2291</v>
      </c>
      <c r="O60" s="308"/>
      <c r="P60" s="330">
        <v>1250</v>
      </c>
      <c r="Q60" s="330"/>
      <c r="R60" s="330"/>
      <c r="S60" s="330"/>
      <c r="T60" s="330">
        <f>P60-Z60</f>
        <v>1250</v>
      </c>
      <c r="U60" s="307"/>
      <c r="V60" s="307"/>
      <c r="W60" s="307"/>
      <c r="X60" s="307"/>
      <c r="Y60" s="307"/>
      <c r="Z60" s="307"/>
      <c r="AA60" s="307"/>
      <c r="AB60" s="330"/>
      <c r="AC60" s="307"/>
      <c r="AD60" s="307"/>
      <c r="AE60" s="307" t="s">
        <v>2285</v>
      </c>
      <c r="AF60" s="317"/>
      <c r="AG60" s="307" t="s">
        <v>2286</v>
      </c>
      <c r="AH60" s="307" t="s">
        <v>2286</v>
      </c>
      <c r="AI60" s="307" t="s">
        <v>2286</v>
      </c>
      <c r="AJ60" s="310">
        <v>800000</v>
      </c>
      <c r="AK60" s="311" t="s">
        <v>2292</v>
      </c>
      <c r="AL60" s="328"/>
      <c r="AM60" s="328" t="s">
        <v>751</v>
      </c>
      <c r="AN60" s="328" t="s">
        <v>751</v>
      </c>
      <c r="AO60" s="328" t="s">
        <v>751</v>
      </c>
      <c r="AP60" s="328" t="s">
        <v>751</v>
      </c>
      <c r="AQ60" s="328" t="s">
        <v>751</v>
      </c>
      <c r="AR60" s="328" t="s">
        <v>751</v>
      </c>
      <c r="AS60" s="328" t="s">
        <v>751</v>
      </c>
      <c r="AT60" s="328" t="s">
        <v>751</v>
      </c>
      <c r="AU60" s="328" t="s">
        <v>751</v>
      </c>
      <c r="AV60" s="328" t="s">
        <v>751</v>
      </c>
      <c r="AW60" s="328" t="s">
        <v>751</v>
      </c>
      <c r="AX60" s="317" t="s">
        <v>2288</v>
      </c>
      <c r="AY60" s="306" t="s">
        <v>2289</v>
      </c>
    </row>
    <row r="61" spans="1:51" ht="382.5" x14ac:dyDescent="0.25">
      <c r="A61" s="349" t="s">
        <v>201</v>
      </c>
      <c r="B61" s="351" t="s">
        <v>2128</v>
      </c>
      <c r="C61" s="857" t="s">
        <v>2293</v>
      </c>
      <c r="D61" s="857" t="s">
        <v>2294</v>
      </c>
      <c r="E61" s="858" t="s">
        <v>2295</v>
      </c>
      <c r="F61" s="351" t="s">
        <v>2281</v>
      </c>
      <c r="G61" s="351"/>
      <c r="H61" s="856" t="s">
        <v>2296</v>
      </c>
      <c r="I61" s="856" t="s">
        <v>2297</v>
      </c>
      <c r="J61" s="302">
        <v>0</v>
      </c>
      <c r="K61" s="302" t="str">
        <f>'[2]PLAN INDICATIVO'!O69</f>
        <v>Mantenimiento</v>
      </c>
      <c r="L61" s="359">
        <v>1</v>
      </c>
      <c r="M61" s="362">
        <v>1</v>
      </c>
      <c r="N61" s="317" t="s">
        <v>2298</v>
      </c>
      <c r="O61" s="363">
        <f>+J61+M61</f>
        <v>1</v>
      </c>
      <c r="P61" s="330">
        <v>1100</v>
      </c>
      <c r="Q61" s="330"/>
      <c r="R61" s="330"/>
      <c r="S61" s="330"/>
      <c r="T61" s="330">
        <v>1100</v>
      </c>
      <c r="U61" s="335"/>
      <c r="V61" s="307"/>
      <c r="W61" s="307"/>
      <c r="X61" s="307"/>
      <c r="Y61" s="307"/>
      <c r="Z61" s="307"/>
      <c r="AA61" s="307"/>
      <c r="AB61" s="307"/>
      <c r="AC61" s="307"/>
      <c r="AD61" s="307"/>
      <c r="AE61" s="313" t="s">
        <v>2299</v>
      </c>
      <c r="AF61" s="317" t="s">
        <v>364</v>
      </c>
      <c r="AG61" s="301" t="s">
        <v>2300</v>
      </c>
      <c r="AH61" s="301" t="s">
        <v>2166</v>
      </c>
      <c r="AI61" s="309" t="s">
        <v>2301</v>
      </c>
      <c r="AJ61" s="310"/>
      <c r="AK61" s="311" t="s">
        <v>2302</v>
      </c>
      <c r="AL61" s="312" t="s">
        <v>751</v>
      </c>
      <c r="AM61" s="312" t="s">
        <v>751</v>
      </c>
      <c r="AN61" s="312" t="s">
        <v>751</v>
      </c>
      <c r="AO61" s="312" t="s">
        <v>751</v>
      </c>
      <c r="AP61" s="312" t="s">
        <v>751</v>
      </c>
      <c r="AQ61" s="312" t="s">
        <v>751</v>
      </c>
      <c r="AR61" s="312" t="s">
        <v>751</v>
      </c>
      <c r="AS61" s="312" t="s">
        <v>751</v>
      </c>
      <c r="AT61" s="312" t="s">
        <v>751</v>
      </c>
      <c r="AU61" s="312" t="s">
        <v>751</v>
      </c>
      <c r="AV61" s="312" t="s">
        <v>751</v>
      </c>
      <c r="AW61" s="312" t="s">
        <v>751</v>
      </c>
      <c r="AX61" s="336" t="s">
        <v>2303</v>
      </c>
      <c r="AY61" s="313" t="s">
        <v>2304</v>
      </c>
    </row>
    <row r="62" spans="1:51" ht="178.5" x14ac:dyDescent="0.25">
      <c r="A62" s="349" t="s">
        <v>201</v>
      </c>
      <c r="B62" s="351"/>
      <c r="C62" s="857"/>
      <c r="D62" s="857"/>
      <c r="E62" s="858"/>
      <c r="F62" s="351"/>
      <c r="G62" s="351"/>
      <c r="H62" s="856"/>
      <c r="I62" s="856"/>
      <c r="J62" s="302"/>
      <c r="K62" s="302"/>
      <c r="L62" s="359"/>
      <c r="M62" s="362"/>
      <c r="N62" s="317"/>
      <c r="O62" s="363"/>
      <c r="P62" s="330"/>
      <c r="Q62" s="330"/>
      <c r="R62" s="330"/>
      <c r="S62" s="330"/>
      <c r="T62" s="330"/>
      <c r="U62" s="335"/>
      <c r="V62" s="307"/>
      <c r="W62" s="307"/>
      <c r="X62" s="307"/>
      <c r="Y62" s="307"/>
      <c r="Z62" s="307"/>
      <c r="AA62" s="307"/>
      <c r="AB62" s="307"/>
      <c r="AC62" s="307"/>
      <c r="AD62" s="307"/>
      <c r="AE62" s="313" t="s">
        <v>2305</v>
      </c>
      <c r="AF62" s="317" t="s">
        <v>364</v>
      </c>
      <c r="AG62" s="301" t="s">
        <v>2306</v>
      </c>
      <c r="AH62" s="301" t="s">
        <v>2138</v>
      </c>
      <c r="AI62" s="337">
        <v>375</v>
      </c>
      <c r="AJ62" s="310">
        <v>205296.791</v>
      </c>
      <c r="AK62" s="311" t="s">
        <v>2307</v>
      </c>
      <c r="AL62" s="312" t="s">
        <v>751</v>
      </c>
      <c r="AM62" s="312" t="s">
        <v>751</v>
      </c>
      <c r="AN62" s="312" t="s">
        <v>751</v>
      </c>
      <c r="AO62" s="312" t="s">
        <v>751</v>
      </c>
      <c r="AP62" s="312" t="s">
        <v>751</v>
      </c>
      <c r="AQ62" s="312" t="s">
        <v>751</v>
      </c>
      <c r="AR62" s="312"/>
      <c r="AS62" s="312"/>
      <c r="AT62" s="312"/>
      <c r="AU62" s="312"/>
      <c r="AV62" s="312"/>
      <c r="AW62" s="312"/>
      <c r="AX62" s="336" t="s">
        <v>2308</v>
      </c>
      <c r="AY62" s="313" t="s">
        <v>2309</v>
      </c>
    </row>
    <row r="63" spans="1:51" ht="191.25" x14ac:dyDescent="0.25">
      <c r="A63" s="349" t="s">
        <v>201</v>
      </c>
      <c r="B63" s="351"/>
      <c r="C63" s="857"/>
      <c r="D63" s="857"/>
      <c r="E63" s="858"/>
      <c r="F63" s="351"/>
      <c r="G63" s="351"/>
      <c r="H63" s="856"/>
      <c r="I63" s="856"/>
      <c r="J63" s="354"/>
      <c r="K63" s="302"/>
      <c r="L63" s="359"/>
      <c r="M63" s="307"/>
      <c r="N63" s="317"/>
      <c r="O63" s="364"/>
      <c r="P63" s="330"/>
      <c r="Q63" s="330"/>
      <c r="R63" s="330"/>
      <c r="S63" s="330"/>
      <c r="T63" s="330"/>
      <c r="U63" s="307"/>
      <c r="V63" s="307"/>
      <c r="W63" s="307"/>
      <c r="X63" s="307"/>
      <c r="Y63" s="308"/>
      <c r="Z63" s="308"/>
      <c r="AA63" s="307"/>
      <c r="AB63" s="307"/>
      <c r="AC63" s="307"/>
      <c r="AD63" s="308"/>
      <c r="AE63" s="313" t="s">
        <v>2310</v>
      </c>
      <c r="AF63" s="317" t="s">
        <v>364</v>
      </c>
      <c r="AG63" s="301" t="s">
        <v>2311</v>
      </c>
      <c r="AH63" s="301" t="s">
        <v>2166</v>
      </c>
      <c r="AI63" s="309">
        <f>234*4</f>
        <v>936</v>
      </c>
      <c r="AJ63" s="310">
        <v>250000000</v>
      </c>
      <c r="AK63" s="311" t="s">
        <v>2312</v>
      </c>
      <c r="AL63" s="312" t="s">
        <v>751</v>
      </c>
      <c r="AM63" s="312" t="s">
        <v>751</v>
      </c>
      <c r="AN63" s="312" t="s">
        <v>751</v>
      </c>
      <c r="AO63" s="312" t="s">
        <v>751</v>
      </c>
      <c r="AP63" s="312" t="s">
        <v>751</v>
      </c>
      <c r="AQ63" s="312" t="s">
        <v>751</v>
      </c>
      <c r="AR63" s="328"/>
      <c r="AS63" s="328"/>
      <c r="AT63" s="328"/>
      <c r="AU63" s="328"/>
      <c r="AV63" s="328"/>
      <c r="AW63" s="328"/>
      <c r="AX63" s="338" t="s">
        <v>2204</v>
      </c>
      <c r="AY63" s="313" t="s">
        <v>2313</v>
      </c>
    </row>
    <row r="64" spans="1:51" ht="293.25" x14ac:dyDescent="0.25">
      <c r="A64" s="349" t="s">
        <v>201</v>
      </c>
      <c r="B64" s="351" t="s">
        <v>2128</v>
      </c>
      <c r="C64" s="857"/>
      <c r="D64" s="857"/>
      <c r="E64" s="858"/>
      <c r="F64" s="351" t="s">
        <v>2281</v>
      </c>
      <c r="G64" s="351"/>
      <c r="H64" s="856" t="s">
        <v>2314</v>
      </c>
      <c r="I64" s="856" t="s">
        <v>2315</v>
      </c>
      <c r="J64" s="302">
        <v>0</v>
      </c>
      <c r="K64" s="302" t="str">
        <f>'[2]PLAN INDICATIVO'!O70</f>
        <v>Incremento</v>
      </c>
      <c r="L64" s="302">
        <v>10</v>
      </c>
      <c r="M64" s="302">
        <v>3</v>
      </c>
      <c r="N64" s="317" t="s">
        <v>2315</v>
      </c>
      <c r="O64" s="308"/>
      <c r="P64" s="330">
        <v>900</v>
      </c>
      <c r="Q64" s="330"/>
      <c r="R64" s="330"/>
      <c r="S64" s="330"/>
      <c r="T64" s="330">
        <v>900</v>
      </c>
      <c r="U64" s="307"/>
      <c r="V64" s="307"/>
      <c r="W64" s="307"/>
      <c r="X64" s="307"/>
      <c r="Y64" s="307"/>
      <c r="Z64" s="307"/>
      <c r="AA64" s="307"/>
      <c r="AB64" s="307"/>
      <c r="AC64" s="307"/>
      <c r="AD64" s="307"/>
      <c r="AE64" s="323" t="s">
        <v>2316</v>
      </c>
      <c r="AF64" s="317" t="s">
        <v>364</v>
      </c>
      <c r="AG64" s="312" t="s">
        <v>2255</v>
      </c>
      <c r="AH64" s="312" t="s">
        <v>2197</v>
      </c>
      <c r="AI64" s="312">
        <f>(70000*4)*15%</f>
        <v>42000</v>
      </c>
      <c r="AJ64" s="310">
        <v>110000</v>
      </c>
      <c r="AK64" s="311" t="s">
        <v>2317</v>
      </c>
      <c r="AL64" s="328"/>
      <c r="AM64" s="328"/>
      <c r="AN64" s="328"/>
      <c r="AO64" s="328"/>
      <c r="AP64" s="328"/>
      <c r="AQ64" s="328"/>
      <c r="AR64" s="328"/>
      <c r="AS64" s="328"/>
      <c r="AT64" s="328"/>
      <c r="AU64" s="328"/>
      <c r="AV64" s="312" t="s">
        <v>751</v>
      </c>
      <c r="AW64" s="312" t="s">
        <v>751</v>
      </c>
      <c r="AX64" s="308"/>
      <c r="AY64" s="335" t="s">
        <v>2318</v>
      </c>
    </row>
    <row r="65" spans="1:51" ht="128.25" x14ac:dyDescent="0.25">
      <c r="A65" s="349" t="s">
        <v>201</v>
      </c>
      <c r="B65" s="351"/>
      <c r="C65" s="857"/>
      <c r="D65" s="857"/>
      <c r="E65" s="858"/>
      <c r="F65" s="351"/>
      <c r="G65" s="351"/>
      <c r="H65" s="856"/>
      <c r="I65" s="856"/>
      <c r="J65" s="354"/>
      <c r="K65" s="302"/>
      <c r="L65" s="302"/>
      <c r="M65" s="302"/>
      <c r="N65" s="312"/>
      <c r="O65" s="308"/>
      <c r="P65" s="307"/>
      <c r="Q65" s="307"/>
      <c r="R65" s="308"/>
      <c r="S65" s="308"/>
      <c r="T65" s="307"/>
      <c r="U65" s="307"/>
      <c r="V65" s="307"/>
      <c r="W65" s="307"/>
      <c r="X65" s="307"/>
      <c r="Y65" s="307"/>
      <c r="Z65" s="307"/>
      <c r="AA65" s="307"/>
      <c r="AB65" s="307"/>
      <c r="AC65" s="307"/>
      <c r="AD65" s="307"/>
      <c r="AE65" s="335" t="s">
        <v>2319</v>
      </c>
      <c r="AF65" s="317" t="s">
        <v>364</v>
      </c>
      <c r="AG65" s="312" t="s">
        <v>2320</v>
      </c>
      <c r="AH65" s="312" t="s">
        <v>2145</v>
      </c>
      <c r="AI65" s="312">
        <v>3043</v>
      </c>
      <c r="AJ65" s="310"/>
      <c r="AK65" s="311" t="s">
        <v>2321</v>
      </c>
      <c r="AL65" s="328"/>
      <c r="AM65" s="328"/>
      <c r="AN65" s="328"/>
      <c r="AO65" s="328"/>
      <c r="AP65" s="328"/>
      <c r="AQ65" s="328"/>
      <c r="AR65" s="328"/>
      <c r="AS65" s="328"/>
      <c r="AT65" s="328"/>
      <c r="AU65" s="328"/>
      <c r="AV65" s="328"/>
      <c r="AW65" s="328"/>
      <c r="AX65" s="317" t="s">
        <v>2204</v>
      </c>
      <c r="AY65" s="335" t="s">
        <v>2322</v>
      </c>
    </row>
    <row r="66" spans="1:51" ht="409.5" x14ac:dyDescent="0.25">
      <c r="A66" s="349" t="s">
        <v>201</v>
      </c>
      <c r="B66" s="340" t="s">
        <v>2128</v>
      </c>
      <c r="C66" s="340" t="s">
        <v>2323</v>
      </c>
      <c r="D66" s="340" t="s">
        <v>2324</v>
      </c>
      <c r="E66" s="350">
        <v>18</v>
      </c>
      <c r="F66" s="361" t="s">
        <v>2281</v>
      </c>
      <c r="G66" s="351"/>
      <c r="H66" s="351" t="s">
        <v>2325</v>
      </c>
      <c r="I66" s="351" t="s">
        <v>2326</v>
      </c>
      <c r="J66" s="365">
        <v>18</v>
      </c>
      <c r="K66" s="365">
        <f>'[2]PLAN INDICATIVO'!P71</f>
        <v>21</v>
      </c>
      <c r="L66" s="365">
        <v>21</v>
      </c>
      <c r="M66" s="307">
        <v>5</v>
      </c>
      <c r="N66" s="335" t="s">
        <v>2326</v>
      </c>
      <c r="O66" s="308"/>
      <c r="P66" s="330">
        <v>1000</v>
      </c>
      <c r="Q66" s="330"/>
      <c r="R66" s="330"/>
      <c r="S66" s="330"/>
      <c r="T66" s="330">
        <v>1000</v>
      </c>
      <c r="U66" s="307"/>
      <c r="V66" s="307"/>
      <c r="W66" s="307"/>
      <c r="X66" s="307"/>
      <c r="Y66" s="307"/>
      <c r="Z66" s="307"/>
      <c r="AA66" s="307"/>
      <c r="AB66" s="307"/>
      <c r="AC66" s="307"/>
      <c r="AD66" s="307"/>
      <c r="AE66" s="313" t="s">
        <v>2327</v>
      </c>
      <c r="AF66" s="317" t="s">
        <v>364</v>
      </c>
      <c r="AG66" s="313" t="s">
        <v>2328</v>
      </c>
      <c r="AH66" s="313" t="s">
        <v>2166</v>
      </c>
      <c r="AI66" s="317">
        <v>5285</v>
      </c>
      <c r="AJ66" s="310">
        <v>192966</v>
      </c>
      <c r="AK66" s="311" t="s">
        <v>2329</v>
      </c>
      <c r="AL66" s="317" t="s">
        <v>751</v>
      </c>
      <c r="AM66" s="317" t="s">
        <v>751</v>
      </c>
      <c r="AN66" s="317" t="s">
        <v>751</v>
      </c>
      <c r="AO66" s="317" t="s">
        <v>751</v>
      </c>
      <c r="AP66" s="317" t="s">
        <v>751</v>
      </c>
      <c r="AQ66" s="317" t="s">
        <v>751</v>
      </c>
      <c r="AR66" s="317"/>
      <c r="AS66" s="317"/>
      <c r="AT66" s="317"/>
      <c r="AU66" s="317"/>
      <c r="AV66" s="317"/>
      <c r="AW66" s="317"/>
      <c r="AX66" s="313" t="s">
        <v>2330</v>
      </c>
      <c r="AY66" s="339" t="s">
        <v>2331</v>
      </c>
    </row>
    <row r="67" spans="1:51" ht="409.5" x14ac:dyDescent="0.25">
      <c r="A67" s="349" t="s">
        <v>201</v>
      </c>
      <c r="B67" s="340"/>
      <c r="C67" s="340"/>
      <c r="D67" s="340" t="s">
        <v>2324</v>
      </c>
      <c r="E67" s="350"/>
      <c r="F67" s="361" t="s">
        <v>2281</v>
      </c>
      <c r="G67" s="351"/>
      <c r="H67" s="351"/>
      <c r="I67" s="351"/>
      <c r="J67" s="365"/>
      <c r="K67" s="365"/>
      <c r="L67" s="365"/>
      <c r="M67" s="307"/>
      <c r="N67" s="335"/>
      <c r="O67" s="308"/>
      <c r="P67" s="330"/>
      <c r="Q67" s="330"/>
      <c r="R67" s="330"/>
      <c r="S67" s="330"/>
      <c r="T67" s="330"/>
      <c r="U67" s="307"/>
      <c r="V67" s="307"/>
      <c r="W67" s="307"/>
      <c r="X67" s="307"/>
      <c r="Y67" s="307"/>
      <c r="Z67" s="307"/>
      <c r="AA67" s="307"/>
      <c r="AB67" s="307"/>
      <c r="AC67" s="307"/>
      <c r="AD67" s="307"/>
      <c r="AE67" s="313" t="s">
        <v>2327</v>
      </c>
      <c r="AF67" s="317" t="s">
        <v>364</v>
      </c>
      <c r="AG67" s="313" t="s">
        <v>2332</v>
      </c>
      <c r="AH67" s="313" t="s">
        <v>2333</v>
      </c>
      <c r="AI67" s="317">
        <v>2282</v>
      </c>
      <c r="AJ67" s="310">
        <v>187282</v>
      </c>
      <c r="AK67" s="311" t="s">
        <v>2329</v>
      </c>
      <c r="AL67" s="317" t="s">
        <v>751</v>
      </c>
      <c r="AM67" s="317" t="s">
        <v>751</v>
      </c>
      <c r="AN67" s="317" t="s">
        <v>751</v>
      </c>
      <c r="AO67" s="317" t="s">
        <v>751</v>
      </c>
      <c r="AP67" s="317" t="s">
        <v>751</v>
      </c>
      <c r="AQ67" s="317" t="s">
        <v>751</v>
      </c>
      <c r="AR67" s="317"/>
      <c r="AS67" s="317"/>
      <c r="AT67" s="317"/>
      <c r="AU67" s="317"/>
      <c r="AV67" s="317"/>
      <c r="AW67" s="317"/>
      <c r="AX67" s="313" t="s">
        <v>2330</v>
      </c>
      <c r="AY67" s="339" t="s">
        <v>2331</v>
      </c>
    </row>
    <row r="68" spans="1:51" ht="409.5" x14ac:dyDescent="0.25">
      <c r="A68" s="349" t="s">
        <v>201</v>
      </c>
      <c r="B68" s="340"/>
      <c r="C68" s="340"/>
      <c r="D68" s="340"/>
      <c r="E68" s="350"/>
      <c r="F68" s="361" t="s">
        <v>2281</v>
      </c>
      <c r="G68" s="351"/>
      <c r="H68" s="351"/>
      <c r="I68" s="351"/>
      <c r="J68" s="365"/>
      <c r="K68" s="365"/>
      <c r="L68" s="365"/>
      <c r="M68" s="307"/>
      <c r="N68" s="335"/>
      <c r="O68" s="308"/>
      <c r="P68" s="330"/>
      <c r="Q68" s="330"/>
      <c r="R68" s="330"/>
      <c r="S68" s="330"/>
      <c r="T68" s="330"/>
      <c r="U68" s="307"/>
      <c r="V68" s="307"/>
      <c r="W68" s="307"/>
      <c r="X68" s="307"/>
      <c r="Y68" s="307"/>
      <c r="Z68" s="307"/>
      <c r="AA68" s="307"/>
      <c r="AB68" s="307"/>
      <c r="AC68" s="307"/>
      <c r="AD68" s="307"/>
      <c r="AE68" s="313" t="s">
        <v>2327</v>
      </c>
      <c r="AF68" s="317" t="s">
        <v>364</v>
      </c>
      <c r="AG68" s="313" t="s">
        <v>2334</v>
      </c>
      <c r="AH68" s="313" t="s">
        <v>2197</v>
      </c>
      <c r="AI68" s="317">
        <v>1562</v>
      </c>
      <c r="AJ68" s="310">
        <v>200000</v>
      </c>
      <c r="AK68" s="311" t="s">
        <v>2335</v>
      </c>
      <c r="AL68" s="317" t="s">
        <v>751</v>
      </c>
      <c r="AM68" s="317" t="s">
        <v>751</v>
      </c>
      <c r="AN68" s="317" t="s">
        <v>751</v>
      </c>
      <c r="AO68" s="317" t="s">
        <v>751</v>
      </c>
      <c r="AP68" s="317" t="s">
        <v>751</v>
      </c>
      <c r="AQ68" s="317" t="s">
        <v>751</v>
      </c>
      <c r="AR68" s="317"/>
      <c r="AS68" s="317"/>
      <c r="AT68" s="317"/>
      <c r="AU68" s="317"/>
      <c r="AV68" s="317"/>
      <c r="AW68" s="317"/>
      <c r="AX68" s="313" t="s">
        <v>2330</v>
      </c>
      <c r="AY68" s="339" t="s">
        <v>2336</v>
      </c>
    </row>
    <row r="69" spans="1:51" ht="409.5" x14ac:dyDescent="0.25">
      <c r="A69" s="349" t="s">
        <v>201</v>
      </c>
      <c r="B69" s="340"/>
      <c r="C69" s="340"/>
      <c r="D69" s="340" t="s">
        <v>2324</v>
      </c>
      <c r="E69" s="350"/>
      <c r="F69" s="361" t="s">
        <v>2281</v>
      </c>
      <c r="G69" s="351"/>
      <c r="H69" s="351"/>
      <c r="I69" s="351"/>
      <c r="J69" s="365"/>
      <c r="K69" s="365"/>
      <c r="L69" s="365"/>
      <c r="M69" s="307"/>
      <c r="N69" s="335"/>
      <c r="O69" s="308"/>
      <c r="P69" s="330"/>
      <c r="Q69" s="330"/>
      <c r="R69" s="330"/>
      <c r="S69" s="330"/>
      <c r="T69" s="330"/>
      <c r="U69" s="307"/>
      <c r="V69" s="307"/>
      <c r="W69" s="307"/>
      <c r="X69" s="307"/>
      <c r="Y69" s="307"/>
      <c r="Z69" s="307"/>
      <c r="AA69" s="307"/>
      <c r="AB69" s="307"/>
      <c r="AC69" s="307"/>
      <c r="AD69" s="307"/>
      <c r="AE69" s="313" t="s">
        <v>2327</v>
      </c>
      <c r="AF69" s="317" t="s">
        <v>364</v>
      </c>
      <c r="AG69" s="313" t="s">
        <v>2337</v>
      </c>
      <c r="AH69" s="313" t="s">
        <v>2138</v>
      </c>
      <c r="AI69" s="317">
        <v>3291</v>
      </c>
      <c r="AJ69" s="310">
        <v>337596</v>
      </c>
      <c r="AK69" s="311" t="s">
        <v>2335</v>
      </c>
      <c r="AL69" s="317" t="s">
        <v>395</v>
      </c>
      <c r="AM69" s="317" t="s">
        <v>395</v>
      </c>
      <c r="AN69" s="317" t="s">
        <v>395</v>
      </c>
      <c r="AO69" s="317" t="s">
        <v>395</v>
      </c>
      <c r="AP69" s="317" t="s">
        <v>395</v>
      </c>
      <c r="AQ69" s="317" t="s">
        <v>751</v>
      </c>
      <c r="AR69" s="317"/>
      <c r="AS69" s="317"/>
      <c r="AT69" s="317"/>
      <c r="AU69" s="317"/>
      <c r="AV69" s="317"/>
      <c r="AW69" s="317"/>
      <c r="AX69" s="313" t="s">
        <v>2330</v>
      </c>
      <c r="AY69" s="339" t="s">
        <v>2331</v>
      </c>
    </row>
    <row r="70" spans="1:51" ht="409.5" x14ac:dyDescent="0.25">
      <c r="A70" s="349" t="s">
        <v>201</v>
      </c>
      <c r="B70" s="340"/>
      <c r="C70" s="340"/>
      <c r="D70" s="340" t="s">
        <v>2324</v>
      </c>
      <c r="E70" s="350"/>
      <c r="F70" s="361" t="s">
        <v>2281</v>
      </c>
      <c r="G70" s="351"/>
      <c r="H70" s="351"/>
      <c r="I70" s="351"/>
      <c r="J70" s="365"/>
      <c r="K70" s="365"/>
      <c r="L70" s="365"/>
      <c r="M70" s="307"/>
      <c r="N70" s="335"/>
      <c r="O70" s="308"/>
      <c r="P70" s="330"/>
      <c r="Q70" s="330"/>
      <c r="R70" s="330"/>
      <c r="S70" s="330"/>
      <c r="T70" s="330"/>
      <c r="U70" s="307"/>
      <c r="V70" s="307"/>
      <c r="W70" s="307"/>
      <c r="X70" s="307"/>
      <c r="Y70" s="307"/>
      <c r="Z70" s="307"/>
      <c r="AA70" s="307"/>
      <c r="AB70" s="307"/>
      <c r="AC70" s="307"/>
      <c r="AD70" s="307"/>
      <c r="AE70" s="313" t="s">
        <v>2327</v>
      </c>
      <c r="AF70" s="317" t="s">
        <v>364</v>
      </c>
      <c r="AG70" s="313" t="s">
        <v>2338</v>
      </c>
      <c r="AH70" s="313" t="s">
        <v>2197</v>
      </c>
      <c r="AI70" s="313">
        <v>1741</v>
      </c>
      <c r="AJ70" s="310">
        <v>188800</v>
      </c>
      <c r="AK70" s="311" t="s">
        <v>2339</v>
      </c>
      <c r="AL70" s="317" t="s">
        <v>751</v>
      </c>
      <c r="AM70" s="317" t="s">
        <v>751</v>
      </c>
      <c r="AN70" s="317" t="s">
        <v>751</v>
      </c>
      <c r="AO70" s="317" t="s">
        <v>751</v>
      </c>
      <c r="AP70" s="317" t="s">
        <v>751</v>
      </c>
      <c r="AQ70" s="317" t="s">
        <v>751</v>
      </c>
      <c r="AR70" s="317" t="s">
        <v>751</v>
      </c>
      <c r="AS70" s="317" t="s">
        <v>751</v>
      </c>
      <c r="AT70" s="317" t="s">
        <v>751</v>
      </c>
      <c r="AU70" s="317" t="s">
        <v>751</v>
      </c>
      <c r="AV70" s="317" t="s">
        <v>751</v>
      </c>
      <c r="AW70" s="317" t="s">
        <v>751</v>
      </c>
      <c r="AX70" s="313" t="s">
        <v>2330</v>
      </c>
      <c r="AY70" s="339" t="s">
        <v>2340</v>
      </c>
    </row>
    <row r="71" spans="1:51" ht="409.5" x14ac:dyDescent="0.25">
      <c r="A71" s="349" t="s">
        <v>201</v>
      </c>
      <c r="B71" s="340"/>
      <c r="C71" s="340"/>
      <c r="D71" s="340"/>
      <c r="E71" s="350"/>
      <c r="F71" s="340"/>
      <c r="G71" s="351"/>
      <c r="H71" s="351"/>
      <c r="I71" s="351"/>
      <c r="J71" s="365"/>
      <c r="K71" s="365"/>
      <c r="L71" s="365"/>
      <c r="M71" s="307"/>
      <c r="N71" s="335"/>
      <c r="O71" s="308"/>
      <c r="P71" s="330"/>
      <c r="Q71" s="330"/>
      <c r="R71" s="330"/>
      <c r="S71" s="330"/>
      <c r="T71" s="330"/>
      <c r="U71" s="307"/>
      <c r="V71" s="307"/>
      <c r="W71" s="307"/>
      <c r="X71" s="307"/>
      <c r="Y71" s="307"/>
      <c r="Z71" s="307"/>
      <c r="AA71" s="307"/>
      <c r="AB71" s="307"/>
      <c r="AC71" s="307"/>
      <c r="AD71" s="307"/>
      <c r="AE71" s="313" t="s">
        <v>2327</v>
      </c>
      <c r="AF71" s="317" t="s">
        <v>364</v>
      </c>
      <c r="AG71" s="313" t="s">
        <v>2341</v>
      </c>
      <c r="AH71" s="313" t="s">
        <v>2342</v>
      </c>
      <c r="AI71" s="313">
        <v>634</v>
      </c>
      <c r="AJ71" s="310">
        <v>300000</v>
      </c>
      <c r="AK71" s="311" t="s">
        <v>2343</v>
      </c>
      <c r="AL71" s="317" t="s">
        <v>751</v>
      </c>
      <c r="AM71" s="317" t="s">
        <v>751</v>
      </c>
      <c r="AN71" s="317" t="s">
        <v>751</v>
      </c>
      <c r="AO71" s="317" t="s">
        <v>751</v>
      </c>
      <c r="AP71" s="317" t="s">
        <v>395</v>
      </c>
      <c r="AQ71" s="317" t="s">
        <v>395</v>
      </c>
      <c r="AR71" s="317" t="s">
        <v>395</v>
      </c>
      <c r="AS71" s="317" t="s">
        <v>751</v>
      </c>
      <c r="AT71" s="317" t="s">
        <v>751</v>
      </c>
      <c r="AU71" s="317"/>
      <c r="AV71" s="317"/>
      <c r="AW71" s="317"/>
      <c r="AX71" s="313" t="s">
        <v>2330</v>
      </c>
      <c r="AY71" s="339" t="s">
        <v>2344</v>
      </c>
    </row>
    <row r="72" spans="1:51" ht="409.5" x14ac:dyDescent="0.25">
      <c r="A72" s="349" t="s">
        <v>201</v>
      </c>
      <c r="B72" s="340"/>
      <c r="C72" s="340"/>
      <c r="D72" s="340" t="s">
        <v>2324</v>
      </c>
      <c r="E72" s="350"/>
      <c r="F72" s="361" t="s">
        <v>2281</v>
      </c>
      <c r="G72" s="351"/>
      <c r="H72" s="351"/>
      <c r="I72" s="351"/>
      <c r="J72" s="365"/>
      <c r="K72" s="365"/>
      <c r="L72" s="365"/>
      <c r="M72" s="307"/>
      <c r="N72" s="335"/>
      <c r="O72" s="308"/>
      <c r="P72" s="330"/>
      <c r="Q72" s="330"/>
      <c r="R72" s="330"/>
      <c r="S72" s="330"/>
      <c r="T72" s="330"/>
      <c r="U72" s="307"/>
      <c r="V72" s="307"/>
      <c r="W72" s="307"/>
      <c r="X72" s="307"/>
      <c r="Y72" s="307"/>
      <c r="Z72" s="307"/>
      <c r="AA72" s="307"/>
      <c r="AB72" s="307"/>
      <c r="AC72" s="307"/>
      <c r="AD72" s="307"/>
      <c r="AE72" s="313" t="s">
        <v>2327</v>
      </c>
      <c r="AF72" s="317" t="s">
        <v>364</v>
      </c>
      <c r="AG72" s="313" t="s">
        <v>2306</v>
      </c>
      <c r="AH72" s="313" t="s">
        <v>2342</v>
      </c>
      <c r="AI72" s="313">
        <v>1929</v>
      </c>
      <c r="AJ72" s="310">
        <v>180000</v>
      </c>
      <c r="AK72" s="311" t="s">
        <v>2339</v>
      </c>
      <c r="AL72" s="317" t="s">
        <v>751</v>
      </c>
      <c r="AM72" s="317" t="s">
        <v>751</v>
      </c>
      <c r="AN72" s="317" t="s">
        <v>751</v>
      </c>
      <c r="AO72" s="317" t="s">
        <v>751</v>
      </c>
      <c r="AP72" s="317" t="s">
        <v>751</v>
      </c>
      <c r="AQ72" s="317" t="s">
        <v>751</v>
      </c>
      <c r="AR72" s="317" t="s">
        <v>751</v>
      </c>
      <c r="AS72" s="317" t="s">
        <v>751</v>
      </c>
      <c r="AT72" s="317" t="s">
        <v>751</v>
      </c>
      <c r="AU72" s="317"/>
      <c r="AV72" s="317"/>
      <c r="AW72" s="317"/>
      <c r="AX72" s="313" t="s">
        <v>2330</v>
      </c>
      <c r="AY72" s="339" t="s">
        <v>2344</v>
      </c>
    </row>
    <row r="73" spans="1:51" ht="409.5" x14ac:dyDescent="0.25">
      <c r="A73" s="349" t="s">
        <v>201</v>
      </c>
      <c r="B73" s="340"/>
      <c r="C73" s="340"/>
      <c r="D73" s="340" t="s">
        <v>2324</v>
      </c>
      <c r="E73" s="350"/>
      <c r="F73" s="361" t="s">
        <v>2281</v>
      </c>
      <c r="G73" s="351"/>
      <c r="H73" s="351"/>
      <c r="I73" s="351"/>
      <c r="J73" s="365"/>
      <c r="K73" s="365"/>
      <c r="L73" s="365"/>
      <c r="M73" s="307"/>
      <c r="N73" s="335"/>
      <c r="O73" s="308"/>
      <c r="P73" s="330"/>
      <c r="Q73" s="330"/>
      <c r="R73" s="330"/>
      <c r="S73" s="330"/>
      <c r="T73" s="330"/>
      <c r="U73" s="307"/>
      <c r="V73" s="307"/>
      <c r="W73" s="307"/>
      <c r="X73" s="307"/>
      <c r="Y73" s="307"/>
      <c r="Z73" s="307"/>
      <c r="AA73" s="307"/>
      <c r="AB73" s="307"/>
      <c r="AC73" s="307"/>
      <c r="AD73" s="307"/>
      <c r="AE73" s="313" t="s">
        <v>2327</v>
      </c>
      <c r="AF73" s="317" t="s">
        <v>364</v>
      </c>
      <c r="AG73" s="313" t="s">
        <v>2345</v>
      </c>
      <c r="AH73" s="313" t="s">
        <v>2145</v>
      </c>
      <c r="AI73" s="313">
        <v>1230</v>
      </c>
      <c r="AJ73" s="310">
        <v>150017</v>
      </c>
      <c r="AK73" s="311" t="s">
        <v>2339</v>
      </c>
      <c r="AL73" s="317" t="s">
        <v>751</v>
      </c>
      <c r="AM73" s="317" t="s">
        <v>751</v>
      </c>
      <c r="AN73" s="317" t="s">
        <v>751</v>
      </c>
      <c r="AO73" s="317" t="s">
        <v>751</v>
      </c>
      <c r="AP73" s="317" t="s">
        <v>751</v>
      </c>
      <c r="AQ73" s="317" t="s">
        <v>751</v>
      </c>
      <c r="AR73" s="317" t="s">
        <v>751</v>
      </c>
      <c r="AS73" s="317" t="s">
        <v>751</v>
      </c>
      <c r="AT73" s="317" t="s">
        <v>751</v>
      </c>
      <c r="AU73" s="317"/>
      <c r="AV73" s="317"/>
      <c r="AW73" s="317"/>
      <c r="AX73" s="313" t="s">
        <v>2330</v>
      </c>
      <c r="AY73" s="339" t="s">
        <v>2344</v>
      </c>
    </row>
    <row r="74" spans="1:51" ht="409.5" x14ac:dyDescent="0.25">
      <c r="A74" s="349" t="s">
        <v>201</v>
      </c>
      <c r="B74" s="340"/>
      <c r="C74" s="340"/>
      <c r="D74" s="340" t="s">
        <v>2324</v>
      </c>
      <c r="E74" s="350"/>
      <c r="F74" s="361" t="s">
        <v>2281</v>
      </c>
      <c r="G74" s="351"/>
      <c r="H74" s="351"/>
      <c r="I74" s="351"/>
      <c r="J74" s="365"/>
      <c r="K74" s="365"/>
      <c r="L74" s="365"/>
      <c r="M74" s="307"/>
      <c r="N74" s="335"/>
      <c r="O74" s="308"/>
      <c r="P74" s="330"/>
      <c r="Q74" s="330"/>
      <c r="R74" s="330"/>
      <c r="S74" s="330"/>
      <c r="T74" s="330"/>
      <c r="U74" s="307"/>
      <c r="V74" s="307"/>
      <c r="W74" s="307"/>
      <c r="X74" s="307"/>
      <c r="Y74" s="307"/>
      <c r="Z74" s="307"/>
      <c r="AA74" s="307"/>
      <c r="AB74" s="307"/>
      <c r="AC74" s="307"/>
      <c r="AD74" s="307"/>
      <c r="AE74" s="313" t="s">
        <v>2327</v>
      </c>
      <c r="AF74" s="317" t="s">
        <v>364</v>
      </c>
      <c r="AG74" s="313" t="s">
        <v>2346</v>
      </c>
      <c r="AH74" s="313" t="s">
        <v>2145</v>
      </c>
      <c r="AI74" s="313">
        <v>1761</v>
      </c>
      <c r="AJ74" s="310">
        <v>162081</v>
      </c>
      <c r="AK74" s="311" t="s">
        <v>2339</v>
      </c>
      <c r="AL74" s="317" t="s">
        <v>751</v>
      </c>
      <c r="AM74" s="317" t="s">
        <v>751</v>
      </c>
      <c r="AN74" s="317" t="s">
        <v>751</v>
      </c>
      <c r="AO74" s="317" t="s">
        <v>751</v>
      </c>
      <c r="AP74" s="317" t="s">
        <v>751</v>
      </c>
      <c r="AQ74" s="317" t="s">
        <v>751</v>
      </c>
      <c r="AR74" s="317" t="s">
        <v>751</v>
      </c>
      <c r="AS74" s="317" t="s">
        <v>751</v>
      </c>
      <c r="AT74" s="317" t="s">
        <v>751</v>
      </c>
      <c r="AU74" s="317"/>
      <c r="AV74" s="317"/>
      <c r="AW74" s="317"/>
      <c r="AX74" s="313" t="s">
        <v>2330</v>
      </c>
      <c r="AY74" s="339" t="s">
        <v>2344</v>
      </c>
    </row>
    <row r="75" spans="1:51" ht="409.5" x14ac:dyDescent="0.25">
      <c r="A75" s="349" t="s">
        <v>201</v>
      </c>
      <c r="B75" s="340"/>
      <c r="C75" s="340"/>
      <c r="D75" s="340" t="s">
        <v>2324</v>
      </c>
      <c r="E75" s="350"/>
      <c r="F75" s="361" t="s">
        <v>2281</v>
      </c>
      <c r="G75" s="351"/>
      <c r="H75" s="351"/>
      <c r="I75" s="351"/>
      <c r="J75" s="365"/>
      <c r="K75" s="365"/>
      <c r="L75" s="365"/>
      <c r="M75" s="307"/>
      <c r="N75" s="335"/>
      <c r="O75" s="308"/>
      <c r="P75" s="330"/>
      <c r="Q75" s="330"/>
      <c r="R75" s="330"/>
      <c r="S75" s="330"/>
      <c r="T75" s="330"/>
      <c r="U75" s="307"/>
      <c r="V75" s="307"/>
      <c r="W75" s="307"/>
      <c r="X75" s="307"/>
      <c r="Y75" s="307"/>
      <c r="Z75" s="307"/>
      <c r="AA75" s="307"/>
      <c r="AB75" s="307"/>
      <c r="AC75" s="307"/>
      <c r="AD75" s="307"/>
      <c r="AE75" s="313" t="s">
        <v>2327</v>
      </c>
      <c r="AF75" s="317" t="s">
        <v>364</v>
      </c>
      <c r="AG75" s="313" t="s">
        <v>2347</v>
      </c>
      <c r="AH75" s="313" t="s">
        <v>2197</v>
      </c>
      <c r="AI75" s="313">
        <v>14944</v>
      </c>
      <c r="AJ75" s="310">
        <v>199201</v>
      </c>
      <c r="AK75" s="311" t="s">
        <v>2339</v>
      </c>
      <c r="AL75" s="317" t="s">
        <v>751</v>
      </c>
      <c r="AM75" s="317" t="s">
        <v>751</v>
      </c>
      <c r="AN75" s="317" t="s">
        <v>751</v>
      </c>
      <c r="AO75" s="317" t="s">
        <v>751</v>
      </c>
      <c r="AP75" s="317" t="s">
        <v>751</v>
      </c>
      <c r="AQ75" s="317" t="s">
        <v>751</v>
      </c>
      <c r="AR75" s="317" t="s">
        <v>751</v>
      </c>
      <c r="AS75" s="317" t="s">
        <v>751</v>
      </c>
      <c r="AT75" s="317" t="s">
        <v>751</v>
      </c>
      <c r="AU75" s="317"/>
      <c r="AV75" s="317"/>
      <c r="AW75" s="317"/>
      <c r="AX75" s="313" t="s">
        <v>2330</v>
      </c>
      <c r="AY75" s="339" t="s">
        <v>2344</v>
      </c>
    </row>
    <row r="76" spans="1:51" ht="409.5" x14ac:dyDescent="0.25">
      <c r="A76" s="349" t="s">
        <v>201</v>
      </c>
      <c r="B76" s="340"/>
      <c r="C76" s="340"/>
      <c r="D76" s="340" t="s">
        <v>2324</v>
      </c>
      <c r="E76" s="350"/>
      <c r="F76" s="361" t="s">
        <v>2281</v>
      </c>
      <c r="G76" s="351"/>
      <c r="H76" s="351"/>
      <c r="I76" s="351"/>
      <c r="J76" s="365"/>
      <c r="K76" s="365"/>
      <c r="L76" s="365"/>
      <c r="M76" s="307"/>
      <c r="N76" s="335"/>
      <c r="O76" s="308"/>
      <c r="P76" s="330"/>
      <c r="Q76" s="330"/>
      <c r="R76" s="330"/>
      <c r="S76" s="330"/>
      <c r="T76" s="330"/>
      <c r="U76" s="307"/>
      <c r="V76" s="307"/>
      <c r="W76" s="307"/>
      <c r="X76" s="307"/>
      <c r="Y76" s="307"/>
      <c r="Z76" s="307"/>
      <c r="AA76" s="307"/>
      <c r="AB76" s="307"/>
      <c r="AC76" s="307"/>
      <c r="AD76" s="307"/>
      <c r="AE76" s="313" t="s">
        <v>2327</v>
      </c>
      <c r="AF76" s="317" t="s">
        <v>364</v>
      </c>
      <c r="AG76" s="313" t="s">
        <v>2348</v>
      </c>
      <c r="AH76" s="313" t="s">
        <v>2197</v>
      </c>
      <c r="AI76" s="317">
        <v>10304</v>
      </c>
      <c r="AJ76" s="310">
        <v>220429</v>
      </c>
      <c r="AK76" s="311" t="s">
        <v>2335</v>
      </c>
      <c r="AL76" s="317" t="s">
        <v>751</v>
      </c>
      <c r="AM76" s="317" t="s">
        <v>751</v>
      </c>
      <c r="AN76" s="317" t="s">
        <v>751</v>
      </c>
      <c r="AO76" s="317" t="s">
        <v>751</v>
      </c>
      <c r="AP76" s="317" t="s">
        <v>751</v>
      </c>
      <c r="AQ76" s="317" t="s">
        <v>751</v>
      </c>
      <c r="AR76" s="317"/>
      <c r="AS76" s="317"/>
      <c r="AT76" s="317"/>
      <c r="AU76" s="317"/>
      <c r="AV76" s="317"/>
      <c r="AW76" s="317"/>
      <c r="AX76" s="313" t="s">
        <v>2330</v>
      </c>
      <c r="AY76" s="339" t="s">
        <v>2331</v>
      </c>
    </row>
    <row r="77" spans="1:51" ht="409.5" x14ac:dyDescent="0.25">
      <c r="A77" s="349" t="s">
        <v>201</v>
      </c>
      <c r="B77" s="340"/>
      <c r="C77" s="340"/>
      <c r="D77" s="340" t="s">
        <v>2324</v>
      </c>
      <c r="E77" s="350"/>
      <c r="F77" s="361" t="s">
        <v>2281</v>
      </c>
      <c r="G77" s="351"/>
      <c r="H77" s="351"/>
      <c r="I77" s="351"/>
      <c r="J77" s="365"/>
      <c r="K77" s="365"/>
      <c r="L77" s="365"/>
      <c r="M77" s="307"/>
      <c r="N77" s="335"/>
      <c r="O77" s="308"/>
      <c r="P77" s="330"/>
      <c r="Q77" s="330"/>
      <c r="R77" s="330"/>
      <c r="S77" s="330"/>
      <c r="T77" s="330"/>
      <c r="U77" s="307"/>
      <c r="V77" s="307"/>
      <c r="W77" s="307"/>
      <c r="X77" s="307"/>
      <c r="Y77" s="307"/>
      <c r="Z77" s="307"/>
      <c r="AA77" s="307"/>
      <c r="AB77" s="307"/>
      <c r="AC77" s="307"/>
      <c r="AD77" s="307"/>
      <c r="AE77" s="313" t="s">
        <v>2349</v>
      </c>
      <c r="AF77" s="317" t="s">
        <v>364</v>
      </c>
      <c r="AG77" s="313" t="s">
        <v>2350</v>
      </c>
      <c r="AH77" s="313" t="s">
        <v>2351</v>
      </c>
      <c r="AI77" s="317">
        <v>18199</v>
      </c>
      <c r="AJ77" s="310">
        <v>1350437.2</v>
      </c>
      <c r="AK77" s="311" t="s">
        <v>2352</v>
      </c>
      <c r="AL77" s="317" t="s">
        <v>751</v>
      </c>
      <c r="AM77" s="317" t="s">
        <v>751</v>
      </c>
      <c r="AN77" s="317" t="s">
        <v>751</v>
      </c>
      <c r="AO77" s="317" t="s">
        <v>751</v>
      </c>
      <c r="AP77" s="317" t="s">
        <v>751</v>
      </c>
      <c r="AQ77" s="317" t="s">
        <v>751</v>
      </c>
      <c r="AR77" s="317"/>
      <c r="AS77" s="317"/>
      <c r="AT77" s="317"/>
      <c r="AU77" s="317"/>
      <c r="AV77" s="317"/>
      <c r="AW77" s="317"/>
      <c r="AX77" s="313" t="s">
        <v>2330</v>
      </c>
      <c r="AY77" s="339" t="s">
        <v>2331</v>
      </c>
    </row>
    <row r="78" spans="1:51" ht="409.5" x14ac:dyDescent="0.25">
      <c r="A78" s="349" t="s">
        <v>201</v>
      </c>
      <c r="B78" s="340"/>
      <c r="C78" s="340"/>
      <c r="D78" s="340" t="s">
        <v>2324</v>
      </c>
      <c r="E78" s="350"/>
      <c r="F78" s="361" t="s">
        <v>2281</v>
      </c>
      <c r="G78" s="351"/>
      <c r="H78" s="351"/>
      <c r="I78" s="351"/>
      <c r="J78" s="365"/>
      <c r="K78" s="365"/>
      <c r="L78" s="365"/>
      <c r="M78" s="307"/>
      <c r="N78" s="335"/>
      <c r="O78" s="308"/>
      <c r="P78" s="330"/>
      <c r="Q78" s="330"/>
      <c r="R78" s="330"/>
      <c r="S78" s="330"/>
      <c r="T78" s="330"/>
      <c r="U78" s="307"/>
      <c r="V78" s="307"/>
      <c r="W78" s="307"/>
      <c r="X78" s="307"/>
      <c r="Y78" s="307"/>
      <c r="Z78" s="307"/>
      <c r="AA78" s="307"/>
      <c r="AB78" s="307"/>
      <c r="AC78" s="307"/>
      <c r="AD78" s="307"/>
      <c r="AE78" s="313" t="s">
        <v>2327</v>
      </c>
      <c r="AF78" s="317" t="s">
        <v>364</v>
      </c>
      <c r="AG78" s="313" t="s">
        <v>2353</v>
      </c>
      <c r="AH78" s="313" t="s">
        <v>2333</v>
      </c>
      <c r="AI78" s="317">
        <v>15000</v>
      </c>
      <c r="AJ78" s="310">
        <v>290116</v>
      </c>
      <c r="AK78" s="311" t="s">
        <v>2339</v>
      </c>
      <c r="AL78" s="317" t="s">
        <v>751</v>
      </c>
      <c r="AM78" s="317" t="s">
        <v>751</v>
      </c>
      <c r="AN78" s="317" t="s">
        <v>751</v>
      </c>
      <c r="AO78" s="317" t="s">
        <v>751</v>
      </c>
      <c r="AP78" s="317" t="s">
        <v>751</v>
      </c>
      <c r="AQ78" s="317" t="s">
        <v>751</v>
      </c>
      <c r="AR78" s="317"/>
      <c r="AS78" s="317"/>
      <c r="AT78" s="317"/>
      <c r="AU78" s="317"/>
      <c r="AV78" s="317"/>
      <c r="AW78" s="317"/>
      <c r="AX78" s="313" t="s">
        <v>2330</v>
      </c>
      <c r="AY78" s="339" t="s">
        <v>2331</v>
      </c>
    </row>
    <row r="79" spans="1:51" ht="409.5" x14ac:dyDescent="0.25">
      <c r="A79" s="349" t="s">
        <v>201</v>
      </c>
      <c r="B79" s="340"/>
      <c r="C79" s="340"/>
      <c r="D79" s="340"/>
      <c r="E79" s="350"/>
      <c r="F79" s="361" t="s">
        <v>2281</v>
      </c>
      <c r="G79" s="351"/>
      <c r="H79" s="351"/>
      <c r="I79" s="351"/>
      <c r="J79" s="365"/>
      <c r="K79" s="365"/>
      <c r="L79" s="365"/>
      <c r="M79" s="307"/>
      <c r="N79" s="335"/>
      <c r="O79" s="308"/>
      <c r="P79" s="330"/>
      <c r="Q79" s="330"/>
      <c r="R79" s="330"/>
      <c r="S79" s="330"/>
      <c r="T79" s="330"/>
      <c r="U79" s="307"/>
      <c r="V79" s="307"/>
      <c r="W79" s="307"/>
      <c r="X79" s="307"/>
      <c r="Y79" s="307"/>
      <c r="Z79" s="307"/>
      <c r="AA79" s="307"/>
      <c r="AB79" s="307"/>
      <c r="AC79" s="307"/>
      <c r="AD79" s="307"/>
      <c r="AE79" s="313" t="s">
        <v>2327</v>
      </c>
      <c r="AF79" s="317" t="s">
        <v>364</v>
      </c>
      <c r="AG79" s="313" t="s">
        <v>2354</v>
      </c>
      <c r="AH79" s="313" t="s">
        <v>2145</v>
      </c>
      <c r="AI79" s="317">
        <v>4750</v>
      </c>
      <c r="AJ79" s="310">
        <v>218979</v>
      </c>
      <c r="AK79" s="311" t="s">
        <v>2339</v>
      </c>
      <c r="AL79" s="317" t="s">
        <v>751</v>
      </c>
      <c r="AM79" s="317" t="s">
        <v>751</v>
      </c>
      <c r="AN79" s="317" t="s">
        <v>751</v>
      </c>
      <c r="AO79" s="317" t="s">
        <v>751</v>
      </c>
      <c r="AP79" s="317" t="s">
        <v>751</v>
      </c>
      <c r="AQ79" s="317" t="s">
        <v>751</v>
      </c>
      <c r="AR79" s="317"/>
      <c r="AS79" s="317"/>
      <c r="AT79" s="317"/>
      <c r="AU79" s="317"/>
      <c r="AV79" s="317"/>
      <c r="AW79" s="317"/>
      <c r="AX79" s="313" t="s">
        <v>2330</v>
      </c>
      <c r="AY79" s="339" t="s">
        <v>2331</v>
      </c>
    </row>
    <row r="80" spans="1:51" ht="409.5" x14ac:dyDescent="0.25">
      <c r="A80" s="349" t="s">
        <v>201</v>
      </c>
      <c r="B80" s="340"/>
      <c r="C80" s="340"/>
      <c r="D80" s="340" t="s">
        <v>2324</v>
      </c>
      <c r="E80" s="350"/>
      <c r="F80" s="361" t="s">
        <v>2281</v>
      </c>
      <c r="G80" s="351"/>
      <c r="H80" s="351"/>
      <c r="I80" s="351"/>
      <c r="J80" s="365"/>
      <c r="K80" s="365"/>
      <c r="L80" s="365"/>
      <c r="M80" s="307"/>
      <c r="N80" s="335"/>
      <c r="O80" s="308"/>
      <c r="P80" s="330"/>
      <c r="Q80" s="330"/>
      <c r="R80" s="330"/>
      <c r="S80" s="330"/>
      <c r="T80" s="330"/>
      <c r="U80" s="307"/>
      <c r="V80" s="307"/>
      <c r="W80" s="307"/>
      <c r="X80" s="307"/>
      <c r="Y80" s="313"/>
      <c r="Z80" s="307"/>
      <c r="AA80" s="307"/>
      <c r="AB80" s="307"/>
      <c r="AC80" s="307"/>
      <c r="AD80" s="307"/>
      <c r="AE80" s="313" t="s">
        <v>2327</v>
      </c>
      <c r="AF80" s="317" t="s">
        <v>364</v>
      </c>
      <c r="AG80" s="313" t="s">
        <v>2355</v>
      </c>
      <c r="AH80" s="313" t="s">
        <v>2197</v>
      </c>
      <c r="AI80" s="317">
        <v>750</v>
      </c>
      <c r="AJ80" s="310">
        <v>161941.79999999999</v>
      </c>
      <c r="AK80" s="311" t="s">
        <v>2339</v>
      </c>
      <c r="AL80" s="317" t="s">
        <v>751</v>
      </c>
      <c r="AM80" s="317" t="s">
        <v>751</v>
      </c>
      <c r="AN80" s="317" t="s">
        <v>751</v>
      </c>
      <c r="AO80" s="317" t="s">
        <v>751</v>
      </c>
      <c r="AP80" s="317" t="s">
        <v>751</v>
      </c>
      <c r="AQ80" s="317" t="s">
        <v>751</v>
      </c>
      <c r="AR80" s="317"/>
      <c r="AS80" s="317"/>
      <c r="AT80" s="317"/>
      <c r="AU80" s="317"/>
      <c r="AV80" s="317"/>
      <c r="AW80" s="317"/>
      <c r="AX80" s="313" t="s">
        <v>2330</v>
      </c>
      <c r="AY80" s="339" t="s">
        <v>2331</v>
      </c>
    </row>
    <row r="81" spans="1:51" ht="409.5" x14ac:dyDescent="0.25">
      <c r="A81" s="349" t="s">
        <v>201</v>
      </c>
      <c r="B81" s="340"/>
      <c r="C81" s="340"/>
      <c r="D81" s="340" t="s">
        <v>2324</v>
      </c>
      <c r="E81" s="350"/>
      <c r="F81" s="361" t="s">
        <v>2281</v>
      </c>
      <c r="G81" s="351"/>
      <c r="H81" s="351"/>
      <c r="I81" s="351"/>
      <c r="J81" s="365"/>
      <c r="K81" s="365"/>
      <c r="L81" s="365"/>
      <c r="M81" s="307"/>
      <c r="N81" s="335"/>
      <c r="O81" s="308"/>
      <c r="P81" s="330"/>
      <c r="Q81" s="330"/>
      <c r="R81" s="330"/>
      <c r="S81" s="330"/>
      <c r="T81" s="330"/>
      <c r="U81" s="307"/>
      <c r="V81" s="307"/>
      <c r="W81" s="307"/>
      <c r="X81" s="307"/>
      <c r="Y81" s="313"/>
      <c r="Z81" s="307"/>
      <c r="AA81" s="307"/>
      <c r="AB81" s="307"/>
      <c r="AC81" s="307"/>
      <c r="AD81" s="307"/>
      <c r="AE81" s="313" t="s">
        <v>2327</v>
      </c>
      <c r="AF81" s="317" t="s">
        <v>364</v>
      </c>
      <c r="AG81" s="313" t="s">
        <v>2356</v>
      </c>
      <c r="AH81" s="313" t="s">
        <v>2333</v>
      </c>
      <c r="AI81" s="317">
        <v>1250</v>
      </c>
      <c r="AJ81" s="310">
        <v>194503</v>
      </c>
      <c r="AK81" s="311" t="s">
        <v>2339</v>
      </c>
      <c r="AL81" s="317" t="s">
        <v>751</v>
      </c>
      <c r="AM81" s="317" t="s">
        <v>751</v>
      </c>
      <c r="AN81" s="317" t="s">
        <v>751</v>
      </c>
      <c r="AO81" s="317" t="s">
        <v>751</v>
      </c>
      <c r="AP81" s="317" t="s">
        <v>751</v>
      </c>
      <c r="AQ81" s="317" t="s">
        <v>751</v>
      </c>
      <c r="AR81" s="317"/>
      <c r="AS81" s="317"/>
      <c r="AT81" s="317"/>
      <c r="AU81" s="317"/>
      <c r="AV81" s="317"/>
      <c r="AW81" s="317"/>
      <c r="AX81" s="313" t="s">
        <v>2330</v>
      </c>
      <c r="AY81" s="339" t="s">
        <v>2331</v>
      </c>
    </row>
    <row r="82" spans="1:51" ht="409.5" x14ac:dyDescent="0.25">
      <c r="A82" s="349" t="s">
        <v>201</v>
      </c>
      <c r="B82" s="340"/>
      <c r="C82" s="340"/>
      <c r="D82" s="340" t="s">
        <v>2324</v>
      </c>
      <c r="E82" s="350"/>
      <c r="F82" s="361" t="s">
        <v>2281</v>
      </c>
      <c r="G82" s="351"/>
      <c r="H82" s="351"/>
      <c r="I82" s="351"/>
      <c r="J82" s="365"/>
      <c r="K82" s="365"/>
      <c r="L82" s="365"/>
      <c r="M82" s="307"/>
      <c r="N82" s="335"/>
      <c r="O82" s="308"/>
      <c r="P82" s="330"/>
      <c r="Q82" s="330"/>
      <c r="R82" s="330"/>
      <c r="S82" s="330"/>
      <c r="T82" s="330"/>
      <c r="U82" s="307"/>
      <c r="V82" s="307"/>
      <c r="W82" s="307"/>
      <c r="X82" s="307"/>
      <c r="Y82" s="313"/>
      <c r="Z82" s="313"/>
      <c r="AA82" s="313"/>
      <c r="AB82" s="313"/>
      <c r="AC82" s="313"/>
      <c r="AD82" s="313"/>
      <c r="AE82" s="313" t="s">
        <v>2327</v>
      </c>
      <c r="AF82" s="317" t="s">
        <v>364</v>
      </c>
      <c r="AG82" s="313" t="s">
        <v>2357</v>
      </c>
      <c r="AH82" s="313" t="s">
        <v>2145</v>
      </c>
      <c r="AI82" s="313">
        <v>2000</v>
      </c>
      <c r="AJ82" s="310">
        <v>215702</v>
      </c>
      <c r="AK82" s="311" t="s">
        <v>2339</v>
      </c>
      <c r="AL82" s="317" t="s">
        <v>751</v>
      </c>
      <c r="AM82" s="317" t="s">
        <v>751</v>
      </c>
      <c r="AN82" s="317" t="s">
        <v>751</v>
      </c>
      <c r="AO82" s="317" t="s">
        <v>751</v>
      </c>
      <c r="AP82" s="317" t="s">
        <v>751</v>
      </c>
      <c r="AQ82" s="317" t="s">
        <v>751</v>
      </c>
      <c r="AR82" s="317"/>
      <c r="AS82" s="317"/>
      <c r="AT82" s="317"/>
      <c r="AU82" s="317"/>
      <c r="AV82" s="317"/>
      <c r="AW82" s="317"/>
      <c r="AX82" s="313" t="s">
        <v>2330</v>
      </c>
      <c r="AY82" s="339" t="s">
        <v>2331</v>
      </c>
    </row>
    <row r="83" spans="1:51" ht="76.5" x14ac:dyDescent="0.25">
      <c r="A83" s="349" t="s">
        <v>201</v>
      </c>
      <c r="B83" s="349"/>
      <c r="C83" s="349"/>
      <c r="D83" s="349"/>
      <c r="E83" s="361"/>
      <c r="F83" s="349"/>
      <c r="G83" s="351"/>
      <c r="H83" s="351"/>
      <c r="I83" s="351"/>
      <c r="J83" s="353">
        <v>5000000</v>
      </c>
      <c r="K83" s="365"/>
      <c r="L83" s="365"/>
      <c r="M83" s="307"/>
      <c r="N83" s="307"/>
      <c r="O83" s="308"/>
      <c r="P83" s="330"/>
      <c r="Q83" s="330"/>
      <c r="R83" s="330"/>
      <c r="S83" s="330"/>
      <c r="T83" s="330"/>
      <c r="U83" s="307"/>
      <c r="V83" s="307"/>
      <c r="W83" s="307"/>
      <c r="X83" s="307"/>
      <c r="Y83" s="307"/>
      <c r="Z83" s="307"/>
      <c r="AA83" s="307"/>
      <c r="AB83" s="307"/>
      <c r="AC83" s="307"/>
      <c r="AD83" s="307"/>
      <c r="AE83" s="313"/>
      <c r="AF83" s="317" t="s">
        <v>364</v>
      </c>
      <c r="AG83" s="313"/>
      <c r="AH83" s="313"/>
      <c r="AI83" s="317"/>
      <c r="AJ83" s="310"/>
      <c r="AK83" s="311"/>
      <c r="AL83" s="317"/>
      <c r="AM83" s="317"/>
      <c r="AN83" s="317"/>
      <c r="AO83" s="317"/>
      <c r="AP83" s="317"/>
      <c r="AQ83" s="317"/>
      <c r="AR83" s="317"/>
      <c r="AS83" s="317"/>
      <c r="AT83" s="317"/>
      <c r="AU83" s="317"/>
      <c r="AV83" s="317"/>
      <c r="AW83" s="317"/>
      <c r="AX83" s="313"/>
      <c r="AY83" s="339"/>
    </row>
    <row r="84" spans="1:51" ht="140.25" x14ac:dyDescent="0.25">
      <c r="A84" s="349" t="s">
        <v>201</v>
      </c>
      <c r="B84" s="340" t="s">
        <v>2128</v>
      </c>
      <c r="C84" s="351" t="s">
        <v>2358</v>
      </c>
      <c r="D84" s="351" t="s">
        <v>2359</v>
      </c>
      <c r="E84" s="350" t="s">
        <v>2360</v>
      </c>
      <c r="F84" s="340" t="s">
        <v>2281</v>
      </c>
      <c r="G84" s="351"/>
      <c r="H84" s="340" t="s">
        <v>2361</v>
      </c>
      <c r="I84" s="340" t="s">
        <v>2362</v>
      </c>
      <c r="J84" s="366">
        <v>0.4</v>
      </c>
      <c r="K84" s="365" t="str">
        <f>'[2]PLAN INDICATIVO'!O72</f>
        <v>incremento</v>
      </c>
      <c r="L84" s="341">
        <v>0.26</v>
      </c>
      <c r="M84" s="342" t="s">
        <v>612</v>
      </c>
      <c r="N84" s="335" t="s">
        <v>2362</v>
      </c>
      <c r="O84" s="308"/>
      <c r="P84" s="330">
        <v>3000</v>
      </c>
      <c r="Q84" s="343"/>
      <c r="R84" s="330"/>
      <c r="S84" s="330"/>
      <c r="T84" s="343">
        <v>3000</v>
      </c>
      <c r="U84" s="307"/>
      <c r="V84" s="307"/>
      <c r="W84" s="307"/>
      <c r="X84" s="307"/>
      <c r="Y84" s="335"/>
      <c r="Z84" s="335"/>
      <c r="AA84" s="307"/>
      <c r="AB84" s="307"/>
      <c r="AC84" s="307"/>
      <c r="AD84" s="335"/>
      <c r="AE84" s="307" t="s">
        <v>2363</v>
      </c>
      <c r="AF84" s="317" t="s">
        <v>364</v>
      </c>
      <c r="AG84" s="313" t="s">
        <v>2364</v>
      </c>
      <c r="AH84" s="307" t="s">
        <v>397</v>
      </c>
      <c r="AI84" s="307"/>
      <c r="AJ84" s="310">
        <v>3000000</v>
      </c>
      <c r="AK84" s="311"/>
      <c r="AL84" s="328"/>
      <c r="AM84" s="328"/>
      <c r="AN84" s="328"/>
      <c r="AO84" s="328"/>
      <c r="AP84" s="328"/>
      <c r="AQ84" s="328"/>
      <c r="AR84" s="328"/>
      <c r="AS84" s="328"/>
      <c r="AT84" s="328"/>
      <c r="AU84" s="328"/>
      <c r="AV84" s="328"/>
      <c r="AW84" s="328"/>
      <c r="AX84" s="317" t="s">
        <v>2365</v>
      </c>
      <c r="AY84" s="307"/>
    </row>
    <row r="85" spans="1:51" ht="191.25" x14ac:dyDescent="0.25">
      <c r="A85" s="349" t="s">
        <v>201</v>
      </c>
      <c r="B85" s="340" t="s">
        <v>2128</v>
      </c>
      <c r="C85" s="340" t="s">
        <v>2366</v>
      </c>
      <c r="D85" s="340" t="s">
        <v>2367</v>
      </c>
      <c r="E85" s="350">
        <v>1</v>
      </c>
      <c r="F85" s="340" t="s">
        <v>2368</v>
      </c>
      <c r="G85" s="856" t="s">
        <v>2369</v>
      </c>
      <c r="H85" s="856" t="s">
        <v>2314</v>
      </c>
      <c r="I85" s="856" t="s">
        <v>2370</v>
      </c>
      <c r="J85" s="365">
        <v>12</v>
      </c>
      <c r="K85" s="365" t="str">
        <f>'[2]PLAN INDICATIVO'!O73</f>
        <v>Incremento</v>
      </c>
      <c r="L85" s="365">
        <v>30</v>
      </c>
      <c r="M85" s="365">
        <v>11</v>
      </c>
      <c r="N85" s="317" t="s">
        <v>2370</v>
      </c>
      <c r="O85" s="308"/>
      <c r="P85" s="330">
        <v>13000</v>
      </c>
      <c r="Q85" s="307"/>
      <c r="R85" s="308"/>
      <c r="S85" s="308"/>
      <c r="T85" s="330">
        <f>P85-Z85</f>
        <v>6500</v>
      </c>
      <c r="U85" s="307"/>
      <c r="V85" s="307"/>
      <c r="W85" s="307"/>
      <c r="X85" s="307"/>
      <c r="Y85" s="307"/>
      <c r="Z85" s="330">
        <v>6500</v>
      </c>
      <c r="AA85" s="307"/>
      <c r="AB85" s="307"/>
      <c r="AC85" s="307"/>
      <c r="AD85" s="307"/>
      <c r="AE85" s="323" t="s">
        <v>2371</v>
      </c>
      <c r="AF85" s="317" t="s">
        <v>364</v>
      </c>
      <c r="AG85" s="317" t="s">
        <v>1821</v>
      </c>
      <c r="AH85" s="312" t="s">
        <v>2166</v>
      </c>
      <c r="AI85" s="312">
        <v>7536</v>
      </c>
      <c r="AJ85" s="310">
        <v>350000</v>
      </c>
      <c r="AK85" s="311" t="s">
        <v>2372</v>
      </c>
      <c r="AL85" s="312" t="s">
        <v>751</v>
      </c>
      <c r="AM85" s="312" t="s">
        <v>751</v>
      </c>
      <c r="AN85" s="312" t="s">
        <v>751</v>
      </c>
      <c r="AO85" s="312" t="s">
        <v>751</v>
      </c>
      <c r="AP85" s="312" t="s">
        <v>751</v>
      </c>
      <c r="AQ85" s="312" t="s">
        <v>751</v>
      </c>
      <c r="AR85" s="312" t="s">
        <v>751</v>
      </c>
      <c r="AS85" s="312" t="s">
        <v>751</v>
      </c>
      <c r="AT85" s="312" t="s">
        <v>751</v>
      </c>
      <c r="AU85" s="312" t="s">
        <v>751</v>
      </c>
      <c r="AV85" s="312" t="s">
        <v>751</v>
      </c>
      <c r="AW85" s="312" t="s">
        <v>751</v>
      </c>
      <c r="AX85" s="317" t="s">
        <v>2373</v>
      </c>
      <c r="AY85" s="323" t="s">
        <v>2374</v>
      </c>
    </row>
    <row r="86" spans="1:51" ht="242.25" x14ac:dyDescent="0.25">
      <c r="A86" s="349" t="s">
        <v>201</v>
      </c>
      <c r="B86" s="340"/>
      <c r="C86" s="340"/>
      <c r="D86" s="340"/>
      <c r="E86" s="350"/>
      <c r="F86" s="340"/>
      <c r="G86" s="856"/>
      <c r="H86" s="856"/>
      <c r="I86" s="856"/>
      <c r="J86" s="365"/>
      <c r="K86" s="365"/>
      <c r="L86" s="365"/>
      <c r="M86" s="365"/>
      <c r="N86" s="317" t="s">
        <v>2370</v>
      </c>
      <c r="O86" s="308"/>
      <c r="P86" s="307"/>
      <c r="Q86" s="307"/>
      <c r="R86" s="308"/>
      <c r="S86" s="308"/>
      <c r="T86" s="307"/>
      <c r="U86" s="307"/>
      <c r="V86" s="307"/>
      <c r="W86" s="307"/>
      <c r="X86" s="307"/>
      <c r="Y86" s="307"/>
      <c r="Z86" s="307"/>
      <c r="AA86" s="307"/>
      <c r="AB86" s="307"/>
      <c r="AC86" s="307"/>
      <c r="AD86" s="307"/>
      <c r="AE86" s="323" t="s">
        <v>2375</v>
      </c>
      <c r="AF86" s="317" t="s">
        <v>364</v>
      </c>
      <c r="AG86" s="317" t="s">
        <v>2300</v>
      </c>
      <c r="AH86" s="312" t="s">
        <v>2166</v>
      </c>
      <c r="AI86" s="312">
        <v>18105</v>
      </c>
      <c r="AJ86" s="310">
        <v>416547.70799999998</v>
      </c>
      <c r="AK86" s="311" t="s">
        <v>2376</v>
      </c>
      <c r="AL86" s="312" t="s">
        <v>751</v>
      </c>
      <c r="AM86" s="312" t="s">
        <v>751</v>
      </c>
      <c r="AN86" s="312" t="s">
        <v>751</v>
      </c>
      <c r="AO86" s="312" t="s">
        <v>751</v>
      </c>
      <c r="AP86" s="312" t="s">
        <v>751</v>
      </c>
      <c r="AQ86" s="312" t="s">
        <v>751</v>
      </c>
      <c r="AR86" s="312" t="s">
        <v>751</v>
      </c>
      <c r="AS86" s="312" t="s">
        <v>751</v>
      </c>
      <c r="AT86" s="312" t="s">
        <v>751</v>
      </c>
      <c r="AU86" s="312" t="s">
        <v>751</v>
      </c>
      <c r="AV86" s="312" t="s">
        <v>751</v>
      </c>
      <c r="AW86" s="312" t="s">
        <v>751</v>
      </c>
      <c r="AX86" s="317" t="s">
        <v>2373</v>
      </c>
      <c r="AY86" s="323" t="s">
        <v>2374</v>
      </c>
    </row>
    <row r="87" spans="1:51" ht="191.25" x14ac:dyDescent="0.25">
      <c r="A87" s="349" t="s">
        <v>201</v>
      </c>
      <c r="B87" s="340"/>
      <c r="C87" s="340"/>
      <c r="D87" s="340"/>
      <c r="E87" s="350"/>
      <c r="F87" s="340"/>
      <c r="G87" s="856"/>
      <c r="H87" s="856"/>
      <c r="I87" s="856"/>
      <c r="J87" s="365"/>
      <c r="K87" s="365"/>
      <c r="L87" s="365"/>
      <c r="M87" s="365"/>
      <c r="N87" s="317" t="s">
        <v>2370</v>
      </c>
      <c r="O87" s="308"/>
      <c r="P87" s="307"/>
      <c r="Q87" s="307"/>
      <c r="R87" s="308"/>
      <c r="S87" s="308"/>
      <c r="T87" s="307"/>
      <c r="U87" s="307"/>
      <c r="V87" s="307"/>
      <c r="W87" s="307"/>
      <c r="X87" s="307"/>
      <c r="Y87" s="307"/>
      <c r="Z87" s="307"/>
      <c r="AA87" s="307"/>
      <c r="AB87" s="307"/>
      <c r="AC87" s="307"/>
      <c r="AD87" s="307"/>
      <c r="AE87" s="323" t="s">
        <v>2377</v>
      </c>
      <c r="AF87" s="317" t="s">
        <v>364</v>
      </c>
      <c r="AG87" s="317" t="s">
        <v>2378</v>
      </c>
      <c r="AH87" s="312" t="s">
        <v>2333</v>
      </c>
      <c r="AI87" s="312">
        <v>11319</v>
      </c>
      <c r="AJ87" s="310">
        <v>350000</v>
      </c>
      <c r="AK87" s="311" t="s">
        <v>2372</v>
      </c>
      <c r="AL87" s="312" t="s">
        <v>751</v>
      </c>
      <c r="AM87" s="312" t="s">
        <v>751</v>
      </c>
      <c r="AN87" s="312" t="s">
        <v>751</v>
      </c>
      <c r="AO87" s="312" t="s">
        <v>751</v>
      </c>
      <c r="AP87" s="312" t="s">
        <v>751</v>
      </c>
      <c r="AQ87" s="312" t="s">
        <v>751</v>
      </c>
      <c r="AR87" s="312" t="s">
        <v>751</v>
      </c>
      <c r="AS87" s="312" t="s">
        <v>751</v>
      </c>
      <c r="AT87" s="312" t="s">
        <v>751</v>
      </c>
      <c r="AU87" s="312" t="s">
        <v>751</v>
      </c>
      <c r="AV87" s="312" t="s">
        <v>751</v>
      </c>
      <c r="AW87" s="312" t="s">
        <v>751</v>
      </c>
      <c r="AX87" s="317" t="s">
        <v>2373</v>
      </c>
      <c r="AY87" s="323" t="s">
        <v>2374</v>
      </c>
    </row>
    <row r="88" spans="1:51" ht="191.25" x14ac:dyDescent="0.25">
      <c r="A88" s="349" t="s">
        <v>201</v>
      </c>
      <c r="B88" s="340"/>
      <c r="C88" s="340"/>
      <c r="D88" s="340"/>
      <c r="E88" s="350"/>
      <c r="F88" s="340"/>
      <c r="G88" s="856"/>
      <c r="H88" s="856"/>
      <c r="I88" s="856"/>
      <c r="J88" s="365"/>
      <c r="K88" s="365"/>
      <c r="L88" s="365"/>
      <c r="M88" s="307"/>
      <c r="N88" s="317" t="s">
        <v>2370</v>
      </c>
      <c r="O88" s="308"/>
      <c r="P88" s="307"/>
      <c r="Q88" s="307"/>
      <c r="R88" s="308"/>
      <c r="S88" s="308"/>
      <c r="T88" s="307"/>
      <c r="U88" s="307"/>
      <c r="V88" s="307"/>
      <c r="W88" s="307"/>
      <c r="X88" s="307"/>
      <c r="Y88" s="307"/>
      <c r="Z88" s="307"/>
      <c r="AA88" s="307"/>
      <c r="AB88" s="307"/>
      <c r="AC88" s="307"/>
      <c r="AD88" s="307"/>
      <c r="AE88" s="323" t="s">
        <v>2379</v>
      </c>
      <c r="AF88" s="317" t="s">
        <v>364</v>
      </c>
      <c r="AG88" s="317" t="s">
        <v>2380</v>
      </c>
      <c r="AH88" s="312" t="s">
        <v>2166</v>
      </c>
      <c r="AI88" s="312">
        <v>8926</v>
      </c>
      <c r="AJ88" s="310">
        <v>350000</v>
      </c>
      <c r="AK88" s="311" t="s">
        <v>2372</v>
      </c>
      <c r="AL88" s="312" t="s">
        <v>751</v>
      </c>
      <c r="AM88" s="312" t="s">
        <v>751</v>
      </c>
      <c r="AN88" s="312" t="s">
        <v>751</v>
      </c>
      <c r="AO88" s="312" t="s">
        <v>751</v>
      </c>
      <c r="AP88" s="312" t="s">
        <v>751</v>
      </c>
      <c r="AQ88" s="312" t="s">
        <v>751</v>
      </c>
      <c r="AR88" s="312" t="s">
        <v>751</v>
      </c>
      <c r="AS88" s="312" t="s">
        <v>751</v>
      </c>
      <c r="AT88" s="312" t="s">
        <v>751</v>
      </c>
      <c r="AU88" s="312" t="s">
        <v>751</v>
      </c>
      <c r="AV88" s="312" t="s">
        <v>751</v>
      </c>
      <c r="AW88" s="312" t="s">
        <v>751</v>
      </c>
      <c r="AX88" s="317" t="s">
        <v>2373</v>
      </c>
      <c r="AY88" s="323" t="s">
        <v>2374</v>
      </c>
    </row>
    <row r="89" spans="1:51" ht="216.75" x14ac:dyDescent="0.25">
      <c r="A89" s="349" t="s">
        <v>201</v>
      </c>
      <c r="B89" s="340"/>
      <c r="C89" s="340"/>
      <c r="D89" s="340"/>
      <c r="E89" s="350"/>
      <c r="F89" s="340"/>
      <c r="G89" s="856"/>
      <c r="H89" s="856"/>
      <c r="I89" s="856"/>
      <c r="J89" s="365"/>
      <c r="K89" s="365"/>
      <c r="L89" s="365"/>
      <c r="M89" s="307"/>
      <c r="N89" s="317" t="s">
        <v>2370</v>
      </c>
      <c r="O89" s="308"/>
      <c r="P89" s="307"/>
      <c r="Q89" s="307"/>
      <c r="R89" s="308"/>
      <c r="S89" s="308"/>
      <c r="T89" s="307"/>
      <c r="U89" s="307"/>
      <c r="V89" s="307"/>
      <c r="W89" s="307"/>
      <c r="X89" s="307"/>
      <c r="Y89" s="307"/>
      <c r="Z89" s="307"/>
      <c r="AA89" s="307"/>
      <c r="AB89" s="307"/>
      <c r="AC89" s="307"/>
      <c r="AD89" s="307"/>
      <c r="AE89" s="323" t="s">
        <v>2381</v>
      </c>
      <c r="AF89" s="317" t="s">
        <v>364</v>
      </c>
      <c r="AG89" s="317" t="s">
        <v>2341</v>
      </c>
      <c r="AH89" s="317" t="s">
        <v>2342</v>
      </c>
      <c r="AI89" s="312">
        <v>7417</v>
      </c>
      <c r="AJ89" s="310">
        <v>416547.70799999998</v>
      </c>
      <c r="AK89" s="311" t="s">
        <v>2376</v>
      </c>
      <c r="AL89" s="312" t="s">
        <v>751</v>
      </c>
      <c r="AM89" s="312" t="s">
        <v>751</v>
      </c>
      <c r="AN89" s="312" t="s">
        <v>751</v>
      </c>
      <c r="AO89" s="312" t="s">
        <v>751</v>
      </c>
      <c r="AP89" s="312" t="s">
        <v>751</v>
      </c>
      <c r="AQ89" s="312" t="s">
        <v>751</v>
      </c>
      <c r="AR89" s="312" t="s">
        <v>751</v>
      </c>
      <c r="AS89" s="312" t="s">
        <v>751</v>
      </c>
      <c r="AT89" s="312" t="s">
        <v>751</v>
      </c>
      <c r="AU89" s="312" t="s">
        <v>751</v>
      </c>
      <c r="AV89" s="312" t="s">
        <v>751</v>
      </c>
      <c r="AW89" s="312" t="s">
        <v>751</v>
      </c>
      <c r="AX89" s="317" t="s">
        <v>2373</v>
      </c>
      <c r="AY89" s="323" t="s">
        <v>2374</v>
      </c>
    </row>
    <row r="90" spans="1:51" ht="204" x14ac:dyDescent="0.25">
      <c r="A90" s="349" t="s">
        <v>201</v>
      </c>
      <c r="B90" s="340"/>
      <c r="C90" s="340"/>
      <c r="D90" s="340"/>
      <c r="E90" s="350"/>
      <c r="F90" s="340"/>
      <c r="G90" s="856"/>
      <c r="H90" s="856"/>
      <c r="I90" s="856"/>
      <c r="J90" s="365"/>
      <c r="K90" s="365"/>
      <c r="L90" s="365"/>
      <c r="M90" s="307"/>
      <c r="N90" s="317" t="s">
        <v>2370</v>
      </c>
      <c r="O90" s="308"/>
      <c r="P90" s="307"/>
      <c r="Q90" s="307"/>
      <c r="R90" s="308"/>
      <c r="S90" s="308"/>
      <c r="T90" s="307"/>
      <c r="U90" s="307"/>
      <c r="V90" s="307"/>
      <c r="W90" s="307"/>
      <c r="X90" s="307"/>
      <c r="Y90" s="307"/>
      <c r="Z90" s="307"/>
      <c r="AA90" s="307"/>
      <c r="AB90" s="307"/>
      <c r="AC90" s="307"/>
      <c r="AD90" s="307"/>
      <c r="AE90" s="323" t="s">
        <v>2382</v>
      </c>
      <c r="AF90" s="317" t="s">
        <v>364</v>
      </c>
      <c r="AG90" s="317" t="s">
        <v>2383</v>
      </c>
      <c r="AH90" s="312" t="s">
        <v>2333</v>
      </c>
      <c r="AI90" s="312">
        <v>8464</v>
      </c>
      <c r="AJ90" s="310">
        <v>416547.70799999998</v>
      </c>
      <c r="AK90" s="311" t="s">
        <v>2376</v>
      </c>
      <c r="AL90" s="312" t="s">
        <v>751</v>
      </c>
      <c r="AM90" s="312" t="s">
        <v>751</v>
      </c>
      <c r="AN90" s="312" t="s">
        <v>751</v>
      </c>
      <c r="AO90" s="312" t="s">
        <v>751</v>
      </c>
      <c r="AP90" s="312" t="s">
        <v>751</v>
      </c>
      <c r="AQ90" s="312" t="s">
        <v>751</v>
      </c>
      <c r="AR90" s="312" t="s">
        <v>751</v>
      </c>
      <c r="AS90" s="312" t="s">
        <v>751</v>
      </c>
      <c r="AT90" s="312" t="s">
        <v>751</v>
      </c>
      <c r="AU90" s="312" t="s">
        <v>751</v>
      </c>
      <c r="AV90" s="312" t="s">
        <v>751</v>
      </c>
      <c r="AW90" s="312" t="s">
        <v>751</v>
      </c>
      <c r="AX90" s="317" t="s">
        <v>2373</v>
      </c>
      <c r="AY90" s="323" t="s">
        <v>2374</v>
      </c>
    </row>
    <row r="91" spans="1:51" ht="242.25" x14ac:dyDescent="0.25">
      <c r="A91" s="349" t="s">
        <v>201</v>
      </c>
      <c r="B91" s="340"/>
      <c r="C91" s="340"/>
      <c r="D91" s="340"/>
      <c r="E91" s="350"/>
      <c r="F91" s="340"/>
      <c r="G91" s="856"/>
      <c r="H91" s="856"/>
      <c r="I91" s="856"/>
      <c r="J91" s="365"/>
      <c r="K91" s="365"/>
      <c r="L91" s="365"/>
      <c r="M91" s="307"/>
      <c r="N91" s="317" t="s">
        <v>2370</v>
      </c>
      <c r="O91" s="308"/>
      <c r="P91" s="307"/>
      <c r="Q91" s="307"/>
      <c r="R91" s="308"/>
      <c r="S91" s="308"/>
      <c r="T91" s="307"/>
      <c r="U91" s="307"/>
      <c r="V91" s="307"/>
      <c r="W91" s="307"/>
      <c r="X91" s="307"/>
      <c r="Y91" s="307"/>
      <c r="Z91" s="307"/>
      <c r="AA91" s="307"/>
      <c r="AB91" s="307"/>
      <c r="AC91" s="307"/>
      <c r="AD91" s="307"/>
      <c r="AE91" s="323" t="s">
        <v>2384</v>
      </c>
      <c r="AF91" s="317" t="s">
        <v>364</v>
      </c>
      <c r="AG91" s="317" t="s">
        <v>2385</v>
      </c>
      <c r="AH91" s="312" t="s">
        <v>2197</v>
      </c>
      <c r="AI91" s="312">
        <v>4289</v>
      </c>
      <c r="AJ91" s="310">
        <v>350000</v>
      </c>
      <c r="AK91" s="311" t="s">
        <v>2372</v>
      </c>
      <c r="AL91" s="312" t="s">
        <v>751</v>
      </c>
      <c r="AM91" s="312" t="s">
        <v>751</v>
      </c>
      <c r="AN91" s="312" t="s">
        <v>751</v>
      </c>
      <c r="AO91" s="312" t="s">
        <v>751</v>
      </c>
      <c r="AP91" s="312" t="s">
        <v>751</v>
      </c>
      <c r="AQ91" s="312" t="s">
        <v>751</v>
      </c>
      <c r="AR91" s="312" t="s">
        <v>751</v>
      </c>
      <c r="AS91" s="312" t="s">
        <v>751</v>
      </c>
      <c r="AT91" s="312" t="s">
        <v>751</v>
      </c>
      <c r="AU91" s="312" t="s">
        <v>751</v>
      </c>
      <c r="AV91" s="312" t="s">
        <v>751</v>
      </c>
      <c r="AW91" s="312" t="s">
        <v>751</v>
      </c>
      <c r="AX91" s="317" t="s">
        <v>2373</v>
      </c>
      <c r="AY91" s="323" t="s">
        <v>2374</v>
      </c>
    </row>
    <row r="92" spans="1:51" ht="267.75" x14ac:dyDescent="0.25">
      <c r="A92" s="349" t="s">
        <v>201</v>
      </c>
      <c r="B92" s="340"/>
      <c r="C92" s="340"/>
      <c r="D92" s="340"/>
      <c r="E92" s="350"/>
      <c r="F92" s="340"/>
      <c r="G92" s="856"/>
      <c r="H92" s="856"/>
      <c r="I92" s="856"/>
      <c r="J92" s="365"/>
      <c r="K92" s="365"/>
      <c r="L92" s="365"/>
      <c r="M92" s="307"/>
      <c r="N92" s="317" t="s">
        <v>2370</v>
      </c>
      <c r="O92" s="308"/>
      <c r="P92" s="307"/>
      <c r="Q92" s="307"/>
      <c r="R92" s="308"/>
      <c r="S92" s="308"/>
      <c r="T92" s="307"/>
      <c r="U92" s="307"/>
      <c r="V92" s="307"/>
      <c r="W92" s="307"/>
      <c r="X92" s="307"/>
      <c r="Y92" s="307"/>
      <c r="Z92" s="307"/>
      <c r="AA92" s="307"/>
      <c r="AB92" s="307"/>
      <c r="AC92" s="307"/>
      <c r="AD92" s="307"/>
      <c r="AE92" s="323" t="s">
        <v>2386</v>
      </c>
      <c r="AF92" s="317" t="s">
        <v>364</v>
      </c>
      <c r="AG92" s="317" t="s">
        <v>2387</v>
      </c>
      <c r="AH92" s="312" t="s">
        <v>2145</v>
      </c>
      <c r="AI92" s="312">
        <v>58894</v>
      </c>
      <c r="AJ92" s="310">
        <v>533168.48199999996</v>
      </c>
      <c r="AK92" s="311" t="s">
        <v>2388</v>
      </c>
      <c r="AL92" s="312" t="s">
        <v>751</v>
      </c>
      <c r="AM92" s="312" t="s">
        <v>751</v>
      </c>
      <c r="AN92" s="312" t="s">
        <v>751</v>
      </c>
      <c r="AO92" s="312" t="s">
        <v>751</v>
      </c>
      <c r="AP92" s="312" t="s">
        <v>751</v>
      </c>
      <c r="AQ92" s="312" t="s">
        <v>751</v>
      </c>
      <c r="AR92" s="312" t="s">
        <v>751</v>
      </c>
      <c r="AS92" s="312" t="s">
        <v>751</v>
      </c>
      <c r="AT92" s="312" t="s">
        <v>751</v>
      </c>
      <c r="AU92" s="312" t="s">
        <v>751</v>
      </c>
      <c r="AV92" s="312" t="s">
        <v>751</v>
      </c>
      <c r="AW92" s="312" t="s">
        <v>751</v>
      </c>
      <c r="AX92" s="317" t="s">
        <v>2373</v>
      </c>
      <c r="AY92" s="323" t="s">
        <v>2374</v>
      </c>
    </row>
    <row r="93" spans="1:51" ht="229.5" x14ac:dyDescent="0.25">
      <c r="A93" s="349" t="s">
        <v>201</v>
      </c>
      <c r="B93" s="340"/>
      <c r="C93" s="340"/>
      <c r="D93" s="340"/>
      <c r="E93" s="350"/>
      <c r="F93" s="340"/>
      <c r="G93" s="856"/>
      <c r="H93" s="856"/>
      <c r="I93" s="856"/>
      <c r="J93" s="365"/>
      <c r="K93" s="365"/>
      <c r="L93" s="365"/>
      <c r="M93" s="307"/>
      <c r="N93" s="317" t="s">
        <v>2370</v>
      </c>
      <c r="O93" s="308"/>
      <c r="P93" s="307"/>
      <c r="Q93" s="307"/>
      <c r="R93" s="308"/>
      <c r="S93" s="308"/>
      <c r="T93" s="307"/>
      <c r="U93" s="307"/>
      <c r="V93" s="307"/>
      <c r="W93" s="307"/>
      <c r="X93" s="307"/>
      <c r="Y93" s="307"/>
      <c r="Z93" s="307"/>
      <c r="AA93" s="307"/>
      <c r="AB93" s="307"/>
      <c r="AC93" s="307"/>
      <c r="AD93" s="307"/>
      <c r="AE93" s="323" t="s">
        <v>2389</v>
      </c>
      <c r="AF93" s="317" t="s">
        <v>364</v>
      </c>
      <c r="AG93" s="317" t="s">
        <v>2338</v>
      </c>
      <c r="AH93" s="312" t="s">
        <v>2197</v>
      </c>
      <c r="AI93" s="312">
        <v>8245</v>
      </c>
      <c r="AJ93" s="310">
        <v>350000</v>
      </c>
      <c r="AK93" s="311" t="s">
        <v>2372</v>
      </c>
      <c r="AL93" s="312" t="s">
        <v>751</v>
      </c>
      <c r="AM93" s="312" t="s">
        <v>751</v>
      </c>
      <c r="AN93" s="312" t="s">
        <v>751</v>
      </c>
      <c r="AO93" s="312" t="s">
        <v>751</v>
      </c>
      <c r="AP93" s="312" t="s">
        <v>751</v>
      </c>
      <c r="AQ93" s="312" t="s">
        <v>751</v>
      </c>
      <c r="AR93" s="312" t="s">
        <v>751</v>
      </c>
      <c r="AS93" s="312" t="s">
        <v>751</v>
      </c>
      <c r="AT93" s="312" t="s">
        <v>751</v>
      </c>
      <c r="AU93" s="312" t="s">
        <v>751</v>
      </c>
      <c r="AV93" s="312" t="s">
        <v>751</v>
      </c>
      <c r="AW93" s="312" t="s">
        <v>751</v>
      </c>
      <c r="AX93" s="317" t="s">
        <v>2373</v>
      </c>
      <c r="AY93" s="323" t="s">
        <v>2374</v>
      </c>
    </row>
    <row r="94" spans="1:51" ht="191.25" x14ac:dyDescent="0.25">
      <c r="A94" s="349" t="s">
        <v>201</v>
      </c>
      <c r="B94" s="340"/>
      <c r="C94" s="340"/>
      <c r="D94" s="340"/>
      <c r="E94" s="350"/>
      <c r="F94" s="340"/>
      <c r="G94" s="856"/>
      <c r="H94" s="856"/>
      <c r="I94" s="856"/>
      <c r="J94" s="365"/>
      <c r="K94" s="365"/>
      <c r="L94" s="365"/>
      <c r="M94" s="307"/>
      <c r="N94" s="317" t="s">
        <v>2370</v>
      </c>
      <c r="O94" s="308"/>
      <c r="P94" s="307"/>
      <c r="Q94" s="307"/>
      <c r="R94" s="308"/>
      <c r="S94" s="308"/>
      <c r="T94" s="307"/>
      <c r="U94" s="307"/>
      <c r="V94" s="307"/>
      <c r="W94" s="307"/>
      <c r="X94" s="307"/>
      <c r="Y94" s="307"/>
      <c r="Z94" s="307"/>
      <c r="AA94" s="307"/>
      <c r="AB94" s="307"/>
      <c r="AC94" s="307"/>
      <c r="AD94" s="307"/>
      <c r="AE94" s="323" t="s">
        <v>2390</v>
      </c>
      <c r="AF94" s="317" t="s">
        <v>364</v>
      </c>
      <c r="AG94" s="317" t="s">
        <v>2350</v>
      </c>
      <c r="AH94" s="317" t="s">
        <v>2391</v>
      </c>
      <c r="AI94" s="312">
        <v>10240</v>
      </c>
      <c r="AJ94" s="310">
        <v>1575055.6058159999</v>
      </c>
      <c r="AK94" s="311" t="s">
        <v>2392</v>
      </c>
      <c r="AL94" s="312" t="s">
        <v>751</v>
      </c>
      <c r="AM94" s="312" t="s">
        <v>751</v>
      </c>
      <c r="AN94" s="312" t="s">
        <v>751</v>
      </c>
      <c r="AO94" s="312" t="s">
        <v>751</v>
      </c>
      <c r="AP94" s="312" t="s">
        <v>751</v>
      </c>
      <c r="AQ94" s="312" t="s">
        <v>751</v>
      </c>
      <c r="AR94" s="312" t="s">
        <v>751</v>
      </c>
      <c r="AS94" s="312" t="s">
        <v>751</v>
      </c>
      <c r="AT94" s="312" t="s">
        <v>751</v>
      </c>
      <c r="AU94" s="312" t="s">
        <v>751</v>
      </c>
      <c r="AV94" s="312" t="s">
        <v>751</v>
      </c>
      <c r="AW94" s="312" t="s">
        <v>751</v>
      </c>
      <c r="AX94" s="317" t="s">
        <v>2373</v>
      </c>
      <c r="AY94" s="323" t="s">
        <v>2374</v>
      </c>
    </row>
    <row r="95" spans="1:51" ht="204" x14ac:dyDescent="0.25">
      <c r="A95" s="349" t="s">
        <v>201</v>
      </c>
      <c r="B95" s="340"/>
      <c r="C95" s="340"/>
      <c r="D95" s="340"/>
      <c r="E95" s="350"/>
      <c r="F95" s="340"/>
      <c r="G95" s="856"/>
      <c r="H95" s="856"/>
      <c r="I95" s="856"/>
      <c r="J95" s="365"/>
      <c r="K95" s="365"/>
      <c r="L95" s="365"/>
      <c r="M95" s="307"/>
      <c r="N95" s="317" t="s">
        <v>2370</v>
      </c>
      <c r="O95" s="308"/>
      <c r="P95" s="307"/>
      <c r="Q95" s="307"/>
      <c r="R95" s="308"/>
      <c r="S95" s="308"/>
      <c r="T95" s="307"/>
      <c r="U95" s="307"/>
      <c r="V95" s="307"/>
      <c r="W95" s="307"/>
      <c r="X95" s="307"/>
      <c r="Y95" s="307"/>
      <c r="Z95" s="307"/>
      <c r="AA95" s="307"/>
      <c r="AB95" s="307"/>
      <c r="AC95" s="307"/>
      <c r="AD95" s="307"/>
      <c r="AE95" s="323" t="s">
        <v>2393</v>
      </c>
      <c r="AF95" s="317" t="s">
        <v>364</v>
      </c>
      <c r="AG95" s="317" t="s">
        <v>2394</v>
      </c>
      <c r="AH95" s="317" t="s">
        <v>2138</v>
      </c>
      <c r="AI95" s="312">
        <v>14054</v>
      </c>
      <c r="AJ95" s="310">
        <v>380000</v>
      </c>
      <c r="AK95" s="311" t="s">
        <v>2395</v>
      </c>
      <c r="AL95" s="312" t="s">
        <v>751</v>
      </c>
      <c r="AM95" s="312" t="s">
        <v>751</v>
      </c>
      <c r="AN95" s="312" t="s">
        <v>751</v>
      </c>
      <c r="AO95" s="312" t="s">
        <v>751</v>
      </c>
      <c r="AP95" s="312" t="s">
        <v>751</v>
      </c>
      <c r="AQ95" s="312" t="s">
        <v>751</v>
      </c>
      <c r="AR95" s="312" t="s">
        <v>751</v>
      </c>
      <c r="AS95" s="312" t="s">
        <v>751</v>
      </c>
      <c r="AT95" s="312" t="s">
        <v>751</v>
      </c>
      <c r="AU95" s="312" t="s">
        <v>751</v>
      </c>
      <c r="AV95" s="312" t="s">
        <v>751</v>
      </c>
      <c r="AW95" s="312" t="s">
        <v>751</v>
      </c>
      <c r="AX95" s="317" t="s">
        <v>2373</v>
      </c>
      <c r="AY95" s="323" t="s">
        <v>2396</v>
      </c>
    </row>
    <row r="96" spans="1:51" ht="204" x14ac:dyDescent="0.25">
      <c r="A96" s="349" t="s">
        <v>201</v>
      </c>
      <c r="B96" s="340"/>
      <c r="C96" s="340"/>
      <c r="D96" s="340"/>
      <c r="E96" s="350"/>
      <c r="F96" s="340"/>
      <c r="G96" s="856"/>
      <c r="H96" s="856"/>
      <c r="I96" s="856"/>
      <c r="J96" s="365"/>
      <c r="K96" s="365"/>
      <c r="L96" s="365"/>
      <c r="M96" s="307"/>
      <c r="N96" s="317" t="s">
        <v>2370</v>
      </c>
      <c r="O96" s="308"/>
      <c r="P96" s="307"/>
      <c r="Q96" s="307"/>
      <c r="R96" s="308"/>
      <c r="S96" s="308"/>
      <c r="T96" s="307"/>
      <c r="U96" s="307"/>
      <c r="V96" s="307"/>
      <c r="W96" s="307"/>
      <c r="X96" s="307"/>
      <c r="Y96" s="307"/>
      <c r="Z96" s="307"/>
      <c r="AA96" s="307"/>
      <c r="AB96" s="307"/>
      <c r="AC96" s="307"/>
      <c r="AD96" s="307"/>
      <c r="AE96" s="323" t="s">
        <v>2397</v>
      </c>
      <c r="AF96" s="317" t="s">
        <v>364</v>
      </c>
      <c r="AG96" s="317" t="s">
        <v>2385</v>
      </c>
      <c r="AH96" s="312" t="s">
        <v>2197</v>
      </c>
      <c r="AI96" s="312">
        <v>24012</v>
      </c>
      <c r="AJ96" s="310">
        <v>350000</v>
      </c>
      <c r="AK96" s="311" t="s">
        <v>2395</v>
      </c>
      <c r="AL96" s="312" t="s">
        <v>751</v>
      </c>
      <c r="AM96" s="312" t="s">
        <v>751</v>
      </c>
      <c r="AN96" s="312" t="s">
        <v>751</v>
      </c>
      <c r="AO96" s="312" t="s">
        <v>751</v>
      </c>
      <c r="AP96" s="312" t="s">
        <v>751</v>
      </c>
      <c r="AQ96" s="312" t="s">
        <v>751</v>
      </c>
      <c r="AR96" s="312" t="s">
        <v>751</v>
      </c>
      <c r="AS96" s="312" t="s">
        <v>751</v>
      </c>
      <c r="AT96" s="312" t="s">
        <v>751</v>
      </c>
      <c r="AU96" s="312" t="s">
        <v>751</v>
      </c>
      <c r="AV96" s="312" t="s">
        <v>751</v>
      </c>
      <c r="AW96" s="312" t="s">
        <v>751</v>
      </c>
      <c r="AX96" s="317" t="s">
        <v>2373</v>
      </c>
      <c r="AY96" s="323" t="s">
        <v>2396</v>
      </c>
    </row>
    <row r="97" spans="1:51" ht="191.25" x14ac:dyDescent="0.25">
      <c r="A97" s="349" t="s">
        <v>201</v>
      </c>
      <c r="B97" s="340"/>
      <c r="C97" s="340"/>
      <c r="D97" s="340"/>
      <c r="E97" s="350"/>
      <c r="F97" s="340"/>
      <c r="G97" s="856"/>
      <c r="H97" s="856"/>
      <c r="I97" s="856"/>
      <c r="J97" s="365"/>
      <c r="K97" s="365"/>
      <c r="L97" s="365"/>
      <c r="M97" s="307"/>
      <c r="N97" s="317" t="s">
        <v>2370</v>
      </c>
      <c r="O97" s="308"/>
      <c r="P97" s="307"/>
      <c r="Q97" s="307"/>
      <c r="R97" s="308"/>
      <c r="S97" s="308"/>
      <c r="T97" s="307"/>
      <c r="U97" s="307"/>
      <c r="V97" s="307"/>
      <c r="W97" s="307"/>
      <c r="X97" s="307"/>
      <c r="Y97" s="307"/>
      <c r="Z97" s="307"/>
      <c r="AA97" s="307"/>
      <c r="AB97" s="307"/>
      <c r="AC97" s="307"/>
      <c r="AD97" s="307"/>
      <c r="AE97" s="323" t="s">
        <v>2398</v>
      </c>
      <c r="AF97" s="317" t="s">
        <v>364</v>
      </c>
      <c r="AG97" s="317" t="s">
        <v>2399</v>
      </c>
      <c r="AH97" s="312" t="s">
        <v>2400</v>
      </c>
      <c r="AI97" s="312">
        <v>5973</v>
      </c>
      <c r="AJ97" s="310">
        <v>1800000</v>
      </c>
      <c r="AK97" s="311" t="s">
        <v>2401</v>
      </c>
      <c r="AL97" s="312" t="s">
        <v>751</v>
      </c>
      <c r="AM97" s="312"/>
      <c r="AN97" s="312"/>
      <c r="AO97" s="312"/>
      <c r="AP97" s="312"/>
      <c r="AQ97" s="312"/>
      <c r="AR97" s="312"/>
      <c r="AS97" s="312"/>
      <c r="AT97" s="312"/>
      <c r="AU97" s="312"/>
      <c r="AV97" s="312"/>
      <c r="AW97" s="312"/>
      <c r="AX97" s="317" t="s">
        <v>2373</v>
      </c>
      <c r="AY97" s="323" t="s">
        <v>2402</v>
      </c>
    </row>
    <row r="98" spans="1:51" ht="204" x14ac:dyDescent="0.25">
      <c r="A98" s="349" t="s">
        <v>201</v>
      </c>
      <c r="B98" s="349"/>
      <c r="C98" s="349"/>
      <c r="D98" s="349"/>
      <c r="E98" s="350"/>
      <c r="F98" s="349"/>
      <c r="G98" s="856"/>
      <c r="H98" s="856"/>
      <c r="I98" s="856"/>
      <c r="J98" s="354"/>
      <c r="K98" s="365"/>
      <c r="L98" s="365"/>
      <c r="M98" s="307"/>
      <c r="N98" s="317" t="s">
        <v>2370</v>
      </c>
      <c r="O98" s="312"/>
      <c r="P98" s="312"/>
      <c r="Q98" s="312"/>
      <c r="R98" s="312"/>
      <c r="S98" s="312"/>
      <c r="T98" s="312"/>
      <c r="U98" s="312"/>
      <c r="V98" s="312"/>
      <c r="W98" s="312"/>
      <c r="X98" s="312"/>
      <c r="Y98" s="312"/>
      <c r="Z98" s="312"/>
      <c r="AA98" s="312"/>
      <c r="AB98" s="312"/>
      <c r="AC98" s="312"/>
      <c r="AD98" s="312"/>
      <c r="AE98" s="323" t="s">
        <v>2403</v>
      </c>
      <c r="AF98" s="317" t="s">
        <v>364</v>
      </c>
      <c r="AG98" s="317" t="s">
        <v>2404</v>
      </c>
      <c r="AH98" s="317" t="s">
        <v>2166</v>
      </c>
      <c r="AI98" s="312">
        <v>24251</v>
      </c>
      <c r="AJ98" s="310">
        <v>450000</v>
      </c>
      <c r="AK98" s="311" t="s">
        <v>2395</v>
      </c>
      <c r="AL98" s="312" t="s">
        <v>751</v>
      </c>
      <c r="AM98" s="312" t="s">
        <v>751</v>
      </c>
      <c r="AN98" s="312" t="s">
        <v>751</v>
      </c>
      <c r="AO98" s="312" t="s">
        <v>751</v>
      </c>
      <c r="AP98" s="312" t="s">
        <v>751</v>
      </c>
      <c r="AQ98" s="312" t="s">
        <v>751</v>
      </c>
      <c r="AR98" s="312" t="s">
        <v>751</v>
      </c>
      <c r="AS98" s="312" t="s">
        <v>751</v>
      </c>
      <c r="AT98" s="312" t="s">
        <v>751</v>
      </c>
      <c r="AU98" s="312" t="s">
        <v>751</v>
      </c>
      <c r="AV98" s="312" t="s">
        <v>751</v>
      </c>
      <c r="AW98" s="312" t="s">
        <v>751</v>
      </c>
      <c r="AX98" s="317" t="s">
        <v>2373</v>
      </c>
      <c r="AY98" s="323" t="s">
        <v>2396</v>
      </c>
    </row>
    <row r="99" spans="1:51" ht="409.5" x14ac:dyDescent="0.25">
      <c r="A99" s="349" t="s">
        <v>201</v>
      </c>
      <c r="B99" s="351" t="s">
        <v>2128</v>
      </c>
      <c r="C99" s="856" t="s">
        <v>2405</v>
      </c>
      <c r="D99" s="856" t="s">
        <v>2406</v>
      </c>
      <c r="E99" s="858" t="s">
        <v>2407</v>
      </c>
      <c r="F99" s="351" t="s">
        <v>2368</v>
      </c>
      <c r="G99" s="856"/>
      <c r="H99" s="856" t="s">
        <v>2408</v>
      </c>
      <c r="I99" s="856" t="s">
        <v>2409</v>
      </c>
      <c r="J99" s="302">
        <v>2</v>
      </c>
      <c r="K99" s="302" t="str">
        <f>'[2]PLAN INDICATIVO'!O74</f>
        <v>Incremento</v>
      </c>
      <c r="L99" s="302">
        <v>5</v>
      </c>
      <c r="M99" s="302">
        <v>2</v>
      </c>
      <c r="N99" s="317" t="s">
        <v>2409</v>
      </c>
      <c r="O99" s="302">
        <f>+J99+M99</f>
        <v>4</v>
      </c>
      <c r="P99" s="303">
        <v>11600</v>
      </c>
      <c r="Q99" s="303"/>
      <c r="R99" s="308"/>
      <c r="S99" s="308"/>
      <c r="T99" s="330">
        <f>P99-Z99</f>
        <v>2600</v>
      </c>
      <c r="U99" s="307"/>
      <c r="V99" s="307"/>
      <c r="W99" s="307"/>
      <c r="X99" s="307"/>
      <c r="Y99" s="303"/>
      <c r="Z99" s="303">
        <v>9000</v>
      </c>
      <c r="AA99" s="307"/>
      <c r="AB99" s="307"/>
      <c r="AC99" s="307"/>
      <c r="AD99" s="303"/>
      <c r="AE99" s="313" t="s">
        <v>2263</v>
      </c>
      <c r="AF99" s="317" t="s">
        <v>364</v>
      </c>
      <c r="AG99" s="317" t="s">
        <v>1821</v>
      </c>
      <c r="AH99" s="312" t="s">
        <v>2166</v>
      </c>
      <c r="AI99" s="312">
        <v>638</v>
      </c>
      <c r="AJ99" s="310"/>
      <c r="AK99" s="311" t="s">
        <v>2264</v>
      </c>
      <c r="AL99" s="312" t="s">
        <v>751</v>
      </c>
      <c r="AM99" s="312" t="s">
        <v>751</v>
      </c>
      <c r="AN99" s="312" t="s">
        <v>751</v>
      </c>
      <c r="AO99" s="312" t="s">
        <v>751</v>
      </c>
      <c r="AP99" s="312" t="s">
        <v>751</v>
      </c>
      <c r="AQ99" s="312" t="s">
        <v>751</v>
      </c>
      <c r="AR99" s="312" t="s">
        <v>751</v>
      </c>
      <c r="AS99" s="312" t="s">
        <v>751</v>
      </c>
      <c r="AT99" s="312" t="s">
        <v>751</v>
      </c>
      <c r="AU99" s="312" t="s">
        <v>751</v>
      </c>
      <c r="AV99" s="312" t="s">
        <v>751</v>
      </c>
      <c r="AW99" s="312" t="s">
        <v>751</v>
      </c>
      <c r="AX99" s="317" t="s">
        <v>2204</v>
      </c>
      <c r="AY99" s="334" t="s">
        <v>2410</v>
      </c>
    </row>
    <row r="100" spans="1:51" ht="395.25" x14ac:dyDescent="0.25">
      <c r="A100" s="349" t="s">
        <v>201</v>
      </c>
      <c r="B100" s="351"/>
      <c r="C100" s="856"/>
      <c r="D100" s="856"/>
      <c r="E100" s="858"/>
      <c r="F100" s="351"/>
      <c r="G100" s="856"/>
      <c r="H100" s="856"/>
      <c r="I100" s="856"/>
      <c r="J100" s="302"/>
      <c r="K100" s="302"/>
      <c r="L100" s="302"/>
      <c r="M100" s="302"/>
      <c r="N100" s="317" t="s">
        <v>2409</v>
      </c>
      <c r="O100" s="302"/>
      <c r="P100" s="302"/>
      <c r="Q100" s="302"/>
      <c r="R100" s="308"/>
      <c r="S100" s="308"/>
      <c r="T100" s="302"/>
      <c r="U100" s="307"/>
      <c r="V100" s="307"/>
      <c r="W100" s="307"/>
      <c r="X100" s="307"/>
      <c r="Y100" s="302"/>
      <c r="Z100" s="302"/>
      <c r="AA100" s="307"/>
      <c r="AB100" s="307"/>
      <c r="AC100" s="307"/>
      <c r="AD100" s="302"/>
      <c r="AE100" s="313" t="s">
        <v>2269</v>
      </c>
      <c r="AF100" s="317" t="s">
        <v>364</v>
      </c>
      <c r="AG100" s="317" t="s">
        <v>1821</v>
      </c>
      <c r="AH100" s="312" t="s">
        <v>2166</v>
      </c>
      <c r="AI100" s="312"/>
      <c r="AJ100" s="310"/>
      <c r="AK100" s="311" t="s">
        <v>2270</v>
      </c>
      <c r="AL100" s="312" t="s">
        <v>751</v>
      </c>
      <c r="AM100" s="312" t="s">
        <v>751</v>
      </c>
      <c r="AN100" s="312" t="s">
        <v>751</v>
      </c>
      <c r="AO100" s="312" t="s">
        <v>751</v>
      </c>
      <c r="AP100" s="312" t="s">
        <v>751</v>
      </c>
      <c r="AQ100" s="312" t="s">
        <v>751</v>
      </c>
      <c r="AR100" s="312" t="s">
        <v>751</v>
      </c>
      <c r="AS100" s="312" t="s">
        <v>751</v>
      </c>
      <c r="AT100" s="312" t="s">
        <v>751</v>
      </c>
      <c r="AU100" s="312" t="s">
        <v>751</v>
      </c>
      <c r="AV100" s="312" t="s">
        <v>751</v>
      </c>
      <c r="AW100" s="312" t="s">
        <v>751</v>
      </c>
      <c r="AX100" s="317" t="s">
        <v>2204</v>
      </c>
      <c r="AY100" s="334" t="s">
        <v>2271</v>
      </c>
    </row>
    <row r="101" spans="1:51" ht="204" x14ac:dyDescent="0.25">
      <c r="A101" s="349" t="s">
        <v>201</v>
      </c>
      <c r="B101" s="351"/>
      <c r="C101" s="856"/>
      <c r="D101" s="856"/>
      <c r="E101" s="858"/>
      <c r="F101" s="351"/>
      <c r="G101" s="856"/>
      <c r="H101" s="856"/>
      <c r="I101" s="856"/>
      <c r="J101" s="302"/>
      <c r="K101" s="302"/>
      <c r="L101" s="302"/>
      <c r="M101" s="302"/>
      <c r="N101" s="317" t="s">
        <v>2409</v>
      </c>
      <c r="O101" s="302"/>
      <c r="P101" s="302"/>
      <c r="Q101" s="302"/>
      <c r="R101" s="308"/>
      <c r="S101" s="308"/>
      <c r="T101" s="302"/>
      <c r="U101" s="307"/>
      <c r="V101" s="307"/>
      <c r="W101" s="307"/>
      <c r="X101" s="307"/>
      <c r="Y101" s="302"/>
      <c r="Z101" s="302"/>
      <c r="AA101" s="307"/>
      <c r="AB101" s="307"/>
      <c r="AC101" s="307"/>
      <c r="AD101" s="302"/>
      <c r="AE101" s="313" t="s">
        <v>2411</v>
      </c>
      <c r="AF101" s="317" t="s">
        <v>364</v>
      </c>
      <c r="AG101" s="317" t="s">
        <v>1821</v>
      </c>
      <c r="AH101" s="312" t="s">
        <v>2166</v>
      </c>
      <c r="AI101" s="312"/>
      <c r="AJ101" s="310"/>
      <c r="AK101" s="311" t="s">
        <v>2412</v>
      </c>
      <c r="AL101" s="312" t="s">
        <v>751</v>
      </c>
      <c r="AM101" s="312" t="s">
        <v>751</v>
      </c>
      <c r="AN101" s="312" t="s">
        <v>751</v>
      </c>
      <c r="AO101" s="312" t="s">
        <v>751</v>
      </c>
      <c r="AP101" s="312" t="s">
        <v>751</v>
      </c>
      <c r="AQ101" s="312" t="s">
        <v>751</v>
      </c>
      <c r="AR101" s="312" t="s">
        <v>751</v>
      </c>
      <c r="AS101" s="312" t="s">
        <v>751</v>
      </c>
      <c r="AT101" s="312" t="s">
        <v>751</v>
      </c>
      <c r="AU101" s="312" t="s">
        <v>751</v>
      </c>
      <c r="AV101" s="312" t="s">
        <v>751</v>
      </c>
      <c r="AW101" s="312" t="s">
        <v>751</v>
      </c>
      <c r="AX101" s="317" t="s">
        <v>2204</v>
      </c>
      <c r="AY101" s="334" t="s">
        <v>2413</v>
      </c>
    </row>
    <row r="102" spans="1:51" ht="409.5" x14ac:dyDescent="0.25">
      <c r="A102" s="349" t="s">
        <v>201</v>
      </c>
      <c r="B102" s="351"/>
      <c r="C102" s="856"/>
      <c r="D102" s="856"/>
      <c r="E102" s="858"/>
      <c r="F102" s="351"/>
      <c r="G102" s="856"/>
      <c r="H102" s="856"/>
      <c r="I102" s="856"/>
      <c r="J102" s="302"/>
      <c r="K102" s="302"/>
      <c r="L102" s="302"/>
      <c r="M102" s="302"/>
      <c r="N102" s="317" t="s">
        <v>2409</v>
      </c>
      <c r="O102" s="302"/>
      <c r="P102" s="302"/>
      <c r="Q102" s="302"/>
      <c r="R102" s="308"/>
      <c r="S102" s="308"/>
      <c r="T102" s="302"/>
      <c r="U102" s="307"/>
      <c r="V102" s="307"/>
      <c r="W102" s="307"/>
      <c r="X102" s="307"/>
      <c r="Y102" s="302"/>
      <c r="Z102" s="302"/>
      <c r="AA102" s="307"/>
      <c r="AB102" s="307"/>
      <c r="AC102" s="307"/>
      <c r="AD102" s="302"/>
      <c r="AE102" s="313" t="s">
        <v>2272</v>
      </c>
      <c r="AF102" s="317" t="s">
        <v>364</v>
      </c>
      <c r="AG102" s="317" t="s">
        <v>2273</v>
      </c>
      <c r="AH102" s="312" t="s">
        <v>2197</v>
      </c>
      <c r="AI102" s="307"/>
      <c r="AJ102" s="310"/>
      <c r="AK102" s="311" t="s">
        <v>2274</v>
      </c>
      <c r="AL102" s="312" t="s">
        <v>751</v>
      </c>
      <c r="AM102" s="312" t="s">
        <v>751</v>
      </c>
      <c r="AN102" s="312" t="s">
        <v>751</v>
      </c>
      <c r="AO102" s="312" t="s">
        <v>751</v>
      </c>
      <c r="AP102" s="312" t="s">
        <v>751</v>
      </c>
      <c r="AQ102" s="312" t="s">
        <v>751</v>
      </c>
      <c r="AR102" s="312" t="s">
        <v>751</v>
      </c>
      <c r="AS102" s="312" t="s">
        <v>751</v>
      </c>
      <c r="AT102" s="312" t="s">
        <v>751</v>
      </c>
      <c r="AU102" s="312" t="s">
        <v>751</v>
      </c>
      <c r="AV102" s="312" t="s">
        <v>751</v>
      </c>
      <c r="AW102" s="312" t="s">
        <v>751</v>
      </c>
      <c r="AX102" s="317" t="s">
        <v>2204</v>
      </c>
      <c r="AY102" s="323" t="s">
        <v>2275</v>
      </c>
    </row>
    <row r="103" spans="1:51" ht="229.5" x14ac:dyDescent="0.25">
      <c r="A103" s="349" t="s">
        <v>201</v>
      </c>
      <c r="B103" s="351"/>
      <c r="C103" s="856"/>
      <c r="D103" s="856"/>
      <c r="E103" s="858"/>
      <c r="F103" s="351"/>
      <c r="G103" s="856"/>
      <c r="H103" s="856"/>
      <c r="I103" s="856"/>
      <c r="J103" s="302"/>
      <c r="K103" s="302"/>
      <c r="L103" s="302"/>
      <c r="M103" s="302"/>
      <c r="N103" s="317"/>
      <c r="O103" s="302"/>
      <c r="P103" s="302"/>
      <c r="Q103" s="302"/>
      <c r="R103" s="308"/>
      <c r="S103" s="308"/>
      <c r="T103" s="302"/>
      <c r="U103" s="307"/>
      <c r="V103" s="307"/>
      <c r="W103" s="307"/>
      <c r="X103" s="307"/>
      <c r="Y103" s="302"/>
      <c r="Z103" s="302"/>
      <c r="AA103" s="307"/>
      <c r="AB103" s="307"/>
      <c r="AC103" s="307"/>
      <c r="AD103" s="302"/>
      <c r="AE103" s="323" t="s">
        <v>2414</v>
      </c>
      <c r="AF103" s="317" t="s">
        <v>364</v>
      </c>
      <c r="AG103" s="317" t="s">
        <v>2178</v>
      </c>
      <c r="AH103" s="312" t="s">
        <v>2145</v>
      </c>
      <c r="AI103" s="312">
        <v>50297</v>
      </c>
      <c r="AJ103" s="310">
        <v>8695847.7579999994</v>
      </c>
      <c r="AK103" s="311" t="s">
        <v>2415</v>
      </c>
      <c r="AL103" s="312" t="s">
        <v>751</v>
      </c>
      <c r="AM103" s="312" t="s">
        <v>751</v>
      </c>
      <c r="AN103" s="312" t="s">
        <v>751</v>
      </c>
      <c r="AO103" s="312" t="s">
        <v>751</v>
      </c>
      <c r="AP103" s="312" t="s">
        <v>751</v>
      </c>
      <c r="AQ103" s="312" t="s">
        <v>751</v>
      </c>
      <c r="AR103" s="312" t="s">
        <v>751</v>
      </c>
      <c r="AS103" s="312" t="s">
        <v>751</v>
      </c>
      <c r="AT103" s="312" t="s">
        <v>751</v>
      </c>
      <c r="AU103" s="312" t="s">
        <v>751</v>
      </c>
      <c r="AV103" s="312" t="s">
        <v>751</v>
      </c>
      <c r="AW103" s="312" t="s">
        <v>751</v>
      </c>
      <c r="AX103" s="317" t="s">
        <v>2416</v>
      </c>
      <c r="AY103" s="313" t="s">
        <v>2417</v>
      </c>
    </row>
    <row r="104" spans="1:51" ht="76.5" x14ac:dyDescent="0.25">
      <c r="A104" s="349" t="s">
        <v>201</v>
      </c>
      <c r="B104" s="351"/>
      <c r="C104" s="856"/>
      <c r="D104" s="856"/>
      <c r="E104" s="858"/>
      <c r="F104" s="351"/>
      <c r="G104" s="856"/>
      <c r="H104" s="856"/>
      <c r="I104" s="856"/>
      <c r="J104" s="353"/>
      <c r="K104" s="302"/>
      <c r="L104" s="302"/>
      <c r="M104" s="302"/>
      <c r="N104" s="312"/>
      <c r="O104" s="307"/>
      <c r="P104" s="307"/>
      <c r="Q104" s="307"/>
      <c r="R104" s="308"/>
      <c r="S104" s="308"/>
      <c r="T104" s="307"/>
      <c r="U104" s="307"/>
      <c r="V104" s="307"/>
      <c r="W104" s="307"/>
      <c r="X104" s="307"/>
      <c r="Y104" s="307"/>
      <c r="Z104" s="307"/>
      <c r="AA104" s="307"/>
      <c r="AB104" s="307"/>
      <c r="AC104" s="307"/>
      <c r="AD104" s="307"/>
      <c r="AE104" s="307"/>
      <c r="AF104" s="317" t="s">
        <v>364</v>
      </c>
      <c r="AG104" s="307"/>
      <c r="AH104" s="307"/>
      <c r="AI104" s="307"/>
      <c r="AJ104" s="310"/>
      <c r="AK104" s="311"/>
      <c r="AL104" s="328"/>
      <c r="AM104" s="328"/>
      <c r="AN104" s="328"/>
      <c r="AO104" s="328"/>
      <c r="AP104" s="328"/>
      <c r="AQ104" s="328"/>
      <c r="AR104" s="328"/>
      <c r="AS104" s="328"/>
      <c r="AT104" s="328"/>
      <c r="AU104" s="328"/>
      <c r="AV104" s="328"/>
      <c r="AW104" s="328"/>
      <c r="AX104" s="317"/>
      <c r="AY104" s="307"/>
    </row>
    <row r="105" spans="1:51" ht="191.25" x14ac:dyDescent="0.25">
      <c r="A105" s="349" t="s">
        <v>201</v>
      </c>
      <c r="B105" s="340" t="s">
        <v>2128</v>
      </c>
      <c r="C105" s="856"/>
      <c r="D105" s="856"/>
      <c r="E105" s="858"/>
      <c r="F105" s="340" t="s">
        <v>2368</v>
      </c>
      <c r="G105" s="856"/>
      <c r="H105" s="856" t="s">
        <v>2418</v>
      </c>
      <c r="I105" s="856" t="s">
        <v>2419</v>
      </c>
      <c r="J105" s="302">
        <v>3</v>
      </c>
      <c r="K105" s="302" t="str">
        <f>'[2]PLAN INDICATIVO'!O75</f>
        <v>Incremento</v>
      </c>
      <c r="L105" s="302">
        <v>20</v>
      </c>
      <c r="M105" s="302">
        <v>8</v>
      </c>
      <c r="N105" s="317" t="s">
        <v>2419</v>
      </c>
      <c r="O105" s="302">
        <f>+J105+M105</f>
        <v>11</v>
      </c>
      <c r="P105" s="302">
        <v>2550</v>
      </c>
      <c r="Q105" s="302"/>
      <c r="R105" s="308"/>
      <c r="S105" s="308"/>
      <c r="T105" s="330">
        <f>P105-Z105</f>
        <v>1750</v>
      </c>
      <c r="U105" s="307"/>
      <c r="V105" s="307"/>
      <c r="W105" s="307"/>
      <c r="X105" s="307"/>
      <c r="Y105" s="302"/>
      <c r="Z105" s="302">
        <v>800</v>
      </c>
      <c r="AA105" s="307"/>
      <c r="AB105" s="307"/>
      <c r="AC105" s="307"/>
      <c r="AD105" s="302"/>
      <c r="AE105" s="313" t="s">
        <v>2236</v>
      </c>
      <c r="AF105" s="317" t="s">
        <v>364</v>
      </c>
      <c r="AG105" s="312" t="s">
        <v>2237</v>
      </c>
      <c r="AH105" s="312" t="s">
        <v>2145</v>
      </c>
      <c r="AI105" s="312">
        <v>4516</v>
      </c>
      <c r="AJ105" s="310"/>
      <c r="AK105" s="311" t="s">
        <v>2420</v>
      </c>
      <c r="AL105" s="317" t="s">
        <v>751</v>
      </c>
      <c r="AM105" s="317" t="s">
        <v>751</v>
      </c>
      <c r="AN105" s="317" t="s">
        <v>751</v>
      </c>
      <c r="AO105" s="317" t="s">
        <v>751</v>
      </c>
      <c r="AP105" s="317" t="s">
        <v>751</v>
      </c>
      <c r="AQ105" s="317" t="s">
        <v>751</v>
      </c>
      <c r="AR105" s="317" t="s">
        <v>751</v>
      </c>
      <c r="AS105" s="317" t="s">
        <v>751</v>
      </c>
      <c r="AT105" s="317" t="s">
        <v>751</v>
      </c>
      <c r="AU105" s="317" t="s">
        <v>751</v>
      </c>
      <c r="AV105" s="317" t="s">
        <v>751</v>
      </c>
      <c r="AW105" s="317" t="s">
        <v>751</v>
      </c>
      <c r="AX105" s="317" t="s">
        <v>2204</v>
      </c>
      <c r="AY105" s="313" t="s">
        <v>2421</v>
      </c>
    </row>
    <row r="106" spans="1:51" ht="357" x14ac:dyDescent="0.25">
      <c r="A106" s="349" t="s">
        <v>201</v>
      </c>
      <c r="B106" s="340"/>
      <c r="C106" s="856"/>
      <c r="D106" s="856"/>
      <c r="E106" s="350"/>
      <c r="F106" s="340"/>
      <c r="G106" s="856"/>
      <c r="H106" s="856"/>
      <c r="I106" s="856"/>
      <c r="J106" s="302"/>
      <c r="K106" s="302"/>
      <c r="L106" s="302"/>
      <c r="M106" s="302"/>
      <c r="N106" s="317" t="s">
        <v>2419</v>
      </c>
      <c r="O106" s="302"/>
      <c r="P106" s="302"/>
      <c r="Q106" s="302"/>
      <c r="R106" s="308"/>
      <c r="S106" s="308"/>
      <c r="T106" s="302"/>
      <c r="U106" s="307"/>
      <c r="V106" s="307"/>
      <c r="W106" s="307"/>
      <c r="X106" s="307"/>
      <c r="Y106" s="302"/>
      <c r="Z106" s="302"/>
      <c r="AA106" s="307"/>
      <c r="AB106" s="307"/>
      <c r="AC106" s="307"/>
      <c r="AD106" s="302"/>
      <c r="AE106" s="313" t="s">
        <v>2241</v>
      </c>
      <c r="AF106" s="317" t="s">
        <v>364</v>
      </c>
      <c r="AG106" s="313" t="s">
        <v>2242</v>
      </c>
      <c r="AH106" s="313" t="s">
        <v>2145</v>
      </c>
      <c r="AI106" s="313">
        <v>4095</v>
      </c>
      <c r="AJ106" s="310">
        <v>6267711.523</v>
      </c>
      <c r="AK106" s="311" t="s">
        <v>2243</v>
      </c>
      <c r="AL106" s="317" t="s">
        <v>751</v>
      </c>
      <c r="AM106" s="317" t="s">
        <v>751</v>
      </c>
      <c r="AN106" s="317" t="s">
        <v>751</v>
      </c>
      <c r="AO106" s="317" t="s">
        <v>751</v>
      </c>
      <c r="AP106" s="317" t="s">
        <v>751</v>
      </c>
      <c r="AQ106" s="317" t="s">
        <v>751</v>
      </c>
      <c r="AR106" s="317"/>
      <c r="AS106" s="317"/>
      <c r="AT106" s="317"/>
      <c r="AU106" s="317"/>
      <c r="AV106" s="317"/>
      <c r="AW106" s="317"/>
      <c r="AX106" s="313" t="s">
        <v>2147</v>
      </c>
      <c r="AY106" s="313" t="s">
        <v>2528</v>
      </c>
    </row>
    <row r="107" spans="1:51" ht="89.25" x14ac:dyDescent="0.25">
      <c r="A107" s="349" t="s">
        <v>201</v>
      </c>
      <c r="B107" s="340"/>
      <c r="C107" s="856"/>
      <c r="D107" s="856"/>
      <c r="E107" s="361"/>
      <c r="F107" s="340"/>
      <c r="G107" s="856"/>
      <c r="H107" s="856"/>
      <c r="I107" s="856"/>
      <c r="J107" s="354"/>
      <c r="K107" s="302"/>
      <c r="L107" s="302"/>
      <c r="M107" s="302"/>
      <c r="N107" s="312"/>
      <c r="O107" s="307"/>
      <c r="P107" s="307"/>
      <c r="Q107" s="307"/>
      <c r="R107" s="308"/>
      <c r="S107" s="308"/>
      <c r="T107" s="307"/>
      <c r="U107" s="307"/>
      <c r="V107" s="307"/>
      <c r="W107" s="307"/>
      <c r="X107" s="307"/>
      <c r="Y107" s="307"/>
      <c r="Z107" s="307"/>
      <c r="AA107" s="307"/>
      <c r="AB107" s="307"/>
      <c r="AC107" s="307"/>
      <c r="AD107" s="307"/>
      <c r="AE107" s="307"/>
      <c r="AF107" s="317"/>
      <c r="AG107" s="307"/>
      <c r="AH107" s="307"/>
      <c r="AI107" s="307"/>
      <c r="AJ107" s="310"/>
      <c r="AK107" s="311"/>
      <c r="AL107" s="328"/>
      <c r="AM107" s="328"/>
      <c r="AN107" s="328"/>
      <c r="AO107" s="328"/>
      <c r="AP107" s="328"/>
      <c r="AQ107" s="328"/>
      <c r="AR107" s="328"/>
      <c r="AS107" s="328"/>
      <c r="AT107" s="328"/>
      <c r="AU107" s="328"/>
      <c r="AV107" s="328"/>
      <c r="AW107" s="328"/>
      <c r="AX107" s="317" t="s">
        <v>2204</v>
      </c>
      <c r="AY107" s="307"/>
    </row>
    <row r="108" spans="1:51" ht="127.5" x14ac:dyDescent="0.25">
      <c r="A108" s="349" t="s">
        <v>201</v>
      </c>
      <c r="B108" s="351" t="s">
        <v>2128</v>
      </c>
      <c r="C108" s="860" t="s">
        <v>2422</v>
      </c>
      <c r="D108" s="860" t="s">
        <v>2423</v>
      </c>
      <c r="E108" s="858">
        <v>35</v>
      </c>
      <c r="F108" s="351" t="s">
        <v>2368</v>
      </c>
      <c r="G108" s="856"/>
      <c r="H108" s="857" t="s">
        <v>2424</v>
      </c>
      <c r="I108" s="857" t="s">
        <v>2425</v>
      </c>
      <c r="J108" s="365">
        <v>15</v>
      </c>
      <c r="K108" s="365" t="str">
        <f>'[2]PLAN INDICATIVO'!O76</f>
        <v>Incremento</v>
      </c>
      <c r="L108" s="365">
        <v>9</v>
      </c>
      <c r="M108" s="365">
        <v>6</v>
      </c>
      <c r="N108" s="317" t="s">
        <v>2425</v>
      </c>
      <c r="O108" s="307"/>
      <c r="P108" s="330">
        <v>300</v>
      </c>
      <c r="Q108" s="307"/>
      <c r="R108" s="308"/>
      <c r="S108" s="308"/>
      <c r="T108" s="330">
        <v>300</v>
      </c>
      <c r="U108" s="307"/>
      <c r="V108" s="307"/>
      <c r="W108" s="307"/>
      <c r="X108" s="307"/>
      <c r="Y108" s="307"/>
      <c r="Z108" s="307"/>
      <c r="AA108" s="307"/>
      <c r="AB108" s="307"/>
      <c r="AC108" s="307"/>
      <c r="AD108" s="307"/>
      <c r="AE108" s="313" t="s">
        <v>2426</v>
      </c>
      <c r="AF108" s="317" t="s">
        <v>364</v>
      </c>
      <c r="AG108" s="317" t="s">
        <v>2334</v>
      </c>
      <c r="AH108" s="317" t="s">
        <v>2197</v>
      </c>
      <c r="AI108" s="307">
        <v>1560</v>
      </c>
      <c r="AJ108" s="310">
        <v>65340</v>
      </c>
      <c r="AK108" s="311"/>
      <c r="AL108" s="312" t="s">
        <v>751</v>
      </c>
      <c r="AM108" s="312" t="s">
        <v>751</v>
      </c>
      <c r="AN108" s="312" t="s">
        <v>751</v>
      </c>
      <c r="AO108" s="312" t="s">
        <v>751</v>
      </c>
      <c r="AP108" s="312" t="s">
        <v>751</v>
      </c>
      <c r="AQ108" s="312" t="s">
        <v>751</v>
      </c>
      <c r="AR108" s="312" t="s">
        <v>751</v>
      </c>
      <c r="AS108" s="312" t="s">
        <v>751</v>
      </c>
      <c r="AT108" s="312" t="s">
        <v>751</v>
      </c>
      <c r="AU108" s="312" t="s">
        <v>751</v>
      </c>
      <c r="AV108" s="312" t="s">
        <v>751</v>
      </c>
      <c r="AW108" s="312" t="s">
        <v>751</v>
      </c>
      <c r="AX108" s="335" t="s">
        <v>2204</v>
      </c>
      <c r="AY108" s="335" t="s">
        <v>2427</v>
      </c>
    </row>
    <row r="109" spans="1:51" ht="127.5" x14ac:dyDescent="0.25">
      <c r="A109" s="349" t="s">
        <v>201</v>
      </c>
      <c r="B109" s="351"/>
      <c r="C109" s="860"/>
      <c r="D109" s="860"/>
      <c r="E109" s="858"/>
      <c r="F109" s="351"/>
      <c r="G109" s="856"/>
      <c r="H109" s="857"/>
      <c r="I109" s="857"/>
      <c r="J109" s="365"/>
      <c r="K109" s="365"/>
      <c r="L109" s="365"/>
      <c r="M109" s="365"/>
      <c r="N109" s="317" t="s">
        <v>2425</v>
      </c>
      <c r="O109" s="308"/>
      <c r="P109" s="307"/>
      <c r="Q109" s="307"/>
      <c r="R109" s="308"/>
      <c r="S109" s="308"/>
      <c r="T109" s="307"/>
      <c r="U109" s="307"/>
      <c r="V109" s="307"/>
      <c r="W109" s="307"/>
      <c r="X109" s="307"/>
      <c r="Y109" s="307"/>
      <c r="Z109" s="307"/>
      <c r="AA109" s="307"/>
      <c r="AB109" s="307"/>
      <c r="AC109" s="307"/>
      <c r="AD109" s="307"/>
      <c r="AE109" s="313" t="s">
        <v>2428</v>
      </c>
      <c r="AF109" s="317" t="s">
        <v>364</v>
      </c>
      <c r="AG109" s="317" t="s">
        <v>2277</v>
      </c>
      <c r="AH109" s="317" t="s">
        <v>2138</v>
      </c>
      <c r="AI109" s="307">
        <v>1751</v>
      </c>
      <c r="AJ109" s="310">
        <v>65340</v>
      </c>
      <c r="AK109" s="311"/>
      <c r="AL109" s="312" t="s">
        <v>751</v>
      </c>
      <c r="AM109" s="312" t="s">
        <v>751</v>
      </c>
      <c r="AN109" s="312" t="s">
        <v>751</v>
      </c>
      <c r="AO109" s="312" t="s">
        <v>751</v>
      </c>
      <c r="AP109" s="312" t="s">
        <v>751</v>
      </c>
      <c r="AQ109" s="312" t="s">
        <v>751</v>
      </c>
      <c r="AR109" s="312" t="s">
        <v>751</v>
      </c>
      <c r="AS109" s="312" t="s">
        <v>751</v>
      </c>
      <c r="AT109" s="312" t="s">
        <v>751</v>
      </c>
      <c r="AU109" s="312" t="s">
        <v>751</v>
      </c>
      <c r="AV109" s="312" t="s">
        <v>751</v>
      </c>
      <c r="AW109" s="312" t="s">
        <v>751</v>
      </c>
      <c r="AX109" s="335" t="s">
        <v>2204</v>
      </c>
      <c r="AY109" s="335" t="s">
        <v>2427</v>
      </c>
    </row>
    <row r="110" spans="1:51" ht="140.25" x14ac:dyDescent="0.25">
      <c r="A110" s="349" t="s">
        <v>201</v>
      </c>
      <c r="B110" s="351"/>
      <c r="C110" s="860"/>
      <c r="D110" s="860"/>
      <c r="E110" s="858"/>
      <c r="F110" s="351"/>
      <c r="G110" s="856"/>
      <c r="H110" s="857"/>
      <c r="I110" s="857"/>
      <c r="J110" s="365"/>
      <c r="K110" s="365"/>
      <c r="L110" s="365"/>
      <c r="M110" s="365"/>
      <c r="N110" s="317" t="s">
        <v>2425</v>
      </c>
      <c r="O110" s="308"/>
      <c r="P110" s="307"/>
      <c r="Q110" s="307"/>
      <c r="R110" s="308"/>
      <c r="S110" s="308"/>
      <c r="T110" s="307"/>
      <c r="U110" s="307"/>
      <c r="V110" s="307"/>
      <c r="W110" s="307"/>
      <c r="X110" s="307"/>
      <c r="Y110" s="307"/>
      <c r="Z110" s="307"/>
      <c r="AA110" s="307"/>
      <c r="AB110" s="307"/>
      <c r="AC110" s="307"/>
      <c r="AD110" s="307"/>
      <c r="AE110" s="313" t="s">
        <v>2429</v>
      </c>
      <c r="AF110" s="317" t="s">
        <v>364</v>
      </c>
      <c r="AG110" s="317" t="s">
        <v>2155</v>
      </c>
      <c r="AH110" s="317" t="s">
        <v>2138</v>
      </c>
      <c r="AI110" s="307">
        <v>1301</v>
      </c>
      <c r="AJ110" s="310">
        <v>65340</v>
      </c>
      <c r="AK110" s="311"/>
      <c r="AL110" s="312" t="s">
        <v>751</v>
      </c>
      <c r="AM110" s="312" t="s">
        <v>751</v>
      </c>
      <c r="AN110" s="312" t="s">
        <v>751</v>
      </c>
      <c r="AO110" s="312" t="s">
        <v>751</v>
      </c>
      <c r="AP110" s="312" t="s">
        <v>751</v>
      </c>
      <c r="AQ110" s="312" t="s">
        <v>751</v>
      </c>
      <c r="AR110" s="312" t="s">
        <v>751</v>
      </c>
      <c r="AS110" s="312" t="s">
        <v>751</v>
      </c>
      <c r="AT110" s="312" t="s">
        <v>751</v>
      </c>
      <c r="AU110" s="312" t="s">
        <v>751</v>
      </c>
      <c r="AV110" s="312" t="s">
        <v>751</v>
      </c>
      <c r="AW110" s="312" t="s">
        <v>751</v>
      </c>
      <c r="AX110" s="335" t="s">
        <v>2204</v>
      </c>
      <c r="AY110" s="335" t="s">
        <v>2427</v>
      </c>
    </row>
    <row r="111" spans="1:51" ht="127.5" x14ac:dyDescent="0.25">
      <c r="A111" s="349" t="s">
        <v>201</v>
      </c>
      <c r="B111" s="351"/>
      <c r="C111" s="860"/>
      <c r="D111" s="860"/>
      <c r="E111" s="858"/>
      <c r="F111" s="351"/>
      <c r="G111" s="856"/>
      <c r="H111" s="857"/>
      <c r="I111" s="857"/>
      <c r="J111" s="365"/>
      <c r="K111" s="365"/>
      <c r="L111" s="365"/>
      <c r="M111" s="365"/>
      <c r="N111" s="317" t="s">
        <v>2425</v>
      </c>
      <c r="O111" s="308"/>
      <c r="P111" s="307"/>
      <c r="Q111" s="307"/>
      <c r="R111" s="308"/>
      <c r="S111" s="308"/>
      <c r="T111" s="307"/>
      <c r="U111" s="307"/>
      <c r="V111" s="307"/>
      <c r="W111" s="307"/>
      <c r="X111" s="307"/>
      <c r="Y111" s="307"/>
      <c r="Z111" s="307"/>
      <c r="AA111" s="307"/>
      <c r="AB111" s="307"/>
      <c r="AC111" s="307"/>
      <c r="AD111" s="307"/>
      <c r="AE111" s="313" t="s">
        <v>2430</v>
      </c>
      <c r="AF111" s="317" t="s">
        <v>364</v>
      </c>
      <c r="AG111" s="317" t="s">
        <v>2273</v>
      </c>
      <c r="AH111" s="317" t="s">
        <v>2197</v>
      </c>
      <c r="AI111" s="307">
        <v>348</v>
      </c>
      <c r="AJ111" s="310">
        <v>65340</v>
      </c>
      <c r="AK111" s="311"/>
      <c r="AL111" s="312" t="s">
        <v>751</v>
      </c>
      <c r="AM111" s="312" t="s">
        <v>751</v>
      </c>
      <c r="AN111" s="312" t="s">
        <v>751</v>
      </c>
      <c r="AO111" s="312" t="s">
        <v>751</v>
      </c>
      <c r="AP111" s="312" t="s">
        <v>751</v>
      </c>
      <c r="AQ111" s="312" t="s">
        <v>751</v>
      </c>
      <c r="AR111" s="312" t="s">
        <v>751</v>
      </c>
      <c r="AS111" s="312" t="s">
        <v>751</v>
      </c>
      <c r="AT111" s="312" t="s">
        <v>751</v>
      </c>
      <c r="AU111" s="312" t="s">
        <v>751</v>
      </c>
      <c r="AV111" s="312" t="s">
        <v>751</v>
      </c>
      <c r="AW111" s="312" t="s">
        <v>751</v>
      </c>
      <c r="AX111" s="335" t="s">
        <v>2204</v>
      </c>
      <c r="AY111" s="335" t="s">
        <v>2427</v>
      </c>
    </row>
    <row r="112" spans="1:51" ht="127.5" x14ac:dyDescent="0.25">
      <c r="A112" s="349" t="s">
        <v>201</v>
      </c>
      <c r="B112" s="351"/>
      <c r="C112" s="860"/>
      <c r="D112" s="860"/>
      <c r="E112" s="858"/>
      <c r="F112" s="351"/>
      <c r="G112" s="856"/>
      <c r="H112" s="857"/>
      <c r="I112" s="857"/>
      <c r="J112" s="365"/>
      <c r="K112" s="365"/>
      <c r="L112" s="365"/>
      <c r="M112" s="365"/>
      <c r="N112" s="317" t="s">
        <v>2425</v>
      </c>
      <c r="O112" s="308"/>
      <c r="P112" s="307"/>
      <c r="Q112" s="307"/>
      <c r="R112" s="308"/>
      <c r="S112" s="308"/>
      <c r="T112" s="307"/>
      <c r="U112" s="307"/>
      <c r="V112" s="307"/>
      <c r="W112" s="307"/>
      <c r="X112" s="307"/>
      <c r="Y112" s="307"/>
      <c r="Z112" s="307"/>
      <c r="AA112" s="307"/>
      <c r="AB112" s="307"/>
      <c r="AC112" s="307"/>
      <c r="AD112" s="307"/>
      <c r="AE112" s="313" t="s">
        <v>2431</v>
      </c>
      <c r="AF112" s="317" t="s">
        <v>364</v>
      </c>
      <c r="AG112" s="317" t="s">
        <v>2173</v>
      </c>
      <c r="AH112" s="317" t="s">
        <v>2145</v>
      </c>
      <c r="AI112" s="307">
        <v>1761</v>
      </c>
      <c r="AJ112" s="310">
        <v>65340</v>
      </c>
      <c r="AK112" s="311"/>
      <c r="AL112" s="312" t="s">
        <v>751</v>
      </c>
      <c r="AM112" s="312" t="s">
        <v>751</v>
      </c>
      <c r="AN112" s="312" t="s">
        <v>751</v>
      </c>
      <c r="AO112" s="312" t="s">
        <v>751</v>
      </c>
      <c r="AP112" s="312" t="s">
        <v>751</v>
      </c>
      <c r="AQ112" s="312" t="s">
        <v>751</v>
      </c>
      <c r="AR112" s="312" t="s">
        <v>751</v>
      </c>
      <c r="AS112" s="312" t="s">
        <v>751</v>
      </c>
      <c r="AT112" s="312" t="s">
        <v>751</v>
      </c>
      <c r="AU112" s="312" t="s">
        <v>751</v>
      </c>
      <c r="AV112" s="312" t="s">
        <v>751</v>
      </c>
      <c r="AW112" s="312" t="s">
        <v>751</v>
      </c>
      <c r="AX112" s="335" t="s">
        <v>2204</v>
      </c>
      <c r="AY112" s="335" t="s">
        <v>2427</v>
      </c>
    </row>
    <row r="113" spans="1:51" ht="127.5" x14ac:dyDescent="0.25">
      <c r="A113" s="349" t="s">
        <v>201</v>
      </c>
      <c r="B113" s="351"/>
      <c r="C113" s="860"/>
      <c r="D113" s="860"/>
      <c r="E113" s="858"/>
      <c r="F113" s="351"/>
      <c r="G113" s="856"/>
      <c r="H113" s="857"/>
      <c r="I113" s="857"/>
      <c r="J113" s="365"/>
      <c r="K113" s="365"/>
      <c r="L113" s="365"/>
      <c r="M113" s="365"/>
      <c r="N113" s="317" t="s">
        <v>2425</v>
      </c>
      <c r="O113" s="308"/>
      <c r="P113" s="307"/>
      <c r="Q113" s="307"/>
      <c r="R113" s="308"/>
      <c r="S113" s="308"/>
      <c r="T113" s="307"/>
      <c r="U113" s="307"/>
      <c r="V113" s="307"/>
      <c r="W113" s="307"/>
      <c r="X113" s="307"/>
      <c r="Y113" s="307"/>
      <c r="Z113" s="307"/>
      <c r="AA113" s="307"/>
      <c r="AB113" s="307"/>
      <c r="AC113" s="307"/>
      <c r="AD113" s="307"/>
      <c r="AE113" s="313" t="s">
        <v>2432</v>
      </c>
      <c r="AF113" s="317" t="s">
        <v>364</v>
      </c>
      <c r="AG113" s="317" t="s">
        <v>2378</v>
      </c>
      <c r="AH113" s="317" t="s">
        <v>2333</v>
      </c>
      <c r="AI113" s="307">
        <v>1971</v>
      </c>
      <c r="AJ113" s="310">
        <v>65340</v>
      </c>
      <c r="AK113" s="311"/>
      <c r="AL113" s="312" t="s">
        <v>751</v>
      </c>
      <c r="AM113" s="312" t="s">
        <v>751</v>
      </c>
      <c r="AN113" s="312" t="s">
        <v>751</v>
      </c>
      <c r="AO113" s="312" t="s">
        <v>751</v>
      </c>
      <c r="AP113" s="312" t="s">
        <v>751</v>
      </c>
      <c r="AQ113" s="312" t="s">
        <v>751</v>
      </c>
      <c r="AR113" s="312" t="s">
        <v>751</v>
      </c>
      <c r="AS113" s="312" t="s">
        <v>751</v>
      </c>
      <c r="AT113" s="312" t="s">
        <v>751</v>
      </c>
      <c r="AU113" s="312" t="s">
        <v>751</v>
      </c>
      <c r="AV113" s="312" t="s">
        <v>751</v>
      </c>
      <c r="AW113" s="312" t="s">
        <v>751</v>
      </c>
      <c r="AX113" s="335" t="s">
        <v>2204</v>
      </c>
      <c r="AY113" s="335" t="s">
        <v>2427</v>
      </c>
    </row>
    <row r="114" spans="1:51" ht="90" x14ac:dyDescent="0.25">
      <c r="A114" s="349" t="s">
        <v>201</v>
      </c>
      <c r="B114" s="351"/>
      <c r="C114" s="860"/>
      <c r="D114" s="860"/>
      <c r="E114" s="858"/>
      <c r="F114" s="351"/>
      <c r="G114" s="856"/>
      <c r="H114" s="857"/>
      <c r="I114" s="857"/>
      <c r="J114" s="367"/>
      <c r="K114" s="365"/>
      <c r="L114" s="365"/>
      <c r="M114" s="307"/>
      <c r="N114" s="317"/>
      <c r="O114" s="308"/>
      <c r="P114" s="307"/>
      <c r="Q114" s="307"/>
      <c r="R114" s="308"/>
      <c r="S114" s="308"/>
      <c r="T114" s="307"/>
      <c r="U114" s="307"/>
      <c r="V114" s="307"/>
      <c r="W114" s="307"/>
      <c r="X114" s="307"/>
      <c r="Y114" s="307"/>
      <c r="Z114" s="307"/>
      <c r="AA114" s="307"/>
      <c r="AB114" s="307"/>
      <c r="AC114" s="307"/>
      <c r="AD114" s="307">
        <f>SUM(AD108:AD113)</f>
        <v>0</v>
      </c>
      <c r="AE114" s="307"/>
      <c r="AF114" s="317" t="s">
        <v>364</v>
      </c>
      <c r="AG114" s="312"/>
      <c r="AH114" s="317"/>
      <c r="AI114" s="307"/>
      <c r="AJ114" s="310"/>
      <c r="AK114" s="311"/>
      <c r="AL114" s="328"/>
      <c r="AM114" s="328"/>
      <c r="AN114" s="328"/>
      <c r="AO114" s="328"/>
      <c r="AP114" s="328"/>
      <c r="AQ114" s="328"/>
      <c r="AR114" s="328"/>
      <c r="AS114" s="328"/>
      <c r="AT114" s="328"/>
      <c r="AU114" s="328"/>
      <c r="AV114" s="328"/>
      <c r="AW114" s="328"/>
      <c r="AX114" s="335" t="s">
        <v>2204</v>
      </c>
      <c r="AY114" s="307"/>
    </row>
    <row r="115" spans="1:51" ht="114.75" x14ac:dyDescent="0.25">
      <c r="A115" s="349" t="s">
        <v>201</v>
      </c>
      <c r="B115" s="351" t="s">
        <v>2128</v>
      </c>
      <c r="C115" s="860"/>
      <c r="D115" s="860"/>
      <c r="E115" s="858"/>
      <c r="F115" s="351" t="s">
        <v>2368</v>
      </c>
      <c r="G115" s="856"/>
      <c r="H115" s="857" t="s">
        <v>2433</v>
      </c>
      <c r="I115" s="857" t="s">
        <v>2434</v>
      </c>
      <c r="J115" s="302">
        <v>5</v>
      </c>
      <c r="K115" s="365" t="str">
        <f>'[2]PLAN INDICATIVO'!O77</f>
        <v>Incremento</v>
      </c>
      <c r="L115" s="365">
        <v>15</v>
      </c>
      <c r="M115" s="365">
        <v>12</v>
      </c>
      <c r="N115" s="317" t="s">
        <v>2434</v>
      </c>
      <c r="O115" s="308"/>
      <c r="P115" s="330">
        <v>700</v>
      </c>
      <c r="Q115" s="307"/>
      <c r="R115" s="308"/>
      <c r="S115" s="308"/>
      <c r="T115" s="330">
        <f>P115-Z115</f>
        <v>700</v>
      </c>
      <c r="U115" s="307"/>
      <c r="V115" s="307"/>
      <c r="W115" s="307"/>
      <c r="X115" s="307"/>
      <c r="Y115" s="307"/>
      <c r="Z115" s="307"/>
      <c r="AA115" s="307"/>
      <c r="AB115" s="307"/>
      <c r="AC115" s="307"/>
      <c r="AD115" s="307"/>
      <c r="AE115" s="313" t="s">
        <v>2435</v>
      </c>
      <c r="AF115" s="317" t="s">
        <v>364</v>
      </c>
      <c r="AG115" s="317" t="s">
        <v>2155</v>
      </c>
      <c r="AH115" s="317" t="s">
        <v>2145</v>
      </c>
      <c r="AI115" s="307">
        <v>1301</v>
      </c>
      <c r="AJ115" s="310">
        <v>17820000</v>
      </c>
      <c r="AK115" s="311"/>
      <c r="AL115" s="312" t="s">
        <v>751</v>
      </c>
      <c r="AM115" s="312" t="s">
        <v>751</v>
      </c>
      <c r="AN115" s="312" t="s">
        <v>751</v>
      </c>
      <c r="AO115" s="312" t="s">
        <v>751</v>
      </c>
      <c r="AP115" s="312" t="s">
        <v>751</v>
      </c>
      <c r="AQ115" s="312" t="s">
        <v>751</v>
      </c>
      <c r="AR115" s="312" t="s">
        <v>751</v>
      </c>
      <c r="AS115" s="312" t="s">
        <v>751</v>
      </c>
      <c r="AT115" s="312" t="s">
        <v>751</v>
      </c>
      <c r="AU115" s="312" t="s">
        <v>751</v>
      </c>
      <c r="AV115" s="312" t="s">
        <v>751</v>
      </c>
      <c r="AW115" s="312" t="s">
        <v>751</v>
      </c>
      <c r="AX115" s="335" t="s">
        <v>2204</v>
      </c>
      <c r="AY115" s="335" t="s">
        <v>2427</v>
      </c>
    </row>
    <row r="116" spans="1:51" ht="102" x14ac:dyDescent="0.25">
      <c r="A116" s="349" t="s">
        <v>201</v>
      </c>
      <c r="B116" s="351"/>
      <c r="C116" s="860"/>
      <c r="D116" s="860"/>
      <c r="E116" s="858"/>
      <c r="F116" s="351"/>
      <c r="G116" s="856"/>
      <c r="H116" s="857"/>
      <c r="I116" s="857"/>
      <c r="J116" s="302"/>
      <c r="K116" s="365"/>
      <c r="L116" s="365"/>
      <c r="M116" s="365"/>
      <c r="N116" s="317" t="s">
        <v>2434</v>
      </c>
      <c r="O116" s="308"/>
      <c r="P116" s="307"/>
      <c r="Q116" s="307"/>
      <c r="R116" s="308"/>
      <c r="S116" s="308"/>
      <c r="T116" s="307"/>
      <c r="U116" s="307"/>
      <c r="V116" s="307"/>
      <c r="W116" s="307"/>
      <c r="X116" s="307"/>
      <c r="Y116" s="307"/>
      <c r="Z116" s="307"/>
      <c r="AA116" s="307"/>
      <c r="AB116" s="307"/>
      <c r="AC116" s="307"/>
      <c r="AD116" s="307"/>
      <c r="AE116" s="313" t="s">
        <v>2436</v>
      </c>
      <c r="AF116" s="317" t="s">
        <v>364</v>
      </c>
      <c r="AG116" s="317" t="s">
        <v>2350</v>
      </c>
      <c r="AH116" s="317" t="s">
        <v>2391</v>
      </c>
      <c r="AI116" s="307">
        <v>18277</v>
      </c>
      <c r="AJ116" s="310">
        <v>17820000</v>
      </c>
      <c r="AK116" s="311"/>
      <c r="AL116" s="312" t="s">
        <v>751</v>
      </c>
      <c r="AM116" s="312" t="s">
        <v>751</v>
      </c>
      <c r="AN116" s="312" t="s">
        <v>751</v>
      </c>
      <c r="AO116" s="312" t="s">
        <v>751</v>
      </c>
      <c r="AP116" s="312" t="s">
        <v>751</v>
      </c>
      <c r="AQ116" s="312" t="s">
        <v>751</v>
      </c>
      <c r="AR116" s="312" t="s">
        <v>751</v>
      </c>
      <c r="AS116" s="312" t="s">
        <v>751</v>
      </c>
      <c r="AT116" s="312" t="s">
        <v>751</v>
      </c>
      <c r="AU116" s="312" t="s">
        <v>751</v>
      </c>
      <c r="AV116" s="312" t="s">
        <v>751</v>
      </c>
      <c r="AW116" s="312" t="s">
        <v>751</v>
      </c>
      <c r="AX116" s="335" t="s">
        <v>2204</v>
      </c>
      <c r="AY116" s="335" t="s">
        <v>2427</v>
      </c>
    </row>
    <row r="117" spans="1:51" ht="102" x14ac:dyDescent="0.25">
      <c r="A117" s="349" t="s">
        <v>201</v>
      </c>
      <c r="B117" s="351"/>
      <c r="C117" s="860"/>
      <c r="D117" s="860"/>
      <c r="E117" s="858"/>
      <c r="F117" s="351"/>
      <c r="G117" s="856"/>
      <c r="H117" s="857"/>
      <c r="I117" s="857"/>
      <c r="J117" s="302"/>
      <c r="K117" s="365"/>
      <c r="L117" s="365"/>
      <c r="M117" s="365"/>
      <c r="N117" s="317" t="s">
        <v>2434</v>
      </c>
      <c r="O117" s="308"/>
      <c r="P117" s="307"/>
      <c r="Q117" s="307"/>
      <c r="R117" s="308"/>
      <c r="S117" s="308"/>
      <c r="T117" s="307"/>
      <c r="U117" s="307"/>
      <c r="V117" s="307"/>
      <c r="W117" s="307"/>
      <c r="X117" s="307"/>
      <c r="Y117" s="307"/>
      <c r="Z117" s="307"/>
      <c r="AA117" s="307"/>
      <c r="AB117" s="307"/>
      <c r="AC117" s="307"/>
      <c r="AD117" s="307"/>
      <c r="AE117" s="313" t="s">
        <v>2437</v>
      </c>
      <c r="AF117" s="317" t="s">
        <v>364</v>
      </c>
      <c r="AG117" s="317" t="s">
        <v>2137</v>
      </c>
      <c r="AH117" s="317" t="s">
        <v>2138</v>
      </c>
      <c r="AI117" s="307">
        <v>1508</v>
      </c>
      <c r="AJ117" s="310">
        <v>17820000</v>
      </c>
      <c r="AK117" s="311"/>
      <c r="AL117" s="312" t="s">
        <v>751</v>
      </c>
      <c r="AM117" s="312" t="s">
        <v>751</v>
      </c>
      <c r="AN117" s="312" t="s">
        <v>751</v>
      </c>
      <c r="AO117" s="312" t="s">
        <v>751</v>
      </c>
      <c r="AP117" s="312" t="s">
        <v>751</v>
      </c>
      <c r="AQ117" s="312" t="s">
        <v>751</v>
      </c>
      <c r="AR117" s="312" t="s">
        <v>751</v>
      </c>
      <c r="AS117" s="312" t="s">
        <v>751</v>
      </c>
      <c r="AT117" s="312" t="s">
        <v>751</v>
      </c>
      <c r="AU117" s="312" t="s">
        <v>751</v>
      </c>
      <c r="AV117" s="312" t="s">
        <v>751</v>
      </c>
      <c r="AW117" s="312" t="s">
        <v>751</v>
      </c>
      <c r="AX117" s="335" t="s">
        <v>2204</v>
      </c>
      <c r="AY117" s="335" t="s">
        <v>2427</v>
      </c>
    </row>
    <row r="118" spans="1:51" ht="102" x14ac:dyDescent="0.25">
      <c r="A118" s="349" t="s">
        <v>201</v>
      </c>
      <c r="B118" s="351"/>
      <c r="C118" s="860"/>
      <c r="D118" s="860"/>
      <c r="E118" s="858"/>
      <c r="F118" s="351"/>
      <c r="G118" s="856"/>
      <c r="H118" s="857"/>
      <c r="I118" s="857"/>
      <c r="J118" s="302"/>
      <c r="K118" s="365"/>
      <c r="L118" s="365"/>
      <c r="M118" s="365"/>
      <c r="N118" s="317" t="s">
        <v>2434</v>
      </c>
      <c r="O118" s="308"/>
      <c r="P118" s="307"/>
      <c r="Q118" s="307"/>
      <c r="R118" s="308"/>
      <c r="S118" s="308"/>
      <c r="T118" s="307"/>
      <c r="U118" s="307"/>
      <c r="V118" s="307"/>
      <c r="W118" s="307"/>
      <c r="X118" s="307"/>
      <c r="Y118" s="307"/>
      <c r="Z118" s="307"/>
      <c r="AA118" s="307"/>
      <c r="AB118" s="307"/>
      <c r="AC118" s="307"/>
      <c r="AD118" s="307"/>
      <c r="AE118" s="313" t="s">
        <v>2438</v>
      </c>
      <c r="AF118" s="317" t="s">
        <v>364</v>
      </c>
      <c r="AG118" s="317" t="s">
        <v>2337</v>
      </c>
      <c r="AH118" s="317" t="s">
        <v>2138</v>
      </c>
      <c r="AI118" s="307">
        <v>3340</v>
      </c>
      <c r="AJ118" s="310">
        <v>17820000</v>
      </c>
      <c r="AK118" s="311"/>
      <c r="AL118" s="312" t="s">
        <v>751</v>
      </c>
      <c r="AM118" s="312" t="s">
        <v>751</v>
      </c>
      <c r="AN118" s="312" t="s">
        <v>751</v>
      </c>
      <c r="AO118" s="312" t="s">
        <v>751</v>
      </c>
      <c r="AP118" s="312" t="s">
        <v>751</v>
      </c>
      <c r="AQ118" s="312" t="s">
        <v>751</v>
      </c>
      <c r="AR118" s="312" t="s">
        <v>751</v>
      </c>
      <c r="AS118" s="312" t="s">
        <v>751</v>
      </c>
      <c r="AT118" s="312" t="s">
        <v>751</v>
      </c>
      <c r="AU118" s="312" t="s">
        <v>751</v>
      </c>
      <c r="AV118" s="312" t="s">
        <v>751</v>
      </c>
      <c r="AW118" s="312" t="s">
        <v>751</v>
      </c>
      <c r="AX118" s="335" t="s">
        <v>2204</v>
      </c>
      <c r="AY118" s="335" t="s">
        <v>2427</v>
      </c>
    </row>
    <row r="119" spans="1:51" ht="114.75" x14ac:dyDescent="0.25">
      <c r="A119" s="349" t="s">
        <v>201</v>
      </c>
      <c r="B119" s="351"/>
      <c r="C119" s="860"/>
      <c r="D119" s="860"/>
      <c r="E119" s="858"/>
      <c r="F119" s="351"/>
      <c r="G119" s="856"/>
      <c r="H119" s="857"/>
      <c r="I119" s="857"/>
      <c r="J119" s="302"/>
      <c r="K119" s="365"/>
      <c r="L119" s="365"/>
      <c r="M119" s="365"/>
      <c r="N119" s="317" t="s">
        <v>2434</v>
      </c>
      <c r="O119" s="308"/>
      <c r="P119" s="307"/>
      <c r="Q119" s="307"/>
      <c r="R119" s="308"/>
      <c r="S119" s="308"/>
      <c r="T119" s="307"/>
      <c r="U119" s="307"/>
      <c r="V119" s="307"/>
      <c r="W119" s="307"/>
      <c r="X119" s="307"/>
      <c r="Y119" s="307"/>
      <c r="Z119" s="307"/>
      <c r="AA119" s="307"/>
      <c r="AB119" s="307"/>
      <c r="AC119" s="307"/>
      <c r="AD119" s="307"/>
      <c r="AE119" s="313" t="s">
        <v>2439</v>
      </c>
      <c r="AF119" s="317" t="s">
        <v>364</v>
      </c>
      <c r="AG119" s="317" t="s">
        <v>2440</v>
      </c>
      <c r="AH119" s="317" t="s">
        <v>2391</v>
      </c>
      <c r="AI119" s="307">
        <v>5973</v>
      </c>
      <c r="AJ119" s="310">
        <v>17820000</v>
      </c>
      <c r="AK119" s="311"/>
      <c r="AL119" s="312" t="s">
        <v>751</v>
      </c>
      <c r="AM119" s="312" t="s">
        <v>751</v>
      </c>
      <c r="AN119" s="312" t="s">
        <v>751</v>
      </c>
      <c r="AO119" s="312" t="s">
        <v>751</v>
      </c>
      <c r="AP119" s="312" t="s">
        <v>751</v>
      </c>
      <c r="AQ119" s="312" t="s">
        <v>751</v>
      </c>
      <c r="AR119" s="312" t="s">
        <v>751</v>
      </c>
      <c r="AS119" s="312" t="s">
        <v>751</v>
      </c>
      <c r="AT119" s="312" t="s">
        <v>751</v>
      </c>
      <c r="AU119" s="312" t="s">
        <v>751</v>
      </c>
      <c r="AV119" s="312" t="s">
        <v>751</v>
      </c>
      <c r="AW119" s="312" t="s">
        <v>751</v>
      </c>
      <c r="AX119" s="335" t="s">
        <v>2204</v>
      </c>
      <c r="AY119" s="335" t="s">
        <v>2427</v>
      </c>
    </row>
    <row r="120" spans="1:51" ht="102" x14ac:dyDescent="0.25">
      <c r="A120" s="349" t="s">
        <v>201</v>
      </c>
      <c r="B120" s="351"/>
      <c r="C120" s="860"/>
      <c r="D120" s="860"/>
      <c r="E120" s="858"/>
      <c r="F120" s="351"/>
      <c r="G120" s="856"/>
      <c r="H120" s="857"/>
      <c r="I120" s="857"/>
      <c r="J120" s="302"/>
      <c r="K120" s="365"/>
      <c r="L120" s="365"/>
      <c r="M120" s="365"/>
      <c r="N120" s="317" t="s">
        <v>2434</v>
      </c>
      <c r="O120" s="308"/>
      <c r="P120" s="307"/>
      <c r="Q120" s="307"/>
      <c r="R120" s="308"/>
      <c r="S120" s="308"/>
      <c r="T120" s="307"/>
      <c r="U120" s="307"/>
      <c r="V120" s="307"/>
      <c r="W120" s="307"/>
      <c r="X120" s="307"/>
      <c r="Y120" s="307"/>
      <c r="Z120" s="307"/>
      <c r="AA120" s="307"/>
      <c r="AB120" s="307"/>
      <c r="AC120" s="307"/>
      <c r="AD120" s="307"/>
      <c r="AE120" s="313" t="s">
        <v>2441</v>
      </c>
      <c r="AF120" s="317" t="s">
        <v>364</v>
      </c>
      <c r="AG120" s="317" t="s">
        <v>2242</v>
      </c>
      <c r="AH120" s="317" t="s">
        <v>2145</v>
      </c>
      <c r="AI120" s="307">
        <v>4115</v>
      </c>
      <c r="AJ120" s="310">
        <v>17820000</v>
      </c>
      <c r="AK120" s="311"/>
      <c r="AL120" s="312" t="s">
        <v>751</v>
      </c>
      <c r="AM120" s="312" t="s">
        <v>751</v>
      </c>
      <c r="AN120" s="312" t="s">
        <v>751</v>
      </c>
      <c r="AO120" s="312" t="s">
        <v>751</v>
      </c>
      <c r="AP120" s="312" t="s">
        <v>751</v>
      </c>
      <c r="AQ120" s="312" t="s">
        <v>751</v>
      </c>
      <c r="AR120" s="312" t="s">
        <v>751</v>
      </c>
      <c r="AS120" s="312" t="s">
        <v>751</v>
      </c>
      <c r="AT120" s="312" t="s">
        <v>751</v>
      </c>
      <c r="AU120" s="312" t="s">
        <v>751</v>
      </c>
      <c r="AV120" s="312" t="s">
        <v>751</v>
      </c>
      <c r="AW120" s="312" t="s">
        <v>751</v>
      </c>
      <c r="AX120" s="335" t="s">
        <v>2204</v>
      </c>
      <c r="AY120" s="335" t="s">
        <v>2427</v>
      </c>
    </row>
    <row r="121" spans="1:51" ht="102" x14ac:dyDescent="0.25">
      <c r="A121" s="349" t="s">
        <v>201</v>
      </c>
      <c r="B121" s="351"/>
      <c r="C121" s="860"/>
      <c r="D121" s="860"/>
      <c r="E121" s="858"/>
      <c r="F121" s="351"/>
      <c r="G121" s="856"/>
      <c r="H121" s="857"/>
      <c r="I121" s="857"/>
      <c r="J121" s="302"/>
      <c r="K121" s="365"/>
      <c r="L121" s="365"/>
      <c r="M121" s="365"/>
      <c r="N121" s="317" t="s">
        <v>2434</v>
      </c>
      <c r="O121" s="308"/>
      <c r="P121" s="307"/>
      <c r="Q121" s="307"/>
      <c r="R121" s="308"/>
      <c r="S121" s="308"/>
      <c r="T121" s="307"/>
      <c r="U121" s="307"/>
      <c r="V121" s="307"/>
      <c r="W121" s="307"/>
      <c r="X121" s="307"/>
      <c r="Y121" s="307"/>
      <c r="Z121" s="307"/>
      <c r="AA121" s="307"/>
      <c r="AB121" s="307"/>
      <c r="AC121" s="307"/>
      <c r="AD121" s="307"/>
      <c r="AE121" s="313" t="s">
        <v>2442</v>
      </c>
      <c r="AF121" s="317" t="s">
        <v>364</v>
      </c>
      <c r="AG121" s="317" t="s">
        <v>2443</v>
      </c>
      <c r="AH121" s="317" t="s">
        <v>2333</v>
      </c>
      <c r="AI121" s="307">
        <v>2713</v>
      </c>
      <c r="AJ121" s="310">
        <v>17820000</v>
      </c>
      <c r="AK121" s="311"/>
      <c r="AL121" s="312" t="s">
        <v>751</v>
      </c>
      <c r="AM121" s="312" t="s">
        <v>751</v>
      </c>
      <c r="AN121" s="312" t="s">
        <v>751</v>
      </c>
      <c r="AO121" s="312" t="s">
        <v>751</v>
      </c>
      <c r="AP121" s="312" t="s">
        <v>751</v>
      </c>
      <c r="AQ121" s="312" t="s">
        <v>751</v>
      </c>
      <c r="AR121" s="312" t="s">
        <v>751</v>
      </c>
      <c r="AS121" s="312" t="s">
        <v>751</v>
      </c>
      <c r="AT121" s="312" t="s">
        <v>751</v>
      </c>
      <c r="AU121" s="312" t="s">
        <v>751</v>
      </c>
      <c r="AV121" s="312" t="s">
        <v>751</v>
      </c>
      <c r="AW121" s="312" t="s">
        <v>751</v>
      </c>
      <c r="AX121" s="335" t="s">
        <v>2204</v>
      </c>
      <c r="AY121" s="335" t="s">
        <v>2427</v>
      </c>
    </row>
    <row r="122" spans="1:51" ht="114.75" x14ac:dyDescent="0.25">
      <c r="A122" s="349" t="s">
        <v>201</v>
      </c>
      <c r="B122" s="351"/>
      <c r="C122" s="860"/>
      <c r="D122" s="860"/>
      <c r="E122" s="858"/>
      <c r="F122" s="351"/>
      <c r="G122" s="856"/>
      <c r="H122" s="857"/>
      <c r="I122" s="857"/>
      <c r="J122" s="302"/>
      <c r="K122" s="365"/>
      <c r="L122" s="365"/>
      <c r="M122" s="365"/>
      <c r="N122" s="317" t="s">
        <v>2434</v>
      </c>
      <c r="O122" s="308"/>
      <c r="P122" s="307"/>
      <c r="Q122" s="307"/>
      <c r="R122" s="308"/>
      <c r="S122" s="308"/>
      <c r="T122" s="307"/>
      <c r="U122" s="307"/>
      <c r="V122" s="307"/>
      <c r="W122" s="307"/>
      <c r="X122" s="307"/>
      <c r="Y122" s="307"/>
      <c r="Z122" s="307"/>
      <c r="AA122" s="307"/>
      <c r="AB122" s="307"/>
      <c r="AC122" s="307"/>
      <c r="AD122" s="307"/>
      <c r="AE122" s="313" t="s">
        <v>2444</v>
      </c>
      <c r="AF122" s="317" t="s">
        <v>364</v>
      </c>
      <c r="AG122" s="317" t="s">
        <v>2306</v>
      </c>
      <c r="AH122" s="317" t="s">
        <v>2145</v>
      </c>
      <c r="AI122" s="307">
        <v>1958</v>
      </c>
      <c r="AJ122" s="310">
        <v>17820000</v>
      </c>
      <c r="AK122" s="311"/>
      <c r="AL122" s="312" t="s">
        <v>751</v>
      </c>
      <c r="AM122" s="312" t="s">
        <v>751</v>
      </c>
      <c r="AN122" s="312" t="s">
        <v>751</v>
      </c>
      <c r="AO122" s="312" t="s">
        <v>751</v>
      </c>
      <c r="AP122" s="312" t="s">
        <v>751</v>
      </c>
      <c r="AQ122" s="312" t="s">
        <v>751</v>
      </c>
      <c r="AR122" s="312" t="s">
        <v>751</v>
      </c>
      <c r="AS122" s="312" t="s">
        <v>751</v>
      </c>
      <c r="AT122" s="312" t="s">
        <v>751</v>
      </c>
      <c r="AU122" s="312" t="s">
        <v>751</v>
      </c>
      <c r="AV122" s="312" t="s">
        <v>751</v>
      </c>
      <c r="AW122" s="312" t="s">
        <v>751</v>
      </c>
      <c r="AX122" s="335" t="s">
        <v>2204</v>
      </c>
      <c r="AY122" s="335" t="s">
        <v>2427</v>
      </c>
    </row>
    <row r="123" spans="1:51" ht="102" x14ac:dyDescent="0.25">
      <c r="A123" s="349" t="s">
        <v>201</v>
      </c>
      <c r="B123" s="351"/>
      <c r="C123" s="860"/>
      <c r="D123" s="860"/>
      <c r="E123" s="858"/>
      <c r="F123" s="351"/>
      <c r="G123" s="856"/>
      <c r="H123" s="857"/>
      <c r="I123" s="857"/>
      <c r="J123" s="302"/>
      <c r="K123" s="365"/>
      <c r="L123" s="365"/>
      <c r="M123" s="365"/>
      <c r="N123" s="317" t="s">
        <v>2434</v>
      </c>
      <c r="O123" s="308"/>
      <c r="P123" s="307"/>
      <c r="Q123" s="307"/>
      <c r="R123" s="308"/>
      <c r="S123" s="308"/>
      <c r="T123" s="307"/>
      <c r="U123" s="307"/>
      <c r="V123" s="307"/>
      <c r="W123" s="307"/>
      <c r="X123" s="307"/>
      <c r="Y123" s="307"/>
      <c r="Z123" s="307"/>
      <c r="AA123" s="307"/>
      <c r="AB123" s="307"/>
      <c r="AC123" s="307"/>
      <c r="AD123" s="307"/>
      <c r="AE123" s="313" t="s">
        <v>2445</v>
      </c>
      <c r="AF123" s="317" t="s">
        <v>364</v>
      </c>
      <c r="AG123" s="317" t="s">
        <v>2277</v>
      </c>
      <c r="AH123" s="317" t="s">
        <v>2138</v>
      </c>
      <c r="AI123" s="307">
        <v>1751</v>
      </c>
      <c r="AJ123" s="310">
        <v>17820000</v>
      </c>
      <c r="AK123" s="311"/>
      <c r="AL123" s="312" t="s">
        <v>751</v>
      </c>
      <c r="AM123" s="312" t="s">
        <v>751</v>
      </c>
      <c r="AN123" s="312" t="s">
        <v>751</v>
      </c>
      <c r="AO123" s="312" t="s">
        <v>751</v>
      </c>
      <c r="AP123" s="312" t="s">
        <v>751</v>
      </c>
      <c r="AQ123" s="312" t="s">
        <v>751</v>
      </c>
      <c r="AR123" s="312" t="s">
        <v>751</v>
      </c>
      <c r="AS123" s="312" t="s">
        <v>751</v>
      </c>
      <c r="AT123" s="312" t="s">
        <v>751</v>
      </c>
      <c r="AU123" s="312" t="s">
        <v>751</v>
      </c>
      <c r="AV123" s="312" t="s">
        <v>751</v>
      </c>
      <c r="AW123" s="312" t="s">
        <v>751</v>
      </c>
      <c r="AX123" s="335" t="s">
        <v>2204</v>
      </c>
      <c r="AY123" s="335" t="s">
        <v>2427</v>
      </c>
    </row>
    <row r="124" spans="1:51" ht="102" x14ac:dyDescent="0.25">
      <c r="A124" s="349" t="s">
        <v>201</v>
      </c>
      <c r="B124" s="351"/>
      <c r="C124" s="860"/>
      <c r="D124" s="860"/>
      <c r="E124" s="858"/>
      <c r="F124" s="351"/>
      <c r="G124" s="856"/>
      <c r="H124" s="857"/>
      <c r="I124" s="857"/>
      <c r="J124" s="302"/>
      <c r="K124" s="365"/>
      <c r="L124" s="365"/>
      <c r="M124" s="365"/>
      <c r="N124" s="317" t="s">
        <v>2434</v>
      </c>
      <c r="O124" s="308"/>
      <c r="P124" s="307"/>
      <c r="Q124" s="307"/>
      <c r="R124" s="308"/>
      <c r="S124" s="308"/>
      <c r="T124" s="307"/>
      <c r="U124" s="307"/>
      <c r="V124" s="307"/>
      <c r="W124" s="307"/>
      <c r="X124" s="307"/>
      <c r="Y124" s="307"/>
      <c r="Z124" s="307"/>
      <c r="AA124" s="307"/>
      <c r="AB124" s="307"/>
      <c r="AC124" s="307"/>
      <c r="AD124" s="307"/>
      <c r="AE124" s="313" t="s">
        <v>2446</v>
      </c>
      <c r="AF124" s="317" t="s">
        <v>364</v>
      </c>
      <c r="AG124" s="317" t="s">
        <v>2173</v>
      </c>
      <c r="AH124" s="317" t="s">
        <v>2145</v>
      </c>
      <c r="AI124" s="307">
        <v>1761</v>
      </c>
      <c r="AJ124" s="310">
        <v>17820000</v>
      </c>
      <c r="AK124" s="311"/>
      <c r="AL124" s="312" t="s">
        <v>751</v>
      </c>
      <c r="AM124" s="312" t="s">
        <v>751</v>
      </c>
      <c r="AN124" s="312" t="s">
        <v>751</v>
      </c>
      <c r="AO124" s="312" t="s">
        <v>751</v>
      </c>
      <c r="AP124" s="312" t="s">
        <v>751</v>
      </c>
      <c r="AQ124" s="312" t="s">
        <v>751</v>
      </c>
      <c r="AR124" s="312" t="s">
        <v>751</v>
      </c>
      <c r="AS124" s="312" t="s">
        <v>751</v>
      </c>
      <c r="AT124" s="312" t="s">
        <v>751</v>
      </c>
      <c r="AU124" s="312" t="s">
        <v>751</v>
      </c>
      <c r="AV124" s="312" t="s">
        <v>751</v>
      </c>
      <c r="AW124" s="312" t="s">
        <v>751</v>
      </c>
      <c r="AX124" s="335" t="s">
        <v>2204</v>
      </c>
      <c r="AY124" s="335" t="s">
        <v>2427</v>
      </c>
    </row>
    <row r="125" spans="1:51" ht="102" x14ac:dyDescent="0.25">
      <c r="A125" s="349" t="s">
        <v>201</v>
      </c>
      <c r="B125" s="351"/>
      <c r="C125" s="860"/>
      <c r="D125" s="860"/>
      <c r="E125" s="858"/>
      <c r="F125" s="351"/>
      <c r="G125" s="856"/>
      <c r="H125" s="857"/>
      <c r="I125" s="857"/>
      <c r="J125" s="302"/>
      <c r="K125" s="365"/>
      <c r="L125" s="365"/>
      <c r="M125" s="365"/>
      <c r="N125" s="317" t="s">
        <v>2434</v>
      </c>
      <c r="O125" s="308"/>
      <c r="P125" s="307"/>
      <c r="Q125" s="307"/>
      <c r="R125" s="308"/>
      <c r="S125" s="308"/>
      <c r="T125" s="307"/>
      <c r="U125" s="307"/>
      <c r="V125" s="307"/>
      <c r="W125" s="307"/>
      <c r="X125" s="307"/>
      <c r="Y125" s="307"/>
      <c r="Z125" s="307"/>
      <c r="AA125" s="307"/>
      <c r="AB125" s="307"/>
      <c r="AC125" s="307"/>
      <c r="AD125" s="307"/>
      <c r="AE125" s="313" t="s">
        <v>2447</v>
      </c>
      <c r="AF125" s="317" t="s">
        <v>364</v>
      </c>
      <c r="AG125" s="317" t="s">
        <v>2378</v>
      </c>
      <c r="AH125" s="317" t="s">
        <v>2333</v>
      </c>
      <c r="AI125" s="307">
        <v>1971</v>
      </c>
      <c r="AJ125" s="310">
        <v>17820000</v>
      </c>
      <c r="AK125" s="311"/>
      <c r="AL125" s="312" t="s">
        <v>751</v>
      </c>
      <c r="AM125" s="312" t="s">
        <v>751</v>
      </c>
      <c r="AN125" s="312" t="s">
        <v>751</v>
      </c>
      <c r="AO125" s="312" t="s">
        <v>751</v>
      </c>
      <c r="AP125" s="312" t="s">
        <v>751</v>
      </c>
      <c r="AQ125" s="312" t="s">
        <v>751</v>
      </c>
      <c r="AR125" s="312" t="s">
        <v>751</v>
      </c>
      <c r="AS125" s="312" t="s">
        <v>751</v>
      </c>
      <c r="AT125" s="312" t="s">
        <v>751</v>
      </c>
      <c r="AU125" s="312" t="s">
        <v>751</v>
      </c>
      <c r="AV125" s="312" t="s">
        <v>751</v>
      </c>
      <c r="AW125" s="312" t="s">
        <v>751</v>
      </c>
      <c r="AX125" s="335" t="s">
        <v>2204</v>
      </c>
      <c r="AY125" s="335" t="s">
        <v>2427</v>
      </c>
    </row>
    <row r="126" spans="1:51" ht="90" x14ac:dyDescent="0.25">
      <c r="A126" s="349" t="s">
        <v>201</v>
      </c>
      <c r="B126" s="351"/>
      <c r="C126" s="860"/>
      <c r="D126" s="860"/>
      <c r="E126" s="858"/>
      <c r="F126" s="351"/>
      <c r="G126" s="856"/>
      <c r="H126" s="857"/>
      <c r="I126" s="857"/>
      <c r="J126" s="368"/>
      <c r="K126" s="365"/>
      <c r="L126" s="365"/>
      <c r="M126" s="307"/>
      <c r="N126" s="312"/>
      <c r="O126" s="308"/>
      <c r="P126" s="307"/>
      <c r="Q126" s="307"/>
      <c r="R126" s="308"/>
      <c r="S126" s="308"/>
      <c r="T126" s="307"/>
      <c r="U126" s="307"/>
      <c r="V126" s="307"/>
      <c r="W126" s="307"/>
      <c r="X126" s="307"/>
      <c r="Y126" s="307"/>
      <c r="Z126" s="307"/>
      <c r="AA126" s="307"/>
      <c r="AB126" s="307"/>
      <c r="AC126" s="307"/>
      <c r="AD126" s="307"/>
      <c r="AE126" s="307"/>
      <c r="AF126" s="317" t="s">
        <v>364</v>
      </c>
      <c r="AG126" s="317"/>
      <c r="AH126" s="317"/>
      <c r="AI126" s="307"/>
      <c r="AJ126" s="310"/>
      <c r="AK126" s="311"/>
      <c r="AL126" s="328"/>
      <c r="AM126" s="328"/>
      <c r="AN126" s="328"/>
      <c r="AO126" s="328"/>
      <c r="AP126" s="328"/>
      <c r="AQ126" s="328"/>
      <c r="AR126" s="328"/>
      <c r="AS126" s="328"/>
      <c r="AT126" s="328"/>
      <c r="AU126" s="328"/>
      <c r="AV126" s="328"/>
      <c r="AW126" s="328"/>
      <c r="AX126" s="335" t="s">
        <v>2204</v>
      </c>
      <c r="AY126" s="307"/>
    </row>
    <row r="127" spans="1:51" ht="127.5" x14ac:dyDescent="0.25">
      <c r="A127" s="349" t="s">
        <v>201</v>
      </c>
      <c r="B127" s="351" t="s">
        <v>2128</v>
      </c>
      <c r="C127" s="860"/>
      <c r="D127" s="860"/>
      <c r="E127" s="858"/>
      <c r="F127" s="351" t="s">
        <v>2368</v>
      </c>
      <c r="G127" s="856"/>
      <c r="H127" s="856" t="s">
        <v>2448</v>
      </c>
      <c r="I127" s="856" t="s">
        <v>2449</v>
      </c>
      <c r="J127" s="365">
        <v>28</v>
      </c>
      <c r="K127" s="365" t="str">
        <f>'[2]PLAN INDICATIVO'!O78</f>
        <v>Incremento</v>
      </c>
      <c r="L127" s="365">
        <v>3</v>
      </c>
      <c r="M127" s="365">
        <v>0</v>
      </c>
      <c r="N127" s="317" t="s">
        <v>2449</v>
      </c>
      <c r="O127" s="308"/>
      <c r="P127" s="330">
        <v>250</v>
      </c>
      <c r="Q127" s="307"/>
      <c r="R127" s="308"/>
      <c r="S127" s="308"/>
      <c r="T127" s="330">
        <f>P127-Z127</f>
        <v>250</v>
      </c>
      <c r="U127" s="307"/>
      <c r="V127" s="307"/>
      <c r="W127" s="307"/>
      <c r="X127" s="307"/>
      <c r="Y127" s="307"/>
      <c r="Z127" s="307"/>
      <c r="AA127" s="307"/>
      <c r="AB127" s="307"/>
      <c r="AC127" s="307"/>
      <c r="AD127" s="307"/>
      <c r="AE127" s="313" t="s">
        <v>2450</v>
      </c>
      <c r="AF127" s="317" t="s">
        <v>364</v>
      </c>
      <c r="AG127" s="312" t="s">
        <v>2334</v>
      </c>
      <c r="AH127" s="317" t="s">
        <v>2197</v>
      </c>
      <c r="AI127" s="307">
        <v>1560</v>
      </c>
      <c r="AJ127" s="310">
        <v>59400000</v>
      </c>
      <c r="AK127" s="311"/>
      <c r="AL127" s="312" t="s">
        <v>751</v>
      </c>
      <c r="AM127" s="312" t="s">
        <v>751</v>
      </c>
      <c r="AN127" s="312" t="s">
        <v>751</v>
      </c>
      <c r="AO127" s="312" t="s">
        <v>751</v>
      </c>
      <c r="AP127" s="312" t="s">
        <v>751</v>
      </c>
      <c r="AQ127" s="312" t="s">
        <v>751</v>
      </c>
      <c r="AR127" s="312" t="s">
        <v>751</v>
      </c>
      <c r="AS127" s="312" t="s">
        <v>751</v>
      </c>
      <c r="AT127" s="312" t="s">
        <v>751</v>
      </c>
      <c r="AU127" s="312" t="s">
        <v>751</v>
      </c>
      <c r="AV127" s="312" t="s">
        <v>751</v>
      </c>
      <c r="AW127" s="312" t="s">
        <v>751</v>
      </c>
      <c r="AX127" s="317" t="s">
        <v>2204</v>
      </c>
      <c r="AY127" s="335" t="s">
        <v>2427</v>
      </c>
    </row>
    <row r="128" spans="1:51" ht="127.5" x14ac:dyDescent="0.25">
      <c r="A128" s="349" t="s">
        <v>201</v>
      </c>
      <c r="B128" s="351"/>
      <c r="C128" s="361"/>
      <c r="D128" s="361"/>
      <c r="E128" s="350"/>
      <c r="F128" s="351"/>
      <c r="G128" s="340"/>
      <c r="H128" s="856"/>
      <c r="I128" s="856"/>
      <c r="J128" s="365"/>
      <c r="K128" s="365"/>
      <c r="L128" s="365"/>
      <c r="M128" s="365"/>
      <c r="N128" s="317" t="s">
        <v>2449</v>
      </c>
      <c r="O128" s="308"/>
      <c r="P128" s="307"/>
      <c r="Q128" s="307"/>
      <c r="R128" s="308"/>
      <c r="S128" s="308"/>
      <c r="T128" s="307"/>
      <c r="U128" s="307"/>
      <c r="V128" s="307"/>
      <c r="W128" s="307"/>
      <c r="X128" s="307"/>
      <c r="Y128" s="307"/>
      <c r="Z128" s="307"/>
      <c r="AA128" s="307"/>
      <c r="AB128" s="307"/>
      <c r="AC128" s="307"/>
      <c r="AD128" s="307"/>
      <c r="AE128" s="313" t="s">
        <v>2451</v>
      </c>
      <c r="AF128" s="317" t="s">
        <v>364</v>
      </c>
      <c r="AG128" s="312" t="s">
        <v>2155</v>
      </c>
      <c r="AH128" s="317" t="s">
        <v>2138</v>
      </c>
      <c r="AI128" s="307">
        <v>1301</v>
      </c>
      <c r="AJ128" s="310">
        <v>59400000</v>
      </c>
      <c r="AK128" s="311"/>
      <c r="AL128" s="312" t="s">
        <v>751</v>
      </c>
      <c r="AM128" s="312" t="s">
        <v>751</v>
      </c>
      <c r="AN128" s="312" t="s">
        <v>751</v>
      </c>
      <c r="AO128" s="312" t="s">
        <v>751</v>
      </c>
      <c r="AP128" s="312" t="s">
        <v>751</v>
      </c>
      <c r="AQ128" s="312" t="s">
        <v>751</v>
      </c>
      <c r="AR128" s="312" t="s">
        <v>751</v>
      </c>
      <c r="AS128" s="312" t="s">
        <v>751</v>
      </c>
      <c r="AT128" s="312" t="s">
        <v>751</v>
      </c>
      <c r="AU128" s="312" t="s">
        <v>751</v>
      </c>
      <c r="AV128" s="312" t="s">
        <v>751</v>
      </c>
      <c r="AW128" s="312" t="s">
        <v>751</v>
      </c>
      <c r="AX128" s="317" t="s">
        <v>2204</v>
      </c>
      <c r="AY128" s="335" t="s">
        <v>2427</v>
      </c>
    </row>
    <row r="129" spans="1:51" ht="127.5" x14ac:dyDescent="0.25">
      <c r="A129" s="349" t="s">
        <v>201</v>
      </c>
      <c r="B129" s="351"/>
      <c r="C129" s="361"/>
      <c r="D129" s="361"/>
      <c r="E129" s="350"/>
      <c r="F129" s="351"/>
      <c r="G129" s="340"/>
      <c r="H129" s="856"/>
      <c r="I129" s="856"/>
      <c r="J129" s="365"/>
      <c r="K129" s="365"/>
      <c r="L129" s="365"/>
      <c r="M129" s="365"/>
      <c r="N129" s="317" t="s">
        <v>2449</v>
      </c>
      <c r="O129" s="308"/>
      <c r="P129" s="307"/>
      <c r="Q129" s="307"/>
      <c r="R129" s="308"/>
      <c r="S129" s="308"/>
      <c r="T129" s="307"/>
      <c r="U129" s="307"/>
      <c r="V129" s="307"/>
      <c r="W129" s="307"/>
      <c r="X129" s="307"/>
      <c r="Y129" s="307"/>
      <c r="Z129" s="307"/>
      <c r="AA129" s="307"/>
      <c r="AB129" s="307"/>
      <c r="AC129" s="307"/>
      <c r="AD129" s="307"/>
      <c r="AE129" s="313" t="s">
        <v>2452</v>
      </c>
      <c r="AF129" s="317" t="s">
        <v>364</v>
      </c>
      <c r="AG129" s="317" t="s">
        <v>2453</v>
      </c>
      <c r="AH129" s="317" t="s">
        <v>2197</v>
      </c>
      <c r="AI129" s="307">
        <v>151891</v>
      </c>
      <c r="AJ129" s="310">
        <v>59400000</v>
      </c>
      <c r="AK129" s="311"/>
      <c r="AL129" s="312" t="s">
        <v>751</v>
      </c>
      <c r="AM129" s="312" t="s">
        <v>751</v>
      </c>
      <c r="AN129" s="312" t="s">
        <v>751</v>
      </c>
      <c r="AO129" s="312" t="s">
        <v>751</v>
      </c>
      <c r="AP129" s="312" t="s">
        <v>751</v>
      </c>
      <c r="AQ129" s="312" t="s">
        <v>751</v>
      </c>
      <c r="AR129" s="312" t="s">
        <v>751</v>
      </c>
      <c r="AS129" s="312" t="s">
        <v>751</v>
      </c>
      <c r="AT129" s="312" t="s">
        <v>751</v>
      </c>
      <c r="AU129" s="312" t="s">
        <v>751</v>
      </c>
      <c r="AV129" s="312" t="s">
        <v>751</v>
      </c>
      <c r="AW129" s="312" t="s">
        <v>751</v>
      </c>
      <c r="AX129" s="317" t="s">
        <v>2204</v>
      </c>
      <c r="AY129" s="335" t="s">
        <v>2427</v>
      </c>
    </row>
    <row r="130" spans="1:51" ht="76.5" x14ac:dyDescent="0.25">
      <c r="A130" s="349" t="s">
        <v>201</v>
      </c>
      <c r="B130" s="351"/>
      <c r="C130" s="361"/>
      <c r="D130" s="361"/>
      <c r="E130" s="361"/>
      <c r="F130" s="351"/>
      <c r="G130" s="340"/>
      <c r="H130" s="856"/>
      <c r="I130" s="856"/>
      <c r="J130" s="367"/>
      <c r="K130" s="365"/>
      <c r="L130" s="365"/>
      <c r="M130" s="307"/>
      <c r="N130" s="312"/>
      <c r="O130" s="308"/>
      <c r="P130" s="308"/>
      <c r="Q130" s="308"/>
      <c r="R130" s="308"/>
      <c r="S130" s="308"/>
      <c r="T130" s="308"/>
      <c r="U130" s="307"/>
      <c r="V130" s="307"/>
      <c r="W130" s="307"/>
      <c r="X130" s="307"/>
      <c r="Y130" s="308"/>
      <c r="Z130" s="308"/>
      <c r="AA130" s="307"/>
      <c r="AB130" s="307"/>
      <c r="AC130" s="307"/>
      <c r="AD130" s="308"/>
      <c r="AE130" s="307"/>
      <c r="AF130" s="317" t="s">
        <v>364</v>
      </c>
      <c r="AG130" s="312"/>
      <c r="AH130" s="317"/>
      <c r="AI130" s="307"/>
      <c r="AJ130" s="310"/>
      <c r="AK130" s="311"/>
      <c r="AL130" s="328"/>
      <c r="AM130" s="328"/>
      <c r="AN130" s="328"/>
      <c r="AO130" s="328"/>
      <c r="AP130" s="328"/>
      <c r="AQ130" s="328"/>
      <c r="AR130" s="328"/>
      <c r="AS130" s="328"/>
      <c r="AT130" s="328"/>
      <c r="AU130" s="328"/>
      <c r="AV130" s="328"/>
      <c r="AW130" s="328"/>
      <c r="AX130" s="317"/>
      <c r="AY130" s="307"/>
    </row>
    <row r="131" spans="1:51" ht="409.5" x14ac:dyDescent="0.25">
      <c r="A131" s="349" t="s">
        <v>201</v>
      </c>
      <c r="B131" s="340" t="s">
        <v>2128</v>
      </c>
      <c r="C131" s="856" t="s">
        <v>2454</v>
      </c>
      <c r="D131" s="856" t="s">
        <v>2455</v>
      </c>
      <c r="E131" s="858">
        <v>0.66</v>
      </c>
      <c r="F131" s="856" t="s">
        <v>2456</v>
      </c>
      <c r="G131" s="856" t="s">
        <v>2457</v>
      </c>
      <c r="H131" s="856" t="s">
        <v>2458</v>
      </c>
      <c r="I131" s="856" t="s">
        <v>2459</v>
      </c>
      <c r="J131" s="365">
        <v>526908</v>
      </c>
      <c r="K131" s="365" t="str">
        <f>'[2]PLAN INDICATIVO'!O79</f>
        <v>Incremento</v>
      </c>
      <c r="L131" s="344">
        <v>6000</v>
      </c>
      <c r="M131" s="344">
        <v>3500</v>
      </c>
      <c r="N131" s="317" t="s">
        <v>2459</v>
      </c>
      <c r="O131" s="344">
        <f>+J131+M131</f>
        <v>530408</v>
      </c>
      <c r="P131" s="330">
        <v>600</v>
      </c>
      <c r="Q131" s="307"/>
      <c r="R131" s="308"/>
      <c r="S131" s="308"/>
      <c r="T131" s="330">
        <v>600</v>
      </c>
      <c r="U131" s="307"/>
      <c r="V131" s="307"/>
      <c r="W131" s="307"/>
      <c r="X131" s="307"/>
      <c r="Y131" s="307"/>
      <c r="Z131" s="307"/>
      <c r="AA131" s="307"/>
      <c r="AB131" s="307"/>
      <c r="AC131" s="307"/>
      <c r="AD131" s="307"/>
      <c r="AE131" s="313" t="s">
        <v>2460</v>
      </c>
      <c r="AF131" s="317" t="s">
        <v>364</v>
      </c>
      <c r="AG131" s="301" t="s">
        <v>2332</v>
      </c>
      <c r="AH131" s="301" t="s">
        <v>2333</v>
      </c>
      <c r="AI131" s="309">
        <v>109</v>
      </c>
      <c r="AJ131" s="310">
        <v>1756266122</v>
      </c>
      <c r="AK131" s="311" t="s">
        <v>2461</v>
      </c>
      <c r="AL131" s="312" t="s">
        <v>751</v>
      </c>
      <c r="AM131" s="312" t="s">
        <v>751</v>
      </c>
      <c r="AN131" s="312" t="s">
        <v>751</v>
      </c>
      <c r="AO131" s="312" t="s">
        <v>751</v>
      </c>
      <c r="AP131" s="312" t="s">
        <v>751</v>
      </c>
      <c r="AQ131" s="312" t="s">
        <v>751</v>
      </c>
      <c r="AR131" s="312" t="s">
        <v>751</v>
      </c>
      <c r="AS131" s="312" t="s">
        <v>751</v>
      </c>
      <c r="AT131" s="312" t="s">
        <v>751</v>
      </c>
      <c r="AU131" s="312" t="s">
        <v>751</v>
      </c>
      <c r="AV131" s="312" t="s">
        <v>751</v>
      </c>
      <c r="AW131" s="312" t="s">
        <v>751</v>
      </c>
      <c r="AX131" s="317" t="s">
        <v>2204</v>
      </c>
      <c r="AY131" s="313" t="s">
        <v>2462</v>
      </c>
    </row>
    <row r="132" spans="1:51" ht="357" x14ac:dyDescent="0.25">
      <c r="A132" s="349" t="s">
        <v>201</v>
      </c>
      <c r="B132" s="340"/>
      <c r="C132" s="856"/>
      <c r="D132" s="856"/>
      <c r="E132" s="858"/>
      <c r="F132" s="856"/>
      <c r="G132" s="856"/>
      <c r="H132" s="856"/>
      <c r="I132" s="856"/>
      <c r="J132" s="367"/>
      <c r="K132" s="365"/>
      <c r="L132" s="344"/>
      <c r="M132" s="307"/>
      <c r="N132" s="317" t="s">
        <v>2459</v>
      </c>
      <c r="O132" s="308"/>
      <c r="P132" s="330"/>
      <c r="Q132" s="308"/>
      <c r="R132" s="308"/>
      <c r="S132" s="308"/>
      <c r="T132" s="308"/>
      <c r="U132" s="307"/>
      <c r="V132" s="307"/>
      <c r="W132" s="307"/>
      <c r="X132" s="307"/>
      <c r="Y132" s="308"/>
      <c r="Z132" s="308"/>
      <c r="AA132" s="307"/>
      <c r="AB132" s="307"/>
      <c r="AC132" s="307"/>
      <c r="AD132" s="308"/>
      <c r="AE132" s="313" t="s">
        <v>2136</v>
      </c>
      <c r="AF132" s="317" t="s">
        <v>364</v>
      </c>
      <c r="AG132" s="301" t="s">
        <v>2137</v>
      </c>
      <c r="AH132" s="301" t="s">
        <v>2138</v>
      </c>
      <c r="AI132" s="309">
        <v>167</v>
      </c>
      <c r="AJ132" s="310">
        <f>1312286.735*0.06</f>
        <v>78737.204100000003</v>
      </c>
      <c r="AK132" s="311" t="s">
        <v>2139</v>
      </c>
      <c r="AL132" s="312" t="s">
        <v>751</v>
      </c>
      <c r="AM132" s="312" t="s">
        <v>751</v>
      </c>
      <c r="AN132" s="312" t="s">
        <v>751</v>
      </c>
      <c r="AO132" s="312" t="s">
        <v>751</v>
      </c>
      <c r="AP132" s="312" t="s">
        <v>751</v>
      </c>
      <c r="AQ132" s="312" t="s">
        <v>751</v>
      </c>
      <c r="AR132" s="312"/>
      <c r="AS132" s="312"/>
      <c r="AT132" s="312"/>
      <c r="AU132" s="312"/>
      <c r="AV132" s="312"/>
      <c r="AW132" s="312"/>
      <c r="AX132" s="317" t="s">
        <v>2463</v>
      </c>
      <c r="AY132" s="313" t="s">
        <v>2141</v>
      </c>
    </row>
    <row r="133" spans="1:51" ht="204" x14ac:dyDescent="0.25">
      <c r="A133" s="349" t="s">
        <v>201</v>
      </c>
      <c r="B133" s="340"/>
      <c r="C133" s="856"/>
      <c r="D133" s="856"/>
      <c r="E133" s="858"/>
      <c r="F133" s="856"/>
      <c r="G133" s="856"/>
      <c r="H133" s="856"/>
      <c r="I133" s="856"/>
      <c r="J133" s="367"/>
      <c r="K133" s="365"/>
      <c r="L133" s="344"/>
      <c r="M133" s="307"/>
      <c r="N133" s="317"/>
      <c r="O133" s="308"/>
      <c r="P133" s="330"/>
      <c r="Q133" s="308"/>
      <c r="R133" s="308"/>
      <c r="S133" s="308"/>
      <c r="T133" s="308"/>
      <c r="U133" s="307"/>
      <c r="V133" s="307"/>
      <c r="W133" s="307"/>
      <c r="X133" s="307"/>
      <c r="Y133" s="308"/>
      <c r="Z133" s="308"/>
      <c r="AA133" s="307"/>
      <c r="AB133" s="307"/>
      <c r="AC133" s="307"/>
      <c r="AD133" s="308"/>
      <c r="AE133" s="313" t="s">
        <v>2143</v>
      </c>
      <c r="AF133" s="317" t="s">
        <v>364</v>
      </c>
      <c r="AG133" s="301" t="s">
        <v>2144</v>
      </c>
      <c r="AH133" s="301" t="s">
        <v>2145</v>
      </c>
      <c r="AI133" s="309">
        <v>810</v>
      </c>
      <c r="AJ133" s="310">
        <f>341750.643*0.22</f>
        <v>75185.141459999999</v>
      </c>
      <c r="AK133" s="311" t="s">
        <v>2146</v>
      </c>
      <c r="AL133" s="312" t="s">
        <v>751</v>
      </c>
      <c r="AM133" s="312" t="s">
        <v>751</v>
      </c>
      <c r="AN133" s="312" t="s">
        <v>751</v>
      </c>
      <c r="AO133" s="312" t="s">
        <v>751</v>
      </c>
      <c r="AP133" s="312" t="s">
        <v>751</v>
      </c>
      <c r="AQ133" s="312" t="s">
        <v>751</v>
      </c>
      <c r="AR133" s="312" t="s">
        <v>751</v>
      </c>
      <c r="AS133" s="312" t="s">
        <v>751</v>
      </c>
      <c r="AT133" s="312" t="s">
        <v>751</v>
      </c>
      <c r="AU133" s="312" t="s">
        <v>751</v>
      </c>
      <c r="AV133" s="312" t="s">
        <v>751</v>
      </c>
      <c r="AW133" s="312" t="s">
        <v>751</v>
      </c>
      <c r="AX133" s="317" t="s">
        <v>2464</v>
      </c>
      <c r="AY133" s="313" t="s">
        <v>2465</v>
      </c>
    </row>
    <row r="134" spans="1:51" ht="191.25" x14ac:dyDescent="0.25">
      <c r="A134" s="349" t="s">
        <v>201</v>
      </c>
      <c r="B134" s="340"/>
      <c r="C134" s="856"/>
      <c r="D134" s="856"/>
      <c r="E134" s="858"/>
      <c r="F134" s="856"/>
      <c r="G134" s="856"/>
      <c r="H134" s="856"/>
      <c r="I134" s="856"/>
      <c r="J134" s="367"/>
      <c r="K134" s="365"/>
      <c r="L134" s="344"/>
      <c r="M134" s="307"/>
      <c r="N134" s="317"/>
      <c r="O134" s="308"/>
      <c r="P134" s="330"/>
      <c r="Q134" s="308"/>
      <c r="R134" s="308"/>
      <c r="S134" s="308"/>
      <c r="T134" s="308"/>
      <c r="U134" s="307"/>
      <c r="V134" s="307"/>
      <c r="W134" s="307"/>
      <c r="X134" s="307"/>
      <c r="Y134" s="308"/>
      <c r="Z134" s="308"/>
      <c r="AA134" s="307"/>
      <c r="AB134" s="307"/>
      <c r="AC134" s="307"/>
      <c r="AD134" s="308"/>
      <c r="AE134" s="345" t="s">
        <v>2164</v>
      </c>
      <c r="AF134" s="317" t="s">
        <v>364</v>
      </c>
      <c r="AG134" s="301" t="s">
        <v>2165</v>
      </c>
      <c r="AH134" s="301" t="s">
        <v>2166</v>
      </c>
      <c r="AI134" s="309">
        <v>456</v>
      </c>
      <c r="AJ134" s="310">
        <f>2762359.569*0.03</f>
        <v>82870.787070000006</v>
      </c>
      <c r="AK134" s="311" t="s">
        <v>2167</v>
      </c>
      <c r="AL134" s="312" t="s">
        <v>751</v>
      </c>
      <c r="AM134" s="312" t="s">
        <v>751</v>
      </c>
      <c r="AN134" s="312" t="s">
        <v>751</v>
      </c>
      <c r="AO134" s="312" t="s">
        <v>751</v>
      </c>
      <c r="AP134" s="312" t="s">
        <v>751</v>
      </c>
      <c r="AQ134" s="312" t="s">
        <v>751</v>
      </c>
      <c r="AR134" s="312" t="s">
        <v>751</v>
      </c>
      <c r="AS134" s="312" t="s">
        <v>751</v>
      </c>
      <c r="AT134" s="312" t="s">
        <v>751</v>
      </c>
      <c r="AU134" s="312" t="s">
        <v>751</v>
      </c>
      <c r="AV134" s="312" t="s">
        <v>751</v>
      </c>
      <c r="AW134" s="312" t="s">
        <v>751</v>
      </c>
      <c r="AX134" s="317" t="s">
        <v>2466</v>
      </c>
      <c r="AY134" s="313" t="s">
        <v>2467</v>
      </c>
    </row>
    <row r="135" spans="1:51" ht="409.5" x14ac:dyDescent="0.25">
      <c r="A135" s="349" t="s">
        <v>201</v>
      </c>
      <c r="B135" s="340"/>
      <c r="C135" s="856"/>
      <c r="D135" s="856"/>
      <c r="E135" s="858"/>
      <c r="F135" s="856"/>
      <c r="G135" s="856"/>
      <c r="H135" s="856"/>
      <c r="I135" s="856"/>
      <c r="J135" s="367"/>
      <c r="K135" s="365"/>
      <c r="L135" s="344"/>
      <c r="M135" s="307"/>
      <c r="N135" s="317"/>
      <c r="O135" s="308"/>
      <c r="P135" s="330"/>
      <c r="Q135" s="308"/>
      <c r="R135" s="308"/>
      <c r="S135" s="308"/>
      <c r="T135" s="308"/>
      <c r="U135" s="307"/>
      <c r="V135" s="307"/>
      <c r="W135" s="307"/>
      <c r="X135" s="307"/>
      <c r="Y135" s="308"/>
      <c r="Z135" s="308"/>
      <c r="AA135" s="307"/>
      <c r="AB135" s="307"/>
      <c r="AC135" s="307"/>
      <c r="AD135" s="308"/>
      <c r="AE135" s="345" t="s">
        <v>2149</v>
      </c>
      <c r="AF135" s="317" t="s">
        <v>364</v>
      </c>
      <c r="AG135" s="301" t="s">
        <v>2150</v>
      </c>
      <c r="AH135" s="301" t="s">
        <v>2145</v>
      </c>
      <c r="AI135" s="309">
        <f>407*5</f>
        <v>2035</v>
      </c>
      <c r="AJ135" s="310">
        <f>3454503.371*0.07</f>
        <v>241815.23597000001</v>
      </c>
      <c r="AK135" s="311" t="s">
        <v>2468</v>
      </c>
      <c r="AL135" s="312" t="s">
        <v>751</v>
      </c>
      <c r="AM135" s="312" t="s">
        <v>751</v>
      </c>
      <c r="AN135" s="312" t="s">
        <v>751</v>
      </c>
      <c r="AO135" s="312" t="s">
        <v>751</v>
      </c>
      <c r="AP135" s="312" t="s">
        <v>751</v>
      </c>
      <c r="AQ135" s="312" t="s">
        <v>751</v>
      </c>
      <c r="AR135" s="312" t="s">
        <v>751</v>
      </c>
      <c r="AS135" s="312" t="s">
        <v>751</v>
      </c>
      <c r="AT135" s="312" t="s">
        <v>751</v>
      </c>
      <c r="AU135" s="312" t="s">
        <v>751</v>
      </c>
      <c r="AV135" s="312" t="s">
        <v>751</v>
      </c>
      <c r="AW135" s="312" t="s">
        <v>751</v>
      </c>
      <c r="AX135" s="317" t="s">
        <v>2469</v>
      </c>
      <c r="AY135" s="313" t="s">
        <v>2470</v>
      </c>
    </row>
    <row r="136" spans="1:51" ht="76.5" x14ac:dyDescent="0.25">
      <c r="A136" s="349" t="s">
        <v>201</v>
      </c>
      <c r="B136" s="340"/>
      <c r="C136" s="856"/>
      <c r="D136" s="856"/>
      <c r="E136" s="858"/>
      <c r="F136" s="856"/>
      <c r="G136" s="856"/>
      <c r="H136" s="856"/>
      <c r="I136" s="856"/>
      <c r="J136" s="367"/>
      <c r="K136" s="365"/>
      <c r="L136" s="344"/>
      <c r="M136" s="307"/>
      <c r="N136" s="317"/>
      <c r="O136" s="308"/>
      <c r="P136" s="330"/>
      <c r="Q136" s="308"/>
      <c r="R136" s="308"/>
      <c r="S136" s="308"/>
      <c r="T136" s="308"/>
      <c r="U136" s="307"/>
      <c r="V136" s="307"/>
      <c r="W136" s="307"/>
      <c r="X136" s="307"/>
      <c r="Y136" s="308"/>
      <c r="Z136" s="308"/>
      <c r="AA136" s="307"/>
      <c r="AB136" s="307"/>
      <c r="AC136" s="307"/>
      <c r="AD136" s="308"/>
      <c r="AE136" s="313"/>
      <c r="AF136" s="317" t="s">
        <v>364</v>
      </c>
      <c r="AG136" s="301"/>
      <c r="AH136" s="301"/>
      <c r="AI136" s="309"/>
      <c r="AJ136" s="310"/>
      <c r="AK136" s="311"/>
      <c r="AL136" s="328"/>
      <c r="AM136" s="328"/>
      <c r="AN136" s="328"/>
      <c r="AO136" s="328"/>
      <c r="AP136" s="328"/>
      <c r="AQ136" s="328"/>
      <c r="AR136" s="328"/>
      <c r="AS136" s="328"/>
      <c r="AT136" s="312"/>
      <c r="AU136" s="312"/>
      <c r="AV136" s="312"/>
      <c r="AW136" s="312"/>
      <c r="AX136" s="317"/>
      <c r="AY136" s="313"/>
    </row>
    <row r="137" spans="1:51" ht="89.25" x14ac:dyDescent="0.25">
      <c r="A137" s="349" t="s">
        <v>201</v>
      </c>
      <c r="B137" s="340"/>
      <c r="C137" s="856"/>
      <c r="D137" s="856"/>
      <c r="E137" s="858"/>
      <c r="F137" s="856"/>
      <c r="G137" s="856"/>
      <c r="H137" s="856"/>
      <c r="I137" s="856"/>
      <c r="J137" s="365"/>
      <c r="K137" s="365"/>
      <c r="L137" s="344"/>
      <c r="M137" s="307"/>
      <c r="N137" s="312"/>
      <c r="O137" s="308"/>
      <c r="P137" s="330"/>
      <c r="Q137" s="308"/>
      <c r="R137" s="308"/>
      <c r="S137" s="308"/>
      <c r="T137" s="308"/>
      <c r="U137" s="307"/>
      <c r="V137" s="307"/>
      <c r="W137" s="307"/>
      <c r="X137" s="307"/>
      <c r="Y137" s="308"/>
      <c r="Z137" s="308"/>
      <c r="AA137" s="307"/>
      <c r="AB137" s="307"/>
      <c r="AC137" s="307"/>
      <c r="AD137" s="308"/>
      <c r="AE137" s="307"/>
      <c r="AF137" s="317" t="s">
        <v>364</v>
      </c>
      <c r="AG137" s="312"/>
      <c r="AH137" s="317"/>
      <c r="AI137" s="307"/>
      <c r="AJ137" s="310"/>
      <c r="AK137" s="311"/>
      <c r="AL137" s="328"/>
      <c r="AM137" s="328"/>
      <c r="AN137" s="328"/>
      <c r="AO137" s="328"/>
      <c r="AP137" s="328"/>
      <c r="AQ137" s="328"/>
      <c r="AR137" s="328"/>
      <c r="AS137" s="328"/>
      <c r="AT137" s="328"/>
      <c r="AU137" s="328"/>
      <c r="AV137" s="328"/>
      <c r="AW137" s="312"/>
      <c r="AX137" s="317" t="s">
        <v>2204</v>
      </c>
      <c r="AY137" s="307"/>
    </row>
    <row r="138" spans="1:51" ht="369.75" x14ac:dyDescent="0.25">
      <c r="A138" s="349" t="s">
        <v>201</v>
      </c>
      <c r="B138" s="856" t="s">
        <v>2128</v>
      </c>
      <c r="C138" s="856"/>
      <c r="D138" s="856"/>
      <c r="E138" s="858"/>
      <c r="F138" s="856" t="s">
        <v>2456</v>
      </c>
      <c r="G138" s="856"/>
      <c r="H138" s="856" t="s">
        <v>2471</v>
      </c>
      <c r="I138" s="856" t="s">
        <v>2472</v>
      </c>
      <c r="J138" s="365">
        <v>390845</v>
      </c>
      <c r="K138" s="365" t="str">
        <f>'[2]PLAN INDICATIVO'!O80</f>
        <v>Incremento</v>
      </c>
      <c r="L138" s="344">
        <v>25000</v>
      </c>
      <c r="M138" s="344">
        <v>14500</v>
      </c>
      <c r="N138" s="317" t="s">
        <v>2472</v>
      </c>
      <c r="O138" s="344">
        <f>+J138+M138</f>
        <v>405345</v>
      </c>
      <c r="P138" s="330">
        <v>7900</v>
      </c>
      <c r="Q138" s="307"/>
      <c r="R138" s="308"/>
      <c r="S138" s="308"/>
      <c r="T138" s="330">
        <f>P138-Z138</f>
        <v>5900</v>
      </c>
      <c r="U138" s="307"/>
      <c r="V138" s="307"/>
      <c r="W138" s="307"/>
      <c r="X138" s="307"/>
      <c r="Y138" s="307"/>
      <c r="Z138" s="330">
        <v>2000</v>
      </c>
      <c r="AA138" s="307"/>
      <c r="AB138" s="307"/>
      <c r="AC138" s="307"/>
      <c r="AD138" s="307"/>
      <c r="AE138" s="313" t="s">
        <v>2473</v>
      </c>
      <c r="AF138" s="317" t="s">
        <v>364</v>
      </c>
      <c r="AG138" s="312" t="s">
        <v>2378</v>
      </c>
      <c r="AH138" s="317" t="s">
        <v>2333</v>
      </c>
      <c r="AI138" s="309">
        <v>80</v>
      </c>
      <c r="AJ138" s="310">
        <v>750709109</v>
      </c>
      <c r="AK138" s="311" t="s">
        <v>2474</v>
      </c>
      <c r="AL138" s="312" t="s">
        <v>751</v>
      </c>
      <c r="AM138" s="312" t="s">
        <v>751</v>
      </c>
      <c r="AN138" s="312" t="s">
        <v>751</v>
      </c>
      <c r="AO138" s="312" t="s">
        <v>751</v>
      </c>
      <c r="AP138" s="312" t="s">
        <v>751</v>
      </c>
      <c r="AQ138" s="312" t="s">
        <v>751</v>
      </c>
      <c r="AR138" s="312" t="s">
        <v>751</v>
      </c>
      <c r="AS138" s="312" t="s">
        <v>751</v>
      </c>
      <c r="AT138" s="312" t="s">
        <v>751</v>
      </c>
      <c r="AU138" s="312" t="s">
        <v>751</v>
      </c>
      <c r="AV138" s="312" t="s">
        <v>751</v>
      </c>
      <c r="AW138" s="312" t="s">
        <v>751</v>
      </c>
      <c r="AX138" s="317" t="s">
        <v>2204</v>
      </c>
      <c r="AY138" s="346" t="s">
        <v>2475</v>
      </c>
    </row>
    <row r="139" spans="1:51" ht="191.25" x14ac:dyDescent="0.25">
      <c r="A139" s="349" t="s">
        <v>201</v>
      </c>
      <c r="B139" s="856"/>
      <c r="C139" s="856"/>
      <c r="D139" s="856"/>
      <c r="E139" s="858"/>
      <c r="F139" s="856"/>
      <c r="G139" s="340"/>
      <c r="H139" s="856"/>
      <c r="I139" s="856"/>
      <c r="J139" s="365"/>
      <c r="K139" s="365"/>
      <c r="L139" s="344"/>
      <c r="M139" s="344"/>
      <c r="N139" s="317"/>
      <c r="O139" s="344"/>
      <c r="P139" s="330"/>
      <c r="Q139" s="307"/>
      <c r="R139" s="308"/>
      <c r="S139" s="308"/>
      <c r="T139" s="330"/>
      <c r="U139" s="307"/>
      <c r="V139" s="307"/>
      <c r="W139" s="307"/>
      <c r="X139" s="307"/>
      <c r="Y139" s="307"/>
      <c r="Z139" s="330"/>
      <c r="AA139" s="307"/>
      <c r="AB139" s="307"/>
      <c r="AC139" s="307"/>
      <c r="AD139" s="307"/>
      <c r="AE139" s="313" t="s">
        <v>2188</v>
      </c>
      <c r="AF139" s="317" t="s">
        <v>364</v>
      </c>
      <c r="AG139" s="317" t="s">
        <v>2189</v>
      </c>
      <c r="AH139" s="312" t="s">
        <v>2145</v>
      </c>
      <c r="AI139" s="309">
        <f>1320-431</f>
        <v>889</v>
      </c>
      <c r="AJ139" s="310">
        <f>3328339.046*0.16</f>
        <v>532534.24736000004</v>
      </c>
      <c r="AK139" s="311" t="s">
        <v>2190</v>
      </c>
      <c r="AL139" s="312" t="s">
        <v>751</v>
      </c>
      <c r="AM139" s="312" t="s">
        <v>751</v>
      </c>
      <c r="AN139" s="312" t="s">
        <v>751</v>
      </c>
      <c r="AO139" s="312" t="s">
        <v>751</v>
      </c>
      <c r="AP139" s="312" t="s">
        <v>751</v>
      </c>
      <c r="AQ139" s="312" t="s">
        <v>751</v>
      </c>
      <c r="AR139" s="312" t="s">
        <v>751</v>
      </c>
      <c r="AS139" s="312" t="s">
        <v>751</v>
      </c>
      <c r="AT139" s="312" t="s">
        <v>751</v>
      </c>
      <c r="AU139" s="312" t="s">
        <v>751</v>
      </c>
      <c r="AV139" s="312" t="s">
        <v>751</v>
      </c>
      <c r="AW139" s="312" t="s">
        <v>751</v>
      </c>
      <c r="AX139" s="317" t="s">
        <v>2476</v>
      </c>
      <c r="AY139" s="313" t="s">
        <v>2192</v>
      </c>
    </row>
    <row r="140" spans="1:51" ht="255" x14ac:dyDescent="0.25">
      <c r="A140" s="349" t="s">
        <v>201</v>
      </c>
      <c r="B140" s="856"/>
      <c r="C140" s="856"/>
      <c r="D140" s="856"/>
      <c r="E140" s="858"/>
      <c r="F140" s="856"/>
      <c r="G140" s="340"/>
      <c r="H140" s="856"/>
      <c r="I140" s="856"/>
      <c r="J140" s="358"/>
      <c r="K140" s="365"/>
      <c r="L140" s="344"/>
      <c r="M140" s="307"/>
      <c r="N140" s="317" t="s">
        <v>2472</v>
      </c>
      <c r="O140" s="308"/>
      <c r="P140" s="330"/>
      <c r="Q140" s="308"/>
      <c r="R140" s="308"/>
      <c r="S140" s="308"/>
      <c r="T140" s="308"/>
      <c r="U140" s="307"/>
      <c r="V140" s="307"/>
      <c r="W140" s="307"/>
      <c r="X140" s="307"/>
      <c r="Y140" s="308"/>
      <c r="Z140" s="308"/>
      <c r="AA140" s="307"/>
      <c r="AB140" s="307"/>
      <c r="AC140" s="307"/>
      <c r="AD140" s="308"/>
      <c r="AE140" s="313" t="s">
        <v>2177</v>
      </c>
      <c r="AF140" s="317" t="s">
        <v>364</v>
      </c>
      <c r="AG140" s="317" t="s">
        <v>2178</v>
      </c>
      <c r="AH140" s="312" t="s">
        <v>2145</v>
      </c>
      <c r="AI140" s="309">
        <v>309</v>
      </c>
      <c r="AJ140" s="310">
        <f>1681351.109*0.06</f>
        <v>100881.06654</v>
      </c>
      <c r="AK140" s="311" t="s">
        <v>2477</v>
      </c>
      <c r="AL140" s="312" t="s">
        <v>751</v>
      </c>
      <c r="AM140" s="312" t="s">
        <v>751</v>
      </c>
      <c r="AN140" s="312" t="s">
        <v>751</v>
      </c>
      <c r="AO140" s="312" t="s">
        <v>751</v>
      </c>
      <c r="AP140" s="312" t="s">
        <v>751</v>
      </c>
      <c r="AQ140" s="312" t="s">
        <v>751</v>
      </c>
      <c r="AR140" s="312"/>
      <c r="AS140" s="312"/>
      <c r="AT140" s="312"/>
      <c r="AU140" s="312"/>
      <c r="AV140" s="328"/>
      <c r="AW140" s="328"/>
      <c r="AX140" s="317" t="s">
        <v>2478</v>
      </c>
      <c r="AY140" s="320" t="s">
        <v>2479</v>
      </c>
    </row>
    <row r="141" spans="1:51" ht="293.25" x14ac:dyDescent="0.25">
      <c r="A141" s="349" t="s">
        <v>201</v>
      </c>
      <c r="B141" s="856"/>
      <c r="C141" s="856"/>
      <c r="D141" s="856"/>
      <c r="E141" s="858"/>
      <c r="F141" s="856"/>
      <c r="G141" s="340"/>
      <c r="H141" s="856"/>
      <c r="I141" s="856"/>
      <c r="J141" s="358"/>
      <c r="K141" s="365"/>
      <c r="L141" s="344"/>
      <c r="M141" s="307"/>
      <c r="N141" s="317"/>
      <c r="O141" s="308"/>
      <c r="P141" s="330"/>
      <c r="Q141" s="308"/>
      <c r="R141" s="308"/>
      <c r="S141" s="308"/>
      <c r="T141" s="308"/>
      <c r="U141" s="307"/>
      <c r="V141" s="307"/>
      <c r="W141" s="307"/>
      <c r="X141" s="307"/>
      <c r="Y141" s="308"/>
      <c r="Z141" s="308"/>
      <c r="AA141" s="307"/>
      <c r="AB141" s="307"/>
      <c r="AC141" s="307"/>
      <c r="AD141" s="308"/>
      <c r="AE141" s="313" t="s">
        <v>2172</v>
      </c>
      <c r="AF141" s="317" t="s">
        <v>364</v>
      </c>
      <c r="AG141" s="312" t="s">
        <v>2173</v>
      </c>
      <c r="AH141" s="312" t="s">
        <v>2145</v>
      </c>
      <c r="AI141" s="309">
        <f>650*5</f>
        <v>3250</v>
      </c>
      <c r="AJ141" s="310">
        <f>5977179.464*0.91</f>
        <v>5439233.3122399999</v>
      </c>
      <c r="AK141" s="311" t="s">
        <v>2174</v>
      </c>
      <c r="AL141" s="312" t="s">
        <v>751</v>
      </c>
      <c r="AM141" s="312" t="s">
        <v>751</v>
      </c>
      <c r="AN141" s="312" t="s">
        <v>751</v>
      </c>
      <c r="AO141" s="312" t="s">
        <v>751</v>
      </c>
      <c r="AP141" s="312" t="s">
        <v>751</v>
      </c>
      <c r="AQ141" s="312" t="s">
        <v>751</v>
      </c>
      <c r="AR141" s="312" t="s">
        <v>751</v>
      </c>
      <c r="AS141" s="312" t="s">
        <v>751</v>
      </c>
      <c r="AT141" s="312" t="s">
        <v>751</v>
      </c>
      <c r="AU141" s="312" t="s">
        <v>751</v>
      </c>
      <c r="AV141" s="312" t="s">
        <v>751</v>
      </c>
      <c r="AW141" s="312" t="s">
        <v>751</v>
      </c>
      <c r="AX141" s="317" t="s">
        <v>2480</v>
      </c>
      <c r="AY141" s="320" t="s">
        <v>2481</v>
      </c>
    </row>
    <row r="142" spans="1:51" ht="89.25" x14ac:dyDescent="0.25">
      <c r="A142" s="349" t="s">
        <v>201</v>
      </c>
      <c r="B142" s="856"/>
      <c r="C142" s="856"/>
      <c r="D142" s="856"/>
      <c r="E142" s="858"/>
      <c r="F142" s="856"/>
      <c r="G142" s="340"/>
      <c r="H142" s="856"/>
      <c r="I142" s="856"/>
      <c r="J142" s="365"/>
      <c r="K142" s="365"/>
      <c r="L142" s="344"/>
      <c r="M142" s="307"/>
      <c r="N142" s="317"/>
      <c r="O142" s="308"/>
      <c r="P142" s="308"/>
      <c r="Q142" s="308"/>
      <c r="R142" s="308"/>
      <c r="S142" s="308"/>
      <c r="T142" s="308"/>
      <c r="U142" s="307"/>
      <c r="V142" s="307"/>
      <c r="W142" s="307"/>
      <c r="X142" s="307"/>
      <c r="Y142" s="308"/>
      <c r="Z142" s="308"/>
      <c r="AA142" s="307"/>
      <c r="AB142" s="307"/>
      <c r="AC142" s="307"/>
      <c r="AD142" s="308"/>
      <c r="AE142" s="317"/>
      <c r="AF142" s="317" t="s">
        <v>364</v>
      </c>
      <c r="AG142" s="317"/>
      <c r="AH142" s="317"/>
      <c r="AI142" s="317"/>
      <c r="AJ142" s="310"/>
      <c r="AK142" s="311"/>
      <c r="AL142" s="328"/>
      <c r="AM142" s="328"/>
      <c r="AN142" s="328"/>
      <c r="AO142" s="328"/>
      <c r="AP142" s="328"/>
      <c r="AQ142" s="328"/>
      <c r="AR142" s="328"/>
      <c r="AS142" s="328"/>
      <c r="AT142" s="328"/>
      <c r="AU142" s="328"/>
      <c r="AV142" s="328"/>
      <c r="AW142" s="328"/>
      <c r="AX142" s="317" t="s">
        <v>2204</v>
      </c>
      <c r="AY142" s="304"/>
    </row>
    <row r="143" spans="1:51" ht="191.25" x14ac:dyDescent="0.25">
      <c r="A143" s="349" t="s">
        <v>201</v>
      </c>
      <c r="B143" s="856" t="s">
        <v>2128</v>
      </c>
      <c r="C143" s="856" t="s">
        <v>2482</v>
      </c>
      <c r="D143" s="856" t="s">
        <v>2483</v>
      </c>
      <c r="E143" s="858">
        <v>0.47</v>
      </c>
      <c r="F143" s="860" t="s">
        <v>2456</v>
      </c>
      <c r="G143" s="856" t="s">
        <v>2457</v>
      </c>
      <c r="H143" s="856" t="s">
        <v>2484</v>
      </c>
      <c r="I143" s="856" t="s">
        <v>2485</v>
      </c>
      <c r="J143" s="365">
        <v>490054</v>
      </c>
      <c r="K143" s="365" t="str">
        <f>'[2]PLAN INDICATIVO'!O81</f>
        <v>Incremento</v>
      </c>
      <c r="L143" s="344">
        <v>4500</v>
      </c>
      <c r="M143" s="369">
        <v>2000</v>
      </c>
      <c r="N143" s="317" t="s">
        <v>2485</v>
      </c>
      <c r="O143" s="344">
        <f>+J143+M143</f>
        <v>492054</v>
      </c>
      <c r="P143" s="344">
        <v>1600</v>
      </c>
      <c r="Q143" s="344"/>
      <c r="R143" s="308"/>
      <c r="S143" s="308"/>
      <c r="T143" s="344">
        <v>1600</v>
      </c>
      <c r="U143" s="312"/>
      <c r="V143" s="307"/>
      <c r="W143" s="307"/>
      <c r="X143" s="307"/>
      <c r="Y143" s="344"/>
      <c r="Z143" s="344"/>
      <c r="AA143" s="307"/>
      <c r="AB143" s="307"/>
      <c r="AC143" s="307"/>
      <c r="AD143" s="344"/>
      <c r="AE143" s="313" t="s">
        <v>2236</v>
      </c>
      <c r="AF143" s="317" t="s">
        <v>364</v>
      </c>
      <c r="AG143" s="312" t="s">
        <v>2237</v>
      </c>
      <c r="AH143" s="312" t="s">
        <v>2145</v>
      </c>
      <c r="AI143" s="312">
        <f>1519-1161</f>
        <v>358</v>
      </c>
      <c r="AJ143" s="310">
        <f>5478220.996*0.08</f>
        <v>438257.67968000006</v>
      </c>
      <c r="AK143" s="311" t="s">
        <v>2238</v>
      </c>
      <c r="AL143" s="312" t="s">
        <v>751</v>
      </c>
      <c r="AM143" s="312" t="s">
        <v>751</v>
      </c>
      <c r="AN143" s="312" t="s">
        <v>751</v>
      </c>
      <c r="AO143" s="312" t="s">
        <v>751</v>
      </c>
      <c r="AP143" s="312" t="s">
        <v>751</v>
      </c>
      <c r="AQ143" s="312" t="s">
        <v>751</v>
      </c>
      <c r="AR143" s="312" t="s">
        <v>751</v>
      </c>
      <c r="AS143" s="312" t="s">
        <v>751</v>
      </c>
      <c r="AT143" s="312" t="s">
        <v>751</v>
      </c>
      <c r="AU143" s="312" t="s">
        <v>751</v>
      </c>
      <c r="AV143" s="312" t="s">
        <v>751</v>
      </c>
      <c r="AW143" s="312" t="s">
        <v>751</v>
      </c>
      <c r="AX143" s="317" t="s">
        <v>2486</v>
      </c>
      <c r="AY143" s="323" t="s">
        <v>2487</v>
      </c>
    </row>
    <row r="144" spans="1:51" ht="409.5" x14ac:dyDescent="0.25">
      <c r="A144" s="349" t="s">
        <v>201</v>
      </c>
      <c r="B144" s="856"/>
      <c r="C144" s="856"/>
      <c r="D144" s="856"/>
      <c r="E144" s="858"/>
      <c r="F144" s="860"/>
      <c r="G144" s="856"/>
      <c r="H144" s="856"/>
      <c r="I144" s="856"/>
      <c r="J144" s="367"/>
      <c r="K144" s="365"/>
      <c r="L144" s="344"/>
      <c r="M144" s="344"/>
      <c r="N144" s="317" t="s">
        <v>2485</v>
      </c>
      <c r="O144" s="308"/>
      <c r="P144" s="308"/>
      <c r="Q144" s="308"/>
      <c r="R144" s="308"/>
      <c r="S144" s="308"/>
      <c r="T144" s="308"/>
      <c r="U144" s="307"/>
      <c r="V144" s="307"/>
      <c r="W144" s="307"/>
      <c r="X144" s="307"/>
      <c r="Y144" s="308"/>
      <c r="Z144" s="308"/>
      <c r="AA144" s="307"/>
      <c r="AB144" s="307"/>
      <c r="AC144" s="307"/>
      <c r="AD144" s="308"/>
      <c r="AE144" s="313" t="s">
        <v>2488</v>
      </c>
      <c r="AF144" s="317" t="s">
        <v>364</v>
      </c>
      <c r="AG144" s="312" t="s">
        <v>1821</v>
      </c>
      <c r="AH144" s="317"/>
      <c r="AI144" s="312"/>
      <c r="AJ144" s="310"/>
      <c r="AK144" s="311" t="s">
        <v>2489</v>
      </c>
      <c r="AL144" s="312" t="s">
        <v>751</v>
      </c>
      <c r="AM144" s="312" t="s">
        <v>751</v>
      </c>
      <c r="AN144" s="312" t="s">
        <v>751</v>
      </c>
      <c r="AO144" s="312" t="s">
        <v>751</v>
      </c>
      <c r="AP144" s="312" t="s">
        <v>751</v>
      </c>
      <c r="AQ144" s="312" t="s">
        <v>751</v>
      </c>
      <c r="AR144" s="312"/>
      <c r="AS144" s="312"/>
      <c r="AT144" s="312"/>
      <c r="AU144" s="312"/>
      <c r="AV144" s="312"/>
      <c r="AW144" s="312"/>
      <c r="AX144" s="317" t="s">
        <v>2204</v>
      </c>
      <c r="AY144" s="313" t="s">
        <v>2490</v>
      </c>
    </row>
    <row r="145" spans="1:51" ht="191.25" x14ac:dyDescent="0.25">
      <c r="A145" s="349" t="s">
        <v>201</v>
      </c>
      <c r="B145" s="856"/>
      <c r="C145" s="856"/>
      <c r="D145" s="856"/>
      <c r="E145" s="858"/>
      <c r="F145" s="860"/>
      <c r="G145" s="856"/>
      <c r="H145" s="856"/>
      <c r="I145" s="856"/>
      <c r="J145" s="367"/>
      <c r="K145" s="365"/>
      <c r="L145" s="344"/>
      <c r="M145" s="344"/>
      <c r="N145" s="317"/>
      <c r="O145" s="308"/>
      <c r="P145" s="308"/>
      <c r="Q145" s="308"/>
      <c r="R145" s="308"/>
      <c r="S145" s="308"/>
      <c r="T145" s="308"/>
      <c r="U145" s="307"/>
      <c r="V145" s="307"/>
      <c r="W145" s="307"/>
      <c r="X145" s="307"/>
      <c r="Y145" s="308"/>
      <c r="Z145" s="308"/>
      <c r="AA145" s="307"/>
      <c r="AB145" s="307"/>
      <c r="AC145" s="307"/>
      <c r="AD145" s="308"/>
      <c r="AE145" s="313" t="s">
        <v>2232</v>
      </c>
      <c r="AF145" s="317" t="s">
        <v>364</v>
      </c>
      <c r="AG145" s="312" t="s">
        <v>2165</v>
      </c>
      <c r="AH145" s="312" t="s">
        <v>2166</v>
      </c>
      <c r="AI145" s="312">
        <f>71*5</f>
        <v>355</v>
      </c>
      <c r="AJ145" s="310">
        <f>2734434.398*0.04</f>
        <v>109377.37592000001</v>
      </c>
      <c r="AK145" s="311" t="s">
        <v>2233</v>
      </c>
      <c r="AL145" s="312" t="s">
        <v>751</v>
      </c>
      <c r="AM145" s="312" t="s">
        <v>751</v>
      </c>
      <c r="AN145" s="312" t="s">
        <v>751</v>
      </c>
      <c r="AO145" s="312" t="s">
        <v>751</v>
      </c>
      <c r="AP145" s="312" t="s">
        <v>751</v>
      </c>
      <c r="AQ145" s="312" t="s">
        <v>751</v>
      </c>
      <c r="AR145" s="312"/>
      <c r="AS145" s="312"/>
      <c r="AT145" s="312"/>
      <c r="AU145" s="312"/>
      <c r="AV145" s="312"/>
      <c r="AW145" s="312"/>
      <c r="AX145" s="317" t="s">
        <v>2478</v>
      </c>
      <c r="AY145" s="323" t="s">
        <v>2491</v>
      </c>
    </row>
    <row r="146" spans="1:51" ht="89.25" x14ac:dyDescent="0.25">
      <c r="A146" s="349" t="s">
        <v>201</v>
      </c>
      <c r="B146" s="856"/>
      <c r="C146" s="856"/>
      <c r="D146" s="856"/>
      <c r="E146" s="858"/>
      <c r="F146" s="860"/>
      <c r="G146" s="856"/>
      <c r="H146" s="856"/>
      <c r="I146" s="856"/>
      <c r="J146" s="365"/>
      <c r="K146" s="365"/>
      <c r="L146" s="344"/>
      <c r="M146" s="307"/>
      <c r="N146" s="312"/>
      <c r="O146" s="308"/>
      <c r="P146" s="308"/>
      <c r="Q146" s="308"/>
      <c r="R146" s="308"/>
      <c r="S146" s="308"/>
      <c r="T146" s="308"/>
      <c r="U146" s="307"/>
      <c r="V146" s="307"/>
      <c r="W146" s="307"/>
      <c r="X146" s="307"/>
      <c r="Y146" s="308"/>
      <c r="Z146" s="308"/>
      <c r="AA146" s="307"/>
      <c r="AB146" s="307"/>
      <c r="AC146" s="307"/>
      <c r="AD146" s="308"/>
      <c r="AE146" s="307"/>
      <c r="AF146" s="317" t="s">
        <v>364</v>
      </c>
      <c r="AG146" s="312"/>
      <c r="AH146" s="317"/>
      <c r="AI146" s="307"/>
      <c r="AJ146" s="310"/>
      <c r="AK146" s="311"/>
      <c r="AL146" s="328"/>
      <c r="AM146" s="328"/>
      <c r="AN146" s="328"/>
      <c r="AO146" s="328"/>
      <c r="AP146" s="328"/>
      <c r="AQ146" s="328"/>
      <c r="AR146" s="328"/>
      <c r="AS146" s="328"/>
      <c r="AT146" s="328"/>
      <c r="AU146" s="328"/>
      <c r="AV146" s="328"/>
      <c r="AW146" s="328"/>
      <c r="AX146" s="317" t="s">
        <v>2204</v>
      </c>
      <c r="AY146" s="307"/>
    </row>
    <row r="147" spans="1:51" ht="357" x14ac:dyDescent="0.25">
      <c r="A147" s="349" t="s">
        <v>201</v>
      </c>
      <c r="B147" s="351" t="s">
        <v>2128</v>
      </c>
      <c r="C147" s="856"/>
      <c r="D147" s="856"/>
      <c r="E147" s="858"/>
      <c r="F147" s="860"/>
      <c r="G147" s="856"/>
      <c r="H147" s="856" t="s">
        <v>2492</v>
      </c>
      <c r="I147" s="856" t="s">
        <v>2493</v>
      </c>
      <c r="J147" s="365">
        <v>157807</v>
      </c>
      <c r="K147" s="365" t="str">
        <f>'[2]PLAN INDICATIVO'!O82</f>
        <v>Incremento</v>
      </c>
      <c r="L147" s="344">
        <v>4000</v>
      </c>
      <c r="M147" s="369">
        <v>1750</v>
      </c>
      <c r="N147" s="317" t="s">
        <v>2493</v>
      </c>
      <c r="O147" s="344">
        <f>+J147+M147</f>
        <v>159557</v>
      </c>
      <c r="P147" s="344">
        <v>2000</v>
      </c>
      <c r="Q147" s="344"/>
      <c r="R147" s="308"/>
      <c r="S147" s="308"/>
      <c r="T147" s="330">
        <f>P147-Z147</f>
        <v>2000</v>
      </c>
      <c r="U147" s="307"/>
      <c r="V147" s="307"/>
      <c r="W147" s="307"/>
      <c r="X147" s="307"/>
      <c r="Y147" s="344"/>
      <c r="Z147" s="344"/>
      <c r="AA147" s="307"/>
      <c r="AB147" s="307"/>
      <c r="AC147" s="307"/>
      <c r="AD147" s="344"/>
      <c r="AE147" s="313" t="s">
        <v>2494</v>
      </c>
      <c r="AF147" s="317" t="s">
        <v>364</v>
      </c>
      <c r="AG147" s="312" t="s">
        <v>2273</v>
      </c>
      <c r="AH147" s="317" t="s">
        <v>2197</v>
      </c>
      <c r="AI147" s="338">
        <v>265</v>
      </c>
      <c r="AJ147" s="310"/>
      <c r="AK147" s="311" t="s">
        <v>2495</v>
      </c>
      <c r="AL147" s="312" t="s">
        <v>751</v>
      </c>
      <c r="AM147" s="312" t="s">
        <v>751</v>
      </c>
      <c r="AN147" s="312" t="s">
        <v>751</v>
      </c>
      <c r="AO147" s="312" t="s">
        <v>751</v>
      </c>
      <c r="AP147" s="312" t="s">
        <v>751</v>
      </c>
      <c r="AQ147" s="312" t="s">
        <v>751</v>
      </c>
      <c r="AR147" s="312" t="s">
        <v>751</v>
      </c>
      <c r="AS147" s="312" t="s">
        <v>751</v>
      </c>
      <c r="AT147" s="312" t="s">
        <v>751</v>
      </c>
      <c r="AU147" s="312" t="s">
        <v>751</v>
      </c>
      <c r="AV147" s="312" t="s">
        <v>751</v>
      </c>
      <c r="AW147" s="312" t="s">
        <v>751</v>
      </c>
      <c r="AX147" s="317" t="s">
        <v>2204</v>
      </c>
      <c r="AY147" s="323" t="s">
        <v>2496</v>
      </c>
    </row>
    <row r="148" spans="1:51" ht="409.5" x14ac:dyDescent="0.25">
      <c r="A148" s="349" t="s">
        <v>201</v>
      </c>
      <c r="B148" s="351"/>
      <c r="C148" s="856"/>
      <c r="D148" s="856"/>
      <c r="E148" s="858"/>
      <c r="F148" s="860"/>
      <c r="G148" s="340"/>
      <c r="H148" s="856"/>
      <c r="I148" s="856"/>
      <c r="J148" s="365"/>
      <c r="K148" s="365"/>
      <c r="L148" s="344"/>
      <c r="M148" s="344"/>
      <c r="N148" s="317" t="s">
        <v>2493</v>
      </c>
      <c r="O148" s="344"/>
      <c r="P148" s="344"/>
      <c r="Q148" s="344"/>
      <c r="R148" s="308"/>
      <c r="S148" s="308"/>
      <c r="T148" s="344"/>
      <c r="U148" s="307"/>
      <c r="V148" s="307"/>
      <c r="W148" s="307"/>
      <c r="X148" s="307"/>
      <c r="Y148" s="344"/>
      <c r="Z148" s="344"/>
      <c r="AA148" s="307"/>
      <c r="AB148" s="307"/>
      <c r="AC148" s="307"/>
      <c r="AD148" s="344"/>
      <c r="AE148" s="313" t="s">
        <v>2263</v>
      </c>
      <c r="AF148" s="317" t="s">
        <v>364</v>
      </c>
      <c r="AG148" s="312" t="s">
        <v>1821</v>
      </c>
      <c r="AH148" s="317" t="s">
        <v>2166</v>
      </c>
      <c r="AI148" s="338">
        <v>39</v>
      </c>
      <c r="AJ148" s="310"/>
      <c r="AK148" s="311" t="s">
        <v>2264</v>
      </c>
      <c r="AL148" s="312" t="s">
        <v>751</v>
      </c>
      <c r="AM148" s="312" t="s">
        <v>751</v>
      </c>
      <c r="AN148" s="312" t="s">
        <v>751</v>
      </c>
      <c r="AO148" s="312" t="s">
        <v>751</v>
      </c>
      <c r="AP148" s="312" t="s">
        <v>751</v>
      </c>
      <c r="AQ148" s="312" t="s">
        <v>751</v>
      </c>
      <c r="AR148" s="312" t="s">
        <v>751</v>
      </c>
      <c r="AS148" s="312" t="s">
        <v>751</v>
      </c>
      <c r="AT148" s="312" t="s">
        <v>751</v>
      </c>
      <c r="AU148" s="312" t="s">
        <v>751</v>
      </c>
      <c r="AV148" s="312" t="s">
        <v>751</v>
      </c>
      <c r="AW148" s="312" t="s">
        <v>751</v>
      </c>
      <c r="AX148" s="317" t="s">
        <v>2204</v>
      </c>
      <c r="AY148" s="334" t="s">
        <v>2265</v>
      </c>
    </row>
    <row r="149" spans="1:51" ht="127.5" x14ac:dyDescent="0.25">
      <c r="A149" s="349" t="s">
        <v>201</v>
      </c>
      <c r="B149" s="351"/>
      <c r="C149" s="856"/>
      <c r="D149" s="856"/>
      <c r="E149" s="858"/>
      <c r="F149" s="860"/>
      <c r="G149" s="340"/>
      <c r="H149" s="856"/>
      <c r="I149" s="856"/>
      <c r="J149" s="365"/>
      <c r="K149" s="365"/>
      <c r="L149" s="344"/>
      <c r="M149" s="344"/>
      <c r="N149" s="317" t="s">
        <v>2493</v>
      </c>
      <c r="O149" s="344"/>
      <c r="P149" s="344"/>
      <c r="Q149" s="344"/>
      <c r="R149" s="308"/>
      <c r="S149" s="308"/>
      <c r="T149" s="344"/>
      <c r="U149" s="307"/>
      <c r="V149" s="307"/>
      <c r="W149" s="307"/>
      <c r="X149" s="307"/>
      <c r="Y149" s="344"/>
      <c r="Z149" s="344"/>
      <c r="AA149" s="307"/>
      <c r="AB149" s="307"/>
      <c r="AC149" s="307"/>
      <c r="AD149" s="344"/>
      <c r="AE149" s="313" t="s">
        <v>2497</v>
      </c>
      <c r="AF149" s="317" t="s">
        <v>364</v>
      </c>
      <c r="AG149" s="317" t="s">
        <v>2440</v>
      </c>
      <c r="AH149" s="317" t="s">
        <v>2391</v>
      </c>
      <c r="AI149" s="338"/>
      <c r="AJ149" s="310"/>
      <c r="AK149" s="311"/>
      <c r="AL149" s="312" t="s">
        <v>751</v>
      </c>
      <c r="AM149" s="312" t="s">
        <v>751</v>
      </c>
      <c r="AN149" s="312" t="s">
        <v>751</v>
      </c>
      <c r="AO149" s="312" t="s">
        <v>751</v>
      </c>
      <c r="AP149" s="312" t="s">
        <v>751</v>
      </c>
      <c r="AQ149" s="312" t="s">
        <v>751</v>
      </c>
      <c r="AR149" s="312" t="s">
        <v>751</v>
      </c>
      <c r="AS149" s="312" t="s">
        <v>751</v>
      </c>
      <c r="AT149" s="312" t="s">
        <v>751</v>
      </c>
      <c r="AU149" s="312" t="s">
        <v>751</v>
      </c>
      <c r="AV149" s="312" t="s">
        <v>751</v>
      </c>
      <c r="AW149" s="312" t="s">
        <v>751</v>
      </c>
      <c r="AX149" s="317" t="s">
        <v>2204</v>
      </c>
      <c r="AY149" s="335"/>
    </row>
    <row r="150" spans="1:51" ht="255" x14ac:dyDescent="0.25">
      <c r="A150" s="349" t="s">
        <v>201</v>
      </c>
      <c r="B150" s="351"/>
      <c r="C150" s="856"/>
      <c r="D150" s="856"/>
      <c r="E150" s="858"/>
      <c r="F150" s="860"/>
      <c r="G150" s="340"/>
      <c r="H150" s="856"/>
      <c r="I150" s="856"/>
      <c r="J150" s="365"/>
      <c r="K150" s="365"/>
      <c r="L150" s="344"/>
      <c r="M150" s="344"/>
      <c r="N150" s="317"/>
      <c r="O150" s="344"/>
      <c r="P150" s="344"/>
      <c r="Q150" s="344"/>
      <c r="R150" s="308"/>
      <c r="S150" s="308"/>
      <c r="T150" s="344"/>
      <c r="U150" s="307"/>
      <c r="V150" s="307"/>
      <c r="W150" s="307"/>
      <c r="X150" s="307"/>
      <c r="Y150" s="344"/>
      <c r="Z150" s="344"/>
      <c r="AA150" s="307"/>
      <c r="AB150" s="307"/>
      <c r="AC150" s="307"/>
      <c r="AD150" s="344"/>
      <c r="AE150" s="313" t="s">
        <v>2498</v>
      </c>
      <c r="AF150" s="317" t="s">
        <v>364</v>
      </c>
      <c r="AG150" s="317" t="s">
        <v>2499</v>
      </c>
      <c r="AH150" s="317"/>
      <c r="AI150" s="338"/>
      <c r="AJ150" s="310"/>
      <c r="AK150" s="311" t="s">
        <v>2500</v>
      </c>
      <c r="AL150" s="312"/>
      <c r="AM150" s="312"/>
      <c r="AN150" s="312"/>
      <c r="AO150" s="312"/>
      <c r="AP150" s="312"/>
      <c r="AQ150" s="312"/>
      <c r="AR150" s="312"/>
      <c r="AS150" s="312"/>
      <c r="AT150" s="312"/>
      <c r="AU150" s="312"/>
      <c r="AV150" s="312"/>
      <c r="AW150" s="312"/>
      <c r="AX150" s="317" t="s">
        <v>2204</v>
      </c>
      <c r="AY150" s="313" t="s">
        <v>2501</v>
      </c>
    </row>
    <row r="151" spans="1:51" ht="409.5" x14ac:dyDescent="0.25">
      <c r="A151" s="349" t="s">
        <v>201</v>
      </c>
      <c r="B151" s="351"/>
      <c r="C151" s="856"/>
      <c r="D151" s="856"/>
      <c r="E151" s="858"/>
      <c r="F151" s="860"/>
      <c r="G151" s="340"/>
      <c r="H151" s="856"/>
      <c r="I151" s="856"/>
      <c r="J151" s="365"/>
      <c r="K151" s="365"/>
      <c r="L151" s="344"/>
      <c r="M151" s="344"/>
      <c r="N151" s="317"/>
      <c r="O151" s="344"/>
      <c r="P151" s="344"/>
      <c r="Q151" s="344"/>
      <c r="R151" s="308"/>
      <c r="S151" s="308"/>
      <c r="T151" s="344"/>
      <c r="U151" s="307"/>
      <c r="V151" s="307"/>
      <c r="W151" s="307"/>
      <c r="X151" s="307"/>
      <c r="Y151" s="344"/>
      <c r="Z151" s="344"/>
      <c r="AA151" s="307"/>
      <c r="AB151" s="307"/>
      <c r="AC151" s="307"/>
      <c r="AD151" s="344"/>
      <c r="AE151" s="313" t="s">
        <v>2502</v>
      </c>
      <c r="AF151" s="317" t="s">
        <v>364</v>
      </c>
      <c r="AG151" s="317" t="s">
        <v>2499</v>
      </c>
      <c r="AH151" s="317"/>
      <c r="AI151" s="338"/>
      <c r="AJ151" s="310"/>
      <c r="AK151" s="311" t="s">
        <v>2503</v>
      </c>
      <c r="AL151" s="312"/>
      <c r="AM151" s="312"/>
      <c r="AN151" s="312"/>
      <c r="AO151" s="312"/>
      <c r="AP151" s="312"/>
      <c r="AQ151" s="312"/>
      <c r="AR151" s="312"/>
      <c r="AS151" s="312"/>
      <c r="AT151" s="312"/>
      <c r="AU151" s="312"/>
      <c r="AV151" s="312"/>
      <c r="AW151" s="312"/>
      <c r="AX151" s="317" t="s">
        <v>2204</v>
      </c>
      <c r="AY151" s="313" t="s">
        <v>2504</v>
      </c>
    </row>
    <row r="152" spans="1:51" ht="409.5" x14ac:dyDescent="0.25">
      <c r="A152" s="349" t="s">
        <v>201</v>
      </c>
      <c r="B152" s="351"/>
      <c r="C152" s="856"/>
      <c r="D152" s="856"/>
      <c r="E152" s="858"/>
      <c r="F152" s="860"/>
      <c r="G152" s="340"/>
      <c r="H152" s="856"/>
      <c r="I152" s="856"/>
      <c r="J152" s="365"/>
      <c r="K152" s="365"/>
      <c r="L152" s="344"/>
      <c r="M152" s="344"/>
      <c r="N152" s="317"/>
      <c r="O152" s="344"/>
      <c r="P152" s="344"/>
      <c r="Q152" s="344"/>
      <c r="R152" s="308"/>
      <c r="S152" s="308"/>
      <c r="T152" s="344"/>
      <c r="U152" s="307"/>
      <c r="V152" s="307"/>
      <c r="W152" s="307"/>
      <c r="X152" s="307"/>
      <c r="Y152" s="344"/>
      <c r="Z152" s="344"/>
      <c r="AA152" s="307"/>
      <c r="AB152" s="307"/>
      <c r="AC152" s="307"/>
      <c r="AD152" s="344"/>
      <c r="AE152" s="313" t="s">
        <v>2505</v>
      </c>
      <c r="AF152" s="317" t="s">
        <v>364</v>
      </c>
      <c r="AG152" s="317" t="s">
        <v>2178</v>
      </c>
      <c r="AH152" s="317"/>
      <c r="AI152" s="338"/>
      <c r="AJ152" s="310"/>
      <c r="AK152" s="311" t="s">
        <v>2506</v>
      </c>
      <c r="AL152" s="312" t="s">
        <v>751</v>
      </c>
      <c r="AM152" s="312" t="s">
        <v>751</v>
      </c>
      <c r="AN152" s="312" t="s">
        <v>751</v>
      </c>
      <c r="AO152" s="312" t="s">
        <v>751</v>
      </c>
      <c r="AP152" s="312" t="s">
        <v>751</v>
      </c>
      <c r="AQ152" s="312" t="s">
        <v>751</v>
      </c>
      <c r="AR152" s="312" t="s">
        <v>751</v>
      </c>
      <c r="AS152" s="312" t="s">
        <v>751</v>
      </c>
      <c r="AT152" s="312" t="s">
        <v>751</v>
      </c>
      <c r="AU152" s="312" t="s">
        <v>751</v>
      </c>
      <c r="AV152" s="312" t="s">
        <v>751</v>
      </c>
      <c r="AW152" s="312" t="s">
        <v>751</v>
      </c>
      <c r="AX152" s="317" t="s">
        <v>2204</v>
      </c>
      <c r="AY152" s="313" t="s">
        <v>2507</v>
      </c>
    </row>
    <row r="153" spans="1:51" ht="280.5" x14ac:dyDescent="0.25">
      <c r="A153" s="349" t="s">
        <v>201</v>
      </c>
      <c r="B153" s="351"/>
      <c r="C153" s="856"/>
      <c r="D153" s="856"/>
      <c r="E153" s="858"/>
      <c r="F153" s="860"/>
      <c r="G153" s="340"/>
      <c r="H153" s="856"/>
      <c r="I153" s="856"/>
      <c r="J153" s="365"/>
      <c r="K153" s="365"/>
      <c r="L153" s="344"/>
      <c r="M153" s="344"/>
      <c r="N153" s="317"/>
      <c r="O153" s="344"/>
      <c r="P153" s="344"/>
      <c r="Q153" s="344"/>
      <c r="R153" s="308"/>
      <c r="S153" s="308"/>
      <c r="T153" s="344"/>
      <c r="U153" s="307"/>
      <c r="V153" s="307"/>
      <c r="W153" s="307"/>
      <c r="X153" s="307"/>
      <c r="Y153" s="344"/>
      <c r="Z153" s="344"/>
      <c r="AA153" s="307"/>
      <c r="AB153" s="307"/>
      <c r="AC153" s="307"/>
      <c r="AD153" s="344"/>
      <c r="AE153" s="347" t="s">
        <v>2508</v>
      </c>
      <c r="AF153" s="317" t="s">
        <v>364</v>
      </c>
      <c r="AG153" s="312" t="s">
        <v>2509</v>
      </c>
      <c r="AH153" s="312" t="s">
        <v>2138</v>
      </c>
      <c r="AI153" s="338">
        <f>53*5</f>
        <v>265</v>
      </c>
      <c r="AJ153" s="310">
        <v>4670832.7319999998</v>
      </c>
      <c r="AK153" s="311" t="s">
        <v>2510</v>
      </c>
      <c r="AL153" s="312" t="s">
        <v>751</v>
      </c>
      <c r="AM153" s="312" t="s">
        <v>751</v>
      </c>
      <c r="AN153" s="312" t="s">
        <v>751</v>
      </c>
      <c r="AO153" s="312" t="s">
        <v>751</v>
      </c>
      <c r="AP153" s="312" t="s">
        <v>751</v>
      </c>
      <c r="AQ153" s="312" t="s">
        <v>751</v>
      </c>
      <c r="AR153" s="312" t="s">
        <v>751</v>
      </c>
      <c r="AS153" s="312" t="s">
        <v>751</v>
      </c>
      <c r="AT153" s="312" t="s">
        <v>751</v>
      </c>
      <c r="AU153" s="312" t="s">
        <v>751</v>
      </c>
      <c r="AV153" s="312" t="s">
        <v>751</v>
      </c>
      <c r="AW153" s="312" t="s">
        <v>751</v>
      </c>
      <c r="AX153" s="317" t="s">
        <v>2511</v>
      </c>
      <c r="AY153" s="348" t="s">
        <v>2192</v>
      </c>
    </row>
    <row r="154" spans="1:51" ht="76.5" x14ac:dyDescent="0.25">
      <c r="A154" s="349" t="s">
        <v>201</v>
      </c>
      <c r="B154" s="351"/>
      <c r="C154" s="856"/>
      <c r="D154" s="856"/>
      <c r="E154" s="858"/>
      <c r="F154" s="860"/>
      <c r="G154" s="351"/>
      <c r="H154" s="856"/>
      <c r="I154" s="856"/>
      <c r="J154" s="367"/>
      <c r="K154" s="365"/>
      <c r="L154" s="344"/>
      <c r="M154" s="307"/>
      <c r="N154" s="312"/>
      <c r="O154" s="308"/>
      <c r="P154" s="308"/>
      <c r="Q154" s="308"/>
      <c r="R154" s="308"/>
      <c r="S154" s="308"/>
      <c r="T154" s="308"/>
      <c r="U154" s="308"/>
      <c r="V154" s="308"/>
      <c r="W154" s="308"/>
      <c r="X154" s="308"/>
      <c r="Y154" s="308"/>
      <c r="Z154" s="308"/>
      <c r="AA154" s="308"/>
      <c r="AB154" s="308"/>
      <c r="AC154" s="308"/>
      <c r="AD154" s="308"/>
      <c r="AE154" s="307"/>
      <c r="AF154" s="317" t="s">
        <v>364</v>
      </c>
      <c r="AG154" s="307"/>
      <c r="AH154" s="307"/>
      <c r="AI154" s="307"/>
      <c r="AJ154" s="310"/>
      <c r="AK154" s="311"/>
      <c r="AL154" s="328"/>
      <c r="AM154" s="328"/>
      <c r="AN154" s="328"/>
      <c r="AO154" s="328"/>
      <c r="AP154" s="328"/>
      <c r="AQ154" s="328"/>
      <c r="AR154" s="328"/>
      <c r="AS154" s="328"/>
      <c r="AT154" s="328"/>
      <c r="AU154" s="328"/>
      <c r="AV154" s="328"/>
      <c r="AW154" s="328"/>
      <c r="AX154" s="308"/>
      <c r="AY154" s="307"/>
    </row>
  </sheetData>
  <sheetProtection password="C71C" sheet="1" objects="1" scenarios="1"/>
  <mergeCells count="119">
    <mergeCell ref="F143:F154"/>
    <mergeCell ref="G143:G147"/>
    <mergeCell ref="H143:H146"/>
    <mergeCell ref="I143:I146"/>
    <mergeCell ref="H147:H154"/>
    <mergeCell ref="I147:I154"/>
    <mergeCell ref="B138:B142"/>
    <mergeCell ref="F138:F142"/>
    <mergeCell ref="H138:H142"/>
    <mergeCell ref="I138:I142"/>
    <mergeCell ref="B143:B146"/>
    <mergeCell ref="C143:C154"/>
    <mergeCell ref="D143:D154"/>
    <mergeCell ref="E143:E154"/>
    <mergeCell ref="C131:C142"/>
    <mergeCell ref="D131:D142"/>
    <mergeCell ref="E131:E142"/>
    <mergeCell ref="F131:F137"/>
    <mergeCell ref="G131:G138"/>
    <mergeCell ref="H131:H137"/>
    <mergeCell ref="I131:I137"/>
    <mergeCell ref="G85:G127"/>
    <mergeCell ref="H85:H98"/>
    <mergeCell ref="I85:I98"/>
    <mergeCell ref="C99:C107"/>
    <mergeCell ref="D99:D107"/>
    <mergeCell ref="E99:E105"/>
    <mergeCell ref="H99:H104"/>
    <mergeCell ref="I99:I104"/>
    <mergeCell ref="I105:I107"/>
    <mergeCell ref="C108:C127"/>
    <mergeCell ref="D108:D127"/>
    <mergeCell ref="E108:E127"/>
    <mergeCell ref="H108:H114"/>
    <mergeCell ref="I108:I114"/>
    <mergeCell ref="H115:H126"/>
    <mergeCell ref="I115:I126"/>
    <mergeCell ref="H127:H130"/>
    <mergeCell ref="I127:I130"/>
    <mergeCell ref="H105:H107"/>
    <mergeCell ref="H52:H58"/>
    <mergeCell ref="I52:I58"/>
    <mergeCell ref="C59:C60"/>
    <mergeCell ref="D59:D60"/>
    <mergeCell ref="C61:C65"/>
    <mergeCell ref="D61:D65"/>
    <mergeCell ref="E61:E65"/>
    <mergeCell ref="H61:H63"/>
    <mergeCell ref="I61:I63"/>
    <mergeCell ref="C13:C52"/>
    <mergeCell ref="D13:D14"/>
    <mergeCell ref="G13:G15"/>
    <mergeCell ref="H64:H65"/>
    <mergeCell ref="I64:I65"/>
    <mergeCell ref="H29:H43"/>
    <mergeCell ref="I29:I43"/>
    <mergeCell ref="H44:H45"/>
    <mergeCell ref="I44:I45"/>
    <mergeCell ref="AS11:AS12"/>
    <mergeCell ref="AT11:AT12"/>
    <mergeCell ref="AU11:AU12"/>
    <mergeCell ref="AV11:AV12"/>
    <mergeCell ref="AW11:AW12"/>
    <mergeCell ref="H13:H14"/>
    <mergeCell ref="I13:I14"/>
    <mergeCell ref="AM11:AM12"/>
    <mergeCell ref="AN11:AN12"/>
    <mergeCell ref="AO11:AO12"/>
    <mergeCell ref="AP11:AP12"/>
    <mergeCell ref="AQ11:AQ12"/>
    <mergeCell ref="AR11:AR12"/>
    <mergeCell ref="Z11:Z12"/>
    <mergeCell ref="AA11:AA12"/>
    <mergeCell ref="AB11:AB12"/>
    <mergeCell ref="AC11:AC12"/>
    <mergeCell ref="AD11:AD12"/>
    <mergeCell ref="AL11:AL12"/>
    <mergeCell ref="L10:L12"/>
    <mergeCell ref="AX10:AX12"/>
    <mergeCell ref="AY10:AY12"/>
    <mergeCell ref="N11:N12"/>
    <mergeCell ref="O11:O12"/>
    <mergeCell ref="Q11:Q12"/>
    <mergeCell ref="R11:R12"/>
    <mergeCell ref="S11:S12"/>
    <mergeCell ref="T11:T12"/>
    <mergeCell ref="U11:U12"/>
    <mergeCell ref="AF10:AF12"/>
    <mergeCell ref="AG10:AG12"/>
    <mergeCell ref="AH10:AH12"/>
    <mergeCell ref="AI10:AI12"/>
    <mergeCell ref="AJ10:AJ12"/>
    <mergeCell ref="AK10:AK12"/>
    <mergeCell ref="N10:O10"/>
    <mergeCell ref="P10:P12"/>
    <mergeCell ref="Q10:AD10"/>
    <mergeCell ref="AE10:AE12"/>
    <mergeCell ref="V11:V12"/>
    <mergeCell ref="W11:W12"/>
    <mergeCell ref="X11:X12"/>
    <mergeCell ref="Y11:Y12"/>
    <mergeCell ref="AL10:AW10"/>
    <mergeCell ref="F10:F12"/>
    <mergeCell ref="G10:G12"/>
    <mergeCell ref="H10:H12"/>
    <mergeCell ref="I10:I12"/>
    <mergeCell ref="J10:J12"/>
    <mergeCell ref="K10:K12"/>
    <mergeCell ref="A2:L2"/>
    <mergeCell ref="A3:L3"/>
    <mergeCell ref="A4:L4"/>
    <mergeCell ref="A5:L5"/>
    <mergeCell ref="A7:M7"/>
    <mergeCell ref="B10:B12"/>
    <mergeCell ref="C10:C12"/>
    <mergeCell ref="D10:D12"/>
    <mergeCell ref="E10:E12"/>
    <mergeCell ref="M10:M12"/>
    <mergeCell ref="A10:A1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2"/>
  <sheetViews>
    <sheetView zoomScale="80" zoomScaleNormal="80" workbookViewId="0">
      <selection activeCell="AE13" sqref="AE13"/>
    </sheetView>
  </sheetViews>
  <sheetFormatPr baseColWidth="10" defaultRowHeight="15" x14ac:dyDescent="0.25"/>
  <cols>
    <col min="38" max="49" width="4.7109375" customWidth="1"/>
  </cols>
  <sheetData>
    <row r="1" spans="1:51" x14ac:dyDescent="0.25">
      <c r="A1" s="126"/>
      <c r="B1" s="126"/>
      <c r="C1" s="126"/>
      <c r="D1" s="126"/>
      <c r="E1" s="126"/>
      <c r="F1" s="126"/>
      <c r="G1" s="126"/>
      <c r="H1" s="127"/>
      <c r="I1" s="126"/>
      <c r="J1" s="126"/>
      <c r="K1" s="126"/>
      <c r="L1" s="126"/>
      <c r="M1" s="129"/>
      <c r="N1" s="129"/>
      <c r="O1" s="129"/>
      <c r="P1" s="371"/>
      <c r="Q1" s="371"/>
      <c r="R1" s="129"/>
      <c r="S1" s="129"/>
      <c r="T1" s="129"/>
      <c r="U1" s="129"/>
      <c r="V1" s="129"/>
      <c r="W1" s="129"/>
      <c r="X1" s="129"/>
      <c r="Y1" s="129"/>
      <c r="Z1" s="129"/>
      <c r="AA1" s="129"/>
      <c r="AB1" s="129"/>
      <c r="AC1" s="129"/>
      <c r="AD1" s="129"/>
      <c r="AE1" s="129"/>
      <c r="AF1" s="129"/>
      <c r="AG1" s="371"/>
      <c r="AH1" s="129"/>
      <c r="AI1" s="129"/>
      <c r="AJ1" s="371"/>
      <c r="AK1" s="129"/>
      <c r="AL1" s="129"/>
      <c r="AM1" s="129"/>
      <c r="AN1" s="129"/>
      <c r="AO1" s="129"/>
      <c r="AP1" s="129"/>
      <c r="AQ1" s="129"/>
      <c r="AR1" s="129"/>
      <c r="AS1" s="129"/>
      <c r="AT1" s="129"/>
      <c r="AU1" s="129"/>
      <c r="AV1" s="129"/>
      <c r="AW1" s="129"/>
      <c r="AX1" s="129"/>
      <c r="AY1" s="129"/>
    </row>
    <row r="2" spans="1:51" ht="18" x14ac:dyDescent="0.25">
      <c r="A2" s="862" t="s">
        <v>0</v>
      </c>
      <c r="B2" s="862"/>
      <c r="C2" s="862"/>
      <c r="D2" s="862"/>
      <c r="E2" s="862"/>
      <c r="F2" s="862"/>
      <c r="G2" s="862"/>
      <c r="H2" s="862"/>
      <c r="I2" s="862"/>
      <c r="J2" s="862"/>
      <c r="K2" s="862"/>
      <c r="L2" s="862"/>
      <c r="M2" s="129"/>
      <c r="N2" s="129"/>
      <c r="O2" s="129"/>
      <c r="P2" s="371"/>
      <c r="Q2" s="371"/>
      <c r="R2" s="129"/>
      <c r="S2" s="129"/>
      <c r="T2" s="129"/>
      <c r="U2" s="129"/>
      <c r="V2" s="129"/>
      <c r="W2" s="129"/>
      <c r="X2" s="129"/>
      <c r="Y2" s="129"/>
      <c r="Z2" s="129"/>
      <c r="AA2" s="129"/>
      <c r="AB2" s="129"/>
      <c r="AC2" s="129"/>
      <c r="AD2" s="129"/>
      <c r="AE2" s="129"/>
      <c r="AF2" s="129"/>
      <c r="AG2" s="371"/>
      <c r="AH2" s="129"/>
      <c r="AI2" s="129"/>
      <c r="AJ2" s="371"/>
      <c r="AK2" s="129"/>
      <c r="AL2" s="129"/>
      <c r="AM2" s="129"/>
      <c r="AN2" s="129"/>
      <c r="AO2" s="129"/>
      <c r="AP2" s="129"/>
      <c r="AQ2" s="129"/>
      <c r="AR2" s="129"/>
      <c r="AS2" s="129"/>
      <c r="AT2" s="129"/>
      <c r="AU2" s="129"/>
      <c r="AV2" s="129"/>
      <c r="AW2" s="129"/>
      <c r="AX2" s="129"/>
      <c r="AY2" s="129"/>
    </row>
    <row r="3" spans="1:51" ht="18" x14ac:dyDescent="0.25">
      <c r="A3" s="863" t="s">
        <v>1</v>
      </c>
      <c r="B3" s="863"/>
      <c r="C3" s="863"/>
      <c r="D3" s="863"/>
      <c r="E3" s="863"/>
      <c r="F3" s="863"/>
      <c r="G3" s="863"/>
      <c r="H3" s="863"/>
      <c r="I3" s="863"/>
      <c r="J3" s="863"/>
      <c r="K3" s="863"/>
      <c r="L3" s="863"/>
      <c r="M3" s="129"/>
      <c r="N3" s="129"/>
      <c r="O3" s="129"/>
      <c r="P3" s="371"/>
      <c r="Q3" s="371"/>
      <c r="R3" s="129"/>
      <c r="S3" s="129"/>
      <c r="T3" s="129"/>
      <c r="U3" s="129"/>
      <c r="V3" s="129"/>
      <c r="W3" s="129"/>
      <c r="X3" s="129"/>
      <c r="Y3" s="129"/>
      <c r="Z3" s="129"/>
      <c r="AA3" s="129"/>
      <c r="AB3" s="129"/>
      <c r="AC3" s="129"/>
      <c r="AD3" s="129"/>
      <c r="AE3" s="129"/>
      <c r="AF3" s="129"/>
      <c r="AG3" s="371"/>
      <c r="AH3" s="129"/>
      <c r="AI3" s="129"/>
      <c r="AJ3" s="371"/>
      <c r="AK3" s="129"/>
      <c r="AL3" s="129"/>
      <c r="AM3" s="129"/>
      <c r="AN3" s="129"/>
      <c r="AO3" s="129"/>
      <c r="AP3" s="129"/>
      <c r="AQ3" s="129"/>
      <c r="AR3" s="129"/>
      <c r="AS3" s="129"/>
      <c r="AT3" s="129"/>
      <c r="AU3" s="129"/>
      <c r="AV3" s="129"/>
      <c r="AW3" s="129"/>
      <c r="AX3" s="129"/>
      <c r="AY3" s="129"/>
    </row>
    <row r="4" spans="1:51" x14ac:dyDescent="0.25">
      <c r="A4" s="372"/>
      <c r="B4" s="127"/>
      <c r="C4" s="127"/>
      <c r="D4" s="127"/>
      <c r="E4" s="127"/>
      <c r="F4" s="127"/>
      <c r="G4" s="127"/>
      <c r="H4" s="127"/>
      <c r="I4" s="127"/>
      <c r="J4" s="127"/>
      <c r="K4" s="127"/>
      <c r="L4" s="127"/>
      <c r="M4" s="129"/>
      <c r="N4" s="129"/>
      <c r="O4" s="129"/>
      <c r="P4" s="371"/>
      <c r="Q4" s="371"/>
      <c r="R4" s="129"/>
      <c r="S4" s="129"/>
      <c r="T4" s="129"/>
      <c r="U4" s="129"/>
      <c r="V4" s="129"/>
      <c r="W4" s="129"/>
      <c r="X4" s="129"/>
      <c r="Y4" s="129"/>
      <c r="Z4" s="129"/>
      <c r="AA4" s="129"/>
      <c r="AB4" s="129"/>
      <c r="AC4" s="129"/>
      <c r="AD4" s="129"/>
      <c r="AE4" s="129"/>
      <c r="AF4" s="129"/>
      <c r="AG4" s="371"/>
      <c r="AH4" s="129"/>
      <c r="AI4" s="129"/>
      <c r="AJ4" s="371"/>
      <c r="AK4" s="129"/>
      <c r="AL4" s="129"/>
      <c r="AM4" s="129"/>
      <c r="AN4" s="129"/>
      <c r="AO4" s="129"/>
      <c r="AP4" s="129"/>
      <c r="AQ4" s="129"/>
      <c r="AR4" s="129"/>
      <c r="AS4" s="129"/>
      <c r="AT4" s="129"/>
      <c r="AU4" s="129"/>
      <c r="AV4" s="129"/>
      <c r="AW4" s="129"/>
      <c r="AX4" s="129"/>
      <c r="AY4" s="129"/>
    </row>
    <row r="5" spans="1:51" ht="18" x14ac:dyDescent="0.25">
      <c r="A5" s="830" t="s">
        <v>2</v>
      </c>
      <c r="B5" s="830"/>
      <c r="C5" s="830"/>
      <c r="D5" s="830"/>
      <c r="E5" s="830"/>
      <c r="F5" s="830"/>
      <c r="G5" s="830"/>
      <c r="H5" s="830"/>
      <c r="I5" s="830"/>
      <c r="J5" s="830"/>
      <c r="K5" s="830"/>
      <c r="L5" s="830"/>
      <c r="M5" s="129"/>
      <c r="N5" s="129"/>
      <c r="O5" s="129"/>
      <c r="P5" s="371"/>
      <c r="Q5" s="371"/>
      <c r="R5" s="129"/>
      <c r="S5" s="129"/>
      <c r="T5" s="129"/>
      <c r="U5" s="129"/>
      <c r="V5" s="129"/>
      <c r="W5" s="129"/>
      <c r="X5" s="129"/>
      <c r="Y5" s="129"/>
      <c r="Z5" s="129"/>
      <c r="AA5" s="129"/>
      <c r="AB5" s="129"/>
      <c r="AC5" s="129"/>
      <c r="AD5" s="129"/>
      <c r="AE5" s="129"/>
      <c r="AF5" s="129"/>
      <c r="AG5" s="371"/>
      <c r="AH5" s="129"/>
      <c r="AI5" s="129"/>
      <c r="AJ5" s="371"/>
      <c r="AK5" s="129"/>
      <c r="AL5" s="129"/>
      <c r="AM5" s="129"/>
      <c r="AN5" s="129"/>
      <c r="AO5" s="129"/>
      <c r="AP5" s="129"/>
      <c r="AQ5" s="129"/>
      <c r="AR5" s="129"/>
      <c r="AS5" s="129"/>
      <c r="AT5" s="129"/>
      <c r="AU5" s="129"/>
      <c r="AV5" s="129"/>
      <c r="AW5" s="129"/>
      <c r="AX5" s="129"/>
      <c r="AY5" s="129"/>
    </row>
    <row r="6" spans="1:51" ht="18" x14ac:dyDescent="0.25">
      <c r="A6" s="862" t="s">
        <v>321</v>
      </c>
      <c r="B6" s="862"/>
      <c r="C6" s="862"/>
      <c r="D6" s="862"/>
      <c r="E6" s="862"/>
      <c r="F6" s="862"/>
      <c r="G6" s="862"/>
      <c r="H6" s="862"/>
      <c r="I6" s="862"/>
      <c r="J6" s="862"/>
      <c r="K6" s="862"/>
      <c r="L6" s="862"/>
      <c r="M6" s="129"/>
      <c r="N6" s="129"/>
      <c r="O6" s="129"/>
      <c r="P6" s="371"/>
      <c r="Q6" s="371"/>
      <c r="R6" s="129"/>
      <c r="S6" s="129"/>
      <c r="T6" s="129"/>
      <c r="U6" s="129"/>
      <c r="V6" s="129"/>
      <c r="W6" s="129"/>
      <c r="X6" s="129"/>
      <c r="Y6" s="129"/>
      <c r="Z6" s="129"/>
      <c r="AA6" s="129"/>
      <c r="AB6" s="129"/>
      <c r="AC6" s="129"/>
      <c r="AD6" s="129"/>
      <c r="AE6" s="129"/>
      <c r="AF6" s="129"/>
      <c r="AG6" s="371"/>
      <c r="AH6" s="129"/>
      <c r="AI6" s="129"/>
      <c r="AJ6" s="371"/>
      <c r="AK6" s="129"/>
      <c r="AL6" s="129"/>
      <c r="AM6" s="129"/>
      <c r="AN6" s="129"/>
      <c r="AO6" s="129"/>
      <c r="AP6" s="129"/>
      <c r="AQ6" s="129"/>
      <c r="AR6" s="129"/>
      <c r="AS6" s="129"/>
      <c r="AT6" s="129"/>
      <c r="AU6" s="129"/>
      <c r="AV6" s="129"/>
      <c r="AW6" s="129"/>
      <c r="AX6" s="129"/>
      <c r="AY6" s="129"/>
    </row>
    <row r="7" spans="1:51" x14ac:dyDescent="0.25">
      <c r="A7" s="861" t="s">
        <v>2771</v>
      </c>
      <c r="B7" s="861"/>
      <c r="C7" s="861"/>
      <c r="D7" s="861"/>
      <c r="E7" s="861"/>
      <c r="F7" s="861"/>
      <c r="G7" s="861"/>
      <c r="H7" s="861"/>
      <c r="I7" s="861"/>
      <c r="J7" s="861"/>
      <c r="K7" s="861"/>
      <c r="L7" s="861"/>
      <c r="M7" s="861"/>
      <c r="N7" s="129"/>
      <c r="O7" s="129"/>
      <c r="P7" s="371"/>
      <c r="Q7" s="371"/>
      <c r="R7" s="129"/>
      <c r="S7" s="129"/>
      <c r="T7" s="129"/>
      <c r="U7" s="129"/>
      <c r="V7" s="129"/>
      <c r="W7" s="129"/>
      <c r="X7" s="129"/>
      <c r="Y7" s="129"/>
      <c r="Z7" s="129"/>
      <c r="AA7" s="129"/>
      <c r="AB7" s="129"/>
      <c r="AC7" s="129"/>
      <c r="AD7" s="129"/>
      <c r="AE7" s="129"/>
      <c r="AF7" s="129"/>
      <c r="AG7" s="371"/>
      <c r="AH7" s="129"/>
      <c r="AI7" s="129"/>
      <c r="AJ7" s="371"/>
      <c r="AK7" s="129"/>
      <c r="AL7" s="129"/>
      <c r="AM7" s="129"/>
      <c r="AN7" s="129"/>
      <c r="AO7" s="129"/>
      <c r="AP7" s="129"/>
      <c r="AQ7" s="129"/>
      <c r="AR7" s="129"/>
      <c r="AS7" s="129"/>
      <c r="AT7" s="129"/>
      <c r="AU7" s="129"/>
      <c r="AV7" s="129"/>
      <c r="AW7" s="129"/>
      <c r="AX7" s="129"/>
      <c r="AY7" s="129"/>
    </row>
    <row r="8" spans="1:51" x14ac:dyDescent="0.25">
      <c r="A8" s="861" t="s">
        <v>1448</v>
      </c>
      <c r="B8" s="861"/>
      <c r="C8" s="861"/>
      <c r="D8" s="861"/>
      <c r="E8" s="861"/>
      <c r="F8" s="861"/>
      <c r="G8" s="861"/>
      <c r="H8" s="861"/>
      <c r="I8" s="861"/>
      <c r="J8" s="861"/>
      <c r="K8" s="861"/>
      <c r="L8" s="861"/>
      <c r="M8" s="861"/>
      <c r="N8" s="129"/>
      <c r="O8" s="129"/>
      <c r="P8" s="371"/>
      <c r="Q8" s="371"/>
      <c r="R8" s="129"/>
      <c r="S8" s="129"/>
      <c r="T8" s="129"/>
      <c r="U8" s="129"/>
      <c r="V8" s="129"/>
      <c r="W8" s="129"/>
      <c r="X8" s="129"/>
      <c r="Y8" s="129"/>
      <c r="Z8" s="129"/>
      <c r="AA8" s="129"/>
      <c r="AB8" s="129"/>
      <c r="AC8" s="129"/>
      <c r="AD8" s="129"/>
      <c r="AE8" s="129"/>
      <c r="AF8" s="129"/>
      <c r="AG8" s="371"/>
      <c r="AH8" s="129"/>
      <c r="AI8" s="129"/>
      <c r="AJ8" s="371"/>
      <c r="AK8" s="129"/>
      <c r="AL8" s="129"/>
      <c r="AM8" s="129"/>
      <c r="AN8" s="129"/>
      <c r="AO8" s="129"/>
      <c r="AP8" s="129"/>
      <c r="AQ8" s="129"/>
      <c r="AR8" s="129"/>
      <c r="AS8" s="129"/>
      <c r="AT8" s="129"/>
      <c r="AU8" s="129"/>
      <c r="AV8" s="129"/>
      <c r="AW8" s="129"/>
      <c r="AX8" s="129"/>
      <c r="AY8" s="129"/>
    </row>
    <row r="9" spans="1:51" x14ac:dyDescent="0.25">
      <c r="A9" s="126"/>
      <c r="B9" s="126"/>
      <c r="C9" s="126"/>
      <c r="D9" s="126"/>
      <c r="E9" s="126"/>
      <c r="F9" s="126"/>
      <c r="G9" s="126"/>
      <c r="H9" s="127"/>
      <c r="I9" s="126"/>
      <c r="J9" s="126"/>
      <c r="K9" s="126"/>
      <c r="L9" s="126"/>
      <c r="M9" s="129"/>
      <c r="N9" s="129"/>
      <c r="O9" s="129"/>
      <c r="P9" s="371"/>
      <c r="Q9" s="371"/>
      <c r="R9" s="129"/>
      <c r="S9" s="129"/>
      <c r="T9" s="129"/>
      <c r="U9" s="129"/>
      <c r="V9" s="129"/>
      <c r="W9" s="129"/>
      <c r="X9" s="129"/>
      <c r="Y9" s="129"/>
      <c r="Z9" s="129"/>
      <c r="AA9" s="129"/>
      <c r="AB9" s="129"/>
      <c r="AC9" s="129"/>
      <c r="AD9" s="129"/>
      <c r="AE9" s="129"/>
      <c r="AF9" s="129"/>
      <c r="AG9" s="371"/>
      <c r="AH9" s="129"/>
      <c r="AI9" s="129"/>
      <c r="AJ9" s="371"/>
      <c r="AK9" s="129"/>
      <c r="AL9" s="129"/>
      <c r="AM9" s="129"/>
      <c r="AN9" s="129"/>
      <c r="AO9" s="129"/>
      <c r="AP9" s="129"/>
      <c r="AQ9" s="129"/>
      <c r="AR9" s="129"/>
      <c r="AS9" s="129"/>
      <c r="AT9" s="129"/>
      <c r="AU9" s="129"/>
      <c r="AV9" s="129"/>
      <c r="AW9" s="129"/>
      <c r="AX9" s="129"/>
      <c r="AY9" s="129"/>
    </row>
    <row r="10" spans="1:51" ht="61.5" customHeight="1" x14ac:dyDescent="0.25">
      <c r="A10" s="866" t="s">
        <v>3</v>
      </c>
      <c r="B10" s="866" t="s">
        <v>4</v>
      </c>
      <c r="C10" s="864" t="s">
        <v>5</v>
      </c>
      <c r="D10" s="864" t="s">
        <v>6</v>
      </c>
      <c r="E10" s="864" t="s">
        <v>7</v>
      </c>
      <c r="F10" s="864" t="s">
        <v>8</v>
      </c>
      <c r="G10" s="864" t="s">
        <v>9</v>
      </c>
      <c r="H10" s="864" t="s">
        <v>10</v>
      </c>
      <c r="I10" s="864" t="s">
        <v>11</v>
      </c>
      <c r="J10" s="864" t="s">
        <v>2529</v>
      </c>
      <c r="K10" s="864" t="s">
        <v>13</v>
      </c>
      <c r="L10" s="864" t="s">
        <v>14</v>
      </c>
      <c r="M10" s="869" t="s">
        <v>325</v>
      </c>
      <c r="N10" s="853" t="s">
        <v>11</v>
      </c>
      <c r="O10" s="853"/>
      <c r="P10" s="853" t="s">
        <v>326</v>
      </c>
      <c r="Q10" s="853" t="s">
        <v>15</v>
      </c>
      <c r="R10" s="853"/>
      <c r="S10" s="853"/>
      <c r="T10" s="853"/>
      <c r="U10" s="853"/>
      <c r="V10" s="853"/>
      <c r="W10" s="853"/>
      <c r="X10" s="853"/>
      <c r="Y10" s="853"/>
      <c r="Z10" s="853"/>
      <c r="AA10" s="853"/>
      <c r="AB10" s="853"/>
      <c r="AC10" s="853"/>
      <c r="AD10" s="853"/>
      <c r="AE10" s="853" t="s">
        <v>16</v>
      </c>
      <c r="AF10" s="853" t="s">
        <v>17</v>
      </c>
      <c r="AG10" s="853" t="s">
        <v>618</v>
      </c>
      <c r="AH10" s="869" t="s">
        <v>19</v>
      </c>
      <c r="AI10" s="853" t="s">
        <v>619</v>
      </c>
      <c r="AJ10" s="853" t="s">
        <v>568</v>
      </c>
      <c r="AK10" s="853" t="s">
        <v>21</v>
      </c>
      <c r="AL10" s="854" t="s">
        <v>22</v>
      </c>
      <c r="AM10" s="854"/>
      <c r="AN10" s="854"/>
      <c r="AO10" s="854"/>
      <c r="AP10" s="854"/>
      <c r="AQ10" s="854"/>
      <c r="AR10" s="854"/>
      <c r="AS10" s="854"/>
      <c r="AT10" s="854"/>
      <c r="AU10" s="854"/>
      <c r="AV10" s="854"/>
      <c r="AW10" s="854"/>
      <c r="AX10" s="854" t="s">
        <v>23</v>
      </c>
      <c r="AY10" s="871" t="s">
        <v>24</v>
      </c>
    </row>
    <row r="11" spans="1:51" ht="63.75" x14ac:dyDescent="0.25">
      <c r="A11" s="867"/>
      <c r="B11" s="867"/>
      <c r="C11" s="868"/>
      <c r="D11" s="868"/>
      <c r="E11" s="868"/>
      <c r="F11" s="865"/>
      <c r="G11" s="865"/>
      <c r="H11" s="865"/>
      <c r="I11" s="865"/>
      <c r="J11" s="865"/>
      <c r="K11" s="865"/>
      <c r="L11" s="865"/>
      <c r="M11" s="882"/>
      <c r="N11" s="195" t="s">
        <v>25</v>
      </c>
      <c r="O11" s="195" t="s">
        <v>26</v>
      </c>
      <c r="P11" s="869"/>
      <c r="Q11" s="379" t="s">
        <v>27</v>
      </c>
      <c r="R11" s="379" t="s">
        <v>28</v>
      </c>
      <c r="S11" s="379" t="s">
        <v>29</v>
      </c>
      <c r="T11" s="379" t="s">
        <v>2530</v>
      </c>
      <c r="U11" s="379" t="s">
        <v>30</v>
      </c>
      <c r="V11" s="379" t="s">
        <v>1449</v>
      </c>
      <c r="W11" s="379" t="s">
        <v>1450</v>
      </c>
      <c r="X11" s="379" t="s">
        <v>33</v>
      </c>
      <c r="Y11" s="379" t="s">
        <v>34</v>
      </c>
      <c r="Z11" s="379" t="s">
        <v>624</v>
      </c>
      <c r="AA11" s="379" t="s">
        <v>36</v>
      </c>
      <c r="AB11" s="379" t="s">
        <v>37</v>
      </c>
      <c r="AC11" s="379" t="s">
        <v>38</v>
      </c>
      <c r="AD11" s="379" t="s">
        <v>39</v>
      </c>
      <c r="AE11" s="869"/>
      <c r="AF11" s="869"/>
      <c r="AG11" s="869"/>
      <c r="AH11" s="882"/>
      <c r="AI11" s="869"/>
      <c r="AJ11" s="869"/>
      <c r="AK11" s="883"/>
      <c r="AL11" s="380" t="s">
        <v>40</v>
      </c>
      <c r="AM11" s="380" t="s">
        <v>41</v>
      </c>
      <c r="AN11" s="380" t="s">
        <v>42</v>
      </c>
      <c r="AO11" s="380" t="s">
        <v>43</v>
      </c>
      <c r="AP11" s="380" t="s">
        <v>42</v>
      </c>
      <c r="AQ11" s="380" t="s">
        <v>44</v>
      </c>
      <c r="AR11" s="380" t="s">
        <v>44</v>
      </c>
      <c r="AS11" s="380" t="s">
        <v>43</v>
      </c>
      <c r="AT11" s="380" t="s">
        <v>45</v>
      </c>
      <c r="AU11" s="380" t="s">
        <v>46</v>
      </c>
      <c r="AV11" s="380" t="s">
        <v>47</v>
      </c>
      <c r="AW11" s="380" t="s">
        <v>48</v>
      </c>
      <c r="AX11" s="870"/>
      <c r="AY11" s="872"/>
    </row>
    <row r="12" spans="1:51" ht="220.5" customHeight="1" x14ac:dyDescent="0.25">
      <c r="A12" s="270" t="s">
        <v>201</v>
      </c>
      <c r="B12" s="270" t="s">
        <v>2531</v>
      </c>
      <c r="C12" s="873" t="s">
        <v>2532</v>
      </c>
      <c r="D12" s="873" t="s">
        <v>2533</v>
      </c>
      <c r="E12" s="877" t="s">
        <v>2534</v>
      </c>
      <c r="F12" s="246" t="s">
        <v>2535</v>
      </c>
      <c r="G12" s="875" t="s">
        <v>2536</v>
      </c>
      <c r="H12" s="176" t="s">
        <v>2537</v>
      </c>
      <c r="I12" s="176" t="s">
        <v>2538</v>
      </c>
      <c r="J12" s="176">
        <v>0</v>
      </c>
      <c r="K12" s="221" t="s">
        <v>323</v>
      </c>
      <c r="L12" s="221">
        <v>1</v>
      </c>
      <c r="M12" s="382">
        <v>0.45</v>
      </c>
      <c r="N12" s="383" t="str">
        <f t="shared" ref="N12:N23" si="0">+I12</f>
        <v>Número de centros de estudios económicos y de desarrollo implementados</v>
      </c>
      <c r="O12" s="384">
        <f>J12</f>
        <v>0</v>
      </c>
      <c r="P12" s="385">
        <f>Q12+R12+S12+T12+U12+V12+W12+X12+Y12+Z12+AA12+AB12+AC12+AD12</f>
        <v>117000</v>
      </c>
      <c r="Q12" s="385">
        <v>117000</v>
      </c>
      <c r="R12" s="386"/>
      <c r="S12" s="387"/>
      <c r="T12" s="387"/>
      <c r="U12" s="387"/>
      <c r="V12" s="387"/>
      <c r="W12" s="387"/>
      <c r="X12" s="387"/>
      <c r="Y12" s="387"/>
      <c r="Z12" s="387"/>
      <c r="AA12" s="387"/>
      <c r="AB12" s="387"/>
      <c r="AC12" s="387"/>
      <c r="AD12" s="387"/>
      <c r="AE12" s="383" t="s">
        <v>2539</v>
      </c>
      <c r="AF12" s="388" t="s">
        <v>2540</v>
      </c>
      <c r="AG12" s="384" t="s">
        <v>553</v>
      </c>
      <c r="AH12" s="383" t="s">
        <v>2541</v>
      </c>
      <c r="AI12" s="386">
        <v>996821</v>
      </c>
      <c r="AJ12" s="389">
        <f>P12</f>
        <v>117000</v>
      </c>
      <c r="AK12" s="383" t="s">
        <v>2542</v>
      </c>
      <c r="AL12" s="390" t="s">
        <v>751</v>
      </c>
      <c r="AM12" s="390" t="s">
        <v>751</v>
      </c>
      <c r="AN12" s="390" t="s">
        <v>751</v>
      </c>
      <c r="AO12" s="391" t="s">
        <v>751</v>
      </c>
      <c r="AP12" s="391" t="s">
        <v>751</v>
      </c>
      <c r="AQ12" s="391" t="s">
        <v>751</v>
      </c>
      <c r="AR12" s="391" t="s">
        <v>751</v>
      </c>
      <c r="AS12" s="391" t="s">
        <v>751</v>
      </c>
      <c r="AT12" s="391" t="s">
        <v>751</v>
      </c>
      <c r="AU12" s="391" t="s">
        <v>751</v>
      </c>
      <c r="AV12" s="391" t="s">
        <v>751</v>
      </c>
      <c r="AW12" s="391" t="s">
        <v>751</v>
      </c>
      <c r="AX12" s="383" t="s">
        <v>2543</v>
      </c>
      <c r="AY12" s="392" t="s">
        <v>2544</v>
      </c>
    </row>
    <row r="13" spans="1:51" ht="409.5" x14ac:dyDescent="0.25">
      <c r="A13" s="270" t="s">
        <v>201</v>
      </c>
      <c r="B13" s="270" t="s">
        <v>2531</v>
      </c>
      <c r="C13" s="874"/>
      <c r="D13" s="874"/>
      <c r="E13" s="878"/>
      <c r="F13" s="246" t="s">
        <v>2535</v>
      </c>
      <c r="G13" s="875"/>
      <c r="H13" s="176" t="s">
        <v>2545</v>
      </c>
      <c r="I13" s="176" t="s">
        <v>2546</v>
      </c>
      <c r="J13" s="176" t="s">
        <v>2547</v>
      </c>
      <c r="K13" s="221" t="s">
        <v>323</v>
      </c>
      <c r="L13" s="263">
        <v>0.3</v>
      </c>
      <c r="M13" s="393">
        <v>0.08</v>
      </c>
      <c r="N13" s="383" t="str">
        <f t="shared" si="0"/>
        <v xml:space="preserve">Porcentaje del plan regional de competitividad del Departamento del Cauca, alineado al Sistema Nacional de Competitividad – CteI ejecutado </v>
      </c>
      <c r="O13" s="384" t="str">
        <f t="shared" ref="O13:O23" si="1">J13</f>
        <v>Plan  Regional de Competitividad  (Con horizonte al 2032)</v>
      </c>
      <c r="P13" s="385">
        <f>Q13+R13+S13+T13+U13+V13+W13+X13+Y13+Z13+AB13+AC13+AD13</f>
        <v>60000</v>
      </c>
      <c r="Q13" s="386">
        <v>10000</v>
      </c>
      <c r="R13" s="394"/>
      <c r="S13" s="385"/>
      <c r="T13" s="387"/>
      <c r="U13" s="387"/>
      <c r="V13" s="387"/>
      <c r="W13" s="387"/>
      <c r="X13" s="387"/>
      <c r="Y13" s="387"/>
      <c r="Z13" s="387"/>
      <c r="AA13" s="387"/>
      <c r="AB13" s="386">
        <v>50000</v>
      </c>
      <c r="AC13" s="387"/>
      <c r="AD13" s="387"/>
      <c r="AE13" s="383" t="s">
        <v>2548</v>
      </c>
      <c r="AF13" s="388" t="s">
        <v>2540</v>
      </c>
      <c r="AG13" s="384" t="s">
        <v>553</v>
      </c>
      <c r="AH13" s="383" t="s">
        <v>2541</v>
      </c>
      <c r="AI13" s="386">
        <v>554000</v>
      </c>
      <c r="AJ13" s="389">
        <f t="shared" ref="AJ13:AJ17" si="2">P13</f>
        <v>60000</v>
      </c>
      <c r="AK13" s="383" t="s">
        <v>2549</v>
      </c>
      <c r="AL13" s="387"/>
      <c r="AM13" s="387"/>
      <c r="AN13" s="387"/>
      <c r="AO13" s="390" t="s">
        <v>751</v>
      </c>
      <c r="AP13" s="390" t="s">
        <v>751</v>
      </c>
      <c r="AQ13" s="390" t="s">
        <v>751</v>
      </c>
      <c r="AR13" s="390" t="s">
        <v>751</v>
      </c>
      <c r="AS13" s="390" t="s">
        <v>751</v>
      </c>
      <c r="AT13" s="390" t="s">
        <v>751</v>
      </c>
      <c r="AU13" s="390" t="s">
        <v>751</v>
      </c>
      <c r="AV13" s="390" t="s">
        <v>751</v>
      </c>
      <c r="AW13" s="390" t="s">
        <v>751</v>
      </c>
      <c r="AX13" s="383" t="s">
        <v>2543</v>
      </c>
      <c r="AY13" s="392" t="s">
        <v>2550</v>
      </c>
    </row>
    <row r="14" spans="1:51" ht="313.5" x14ac:dyDescent="0.25">
      <c r="A14" s="270" t="s">
        <v>201</v>
      </c>
      <c r="B14" s="270" t="s">
        <v>2531</v>
      </c>
      <c r="C14" s="874"/>
      <c r="D14" s="874"/>
      <c r="E14" s="878"/>
      <c r="F14" s="246" t="s">
        <v>2535</v>
      </c>
      <c r="G14" s="875"/>
      <c r="H14" s="176" t="s">
        <v>2545</v>
      </c>
      <c r="I14" s="176" t="s">
        <v>2546</v>
      </c>
      <c r="J14" s="176" t="s">
        <v>2547</v>
      </c>
      <c r="K14" s="221" t="s">
        <v>323</v>
      </c>
      <c r="L14" s="263">
        <v>0.3</v>
      </c>
      <c r="M14" s="393">
        <v>0.08</v>
      </c>
      <c r="N14" s="383" t="str">
        <f t="shared" si="0"/>
        <v xml:space="preserve">Porcentaje del plan regional de competitividad del Departamento del Cauca, alineado al Sistema Nacional de Competitividad – CteI ejecutado </v>
      </c>
      <c r="O14" s="384" t="str">
        <f t="shared" si="1"/>
        <v>Plan  Regional de Competitividad  (Con horizonte al 2032)</v>
      </c>
      <c r="P14" s="385">
        <f>Q14+R14+S14+T14+U14+V14+W14+X14+Y14+Z14+AB14+AC14+AD14</f>
        <v>31000</v>
      </c>
      <c r="Q14" s="386">
        <v>6000</v>
      </c>
      <c r="R14" s="385"/>
      <c r="S14" s="387"/>
      <c r="T14" s="386"/>
      <c r="U14" s="387"/>
      <c r="V14" s="387"/>
      <c r="W14" s="387"/>
      <c r="X14" s="387"/>
      <c r="Y14" s="387"/>
      <c r="Z14" s="395"/>
      <c r="AA14" s="395"/>
      <c r="AB14" s="386">
        <v>25000</v>
      </c>
      <c r="AC14" s="387"/>
      <c r="AD14" s="387"/>
      <c r="AE14" s="383" t="s">
        <v>2551</v>
      </c>
      <c r="AF14" s="396">
        <v>0</v>
      </c>
      <c r="AG14" s="384" t="s">
        <v>2552</v>
      </c>
      <c r="AH14" s="384" t="s">
        <v>481</v>
      </c>
      <c r="AI14" s="386">
        <v>575000</v>
      </c>
      <c r="AJ14" s="389">
        <f t="shared" si="2"/>
        <v>31000</v>
      </c>
      <c r="AK14" s="383" t="s">
        <v>2553</v>
      </c>
      <c r="AL14" s="387"/>
      <c r="AM14" s="387"/>
      <c r="AN14" s="390" t="s">
        <v>751</v>
      </c>
      <c r="AO14" s="390" t="s">
        <v>751</v>
      </c>
      <c r="AP14" s="390" t="s">
        <v>751</v>
      </c>
      <c r="AQ14" s="390" t="s">
        <v>751</v>
      </c>
      <c r="AR14" s="390" t="s">
        <v>751</v>
      </c>
      <c r="AS14" s="390" t="s">
        <v>751</v>
      </c>
      <c r="AT14" s="390" t="s">
        <v>751</v>
      </c>
      <c r="AU14" s="390" t="s">
        <v>751</v>
      </c>
      <c r="AV14" s="390" t="s">
        <v>751</v>
      </c>
      <c r="AW14" s="390"/>
      <c r="AX14" s="383" t="s">
        <v>2543</v>
      </c>
      <c r="AY14" s="392" t="s">
        <v>2554</v>
      </c>
    </row>
    <row r="15" spans="1:51" ht="384.75" x14ac:dyDescent="0.25">
      <c r="A15" s="270"/>
      <c r="B15" s="270"/>
      <c r="C15" s="874"/>
      <c r="D15" s="874"/>
      <c r="E15" s="878"/>
      <c r="F15" s="246" t="s">
        <v>2535</v>
      </c>
      <c r="G15" s="875"/>
      <c r="H15" s="176" t="s">
        <v>2555</v>
      </c>
      <c r="I15" s="176" t="s">
        <v>2556</v>
      </c>
      <c r="J15" s="176" t="s">
        <v>2557</v>
      </c>
      <c r="K15" s="221" t="s">
        <v>323</v>
      </c>
      <c r="L15" s="221">
        <v>1</v>
      </c>
      <c r="M15" s="382">
        <v>0.1</v>
      </c>
      <c r="N15" s="383" t="str">
        <f t="shared" si="0"/>
        <v>Número de planes de acción para el fortalecimiento concertado con la Red Regional de Emprendimiento Departamento ejecutados</v>
      </c>
      <c r="O15" s="384" t="str">
        <f t="shared" si="1"/>
        <v>1 Red Regional de Emprendimiento establecida</v>
      </c>
      <c r="P15" s="385">
        <v>250000</v>
      </c>
      <c r="Q15" s="385"/>
      <c r="R15" s="397"/>
      <c r="S15" s="387"/>
      <c r="T15" s="387"/>
      <c r="U15" s="387"/>
      <c r="V15" s="387"/>
      <c r="W15" s="387"/>
      <c r="X15" s="387"/>
      <c r="Y15" s="387"/>
      <c r="Z15" s="387"/>
      <c r="AA15" s="387"/>
      <c r="AB15" s="385">
        <v>250000</v>
      </c>
      <c r="AC15" s="387"/>
      <c r="AD15" s="387"/>
      <c r="AE15" s="383" t="s">
        <v>2558</v>
      </c>
      <c r="AF15" s="398">
        <v>0</v>
      </c>
      <c r="AG15" s="388" t="s">
        <v>579</v>
      </c>
      <c r="AH15" s="387" t="s">
        <v>2559</v>
      </c>
      <c r="AI15" s="388">
        <v>350</v>
      </c>
      <c r="AJ15" s="399">
        <v>250000</v>
      </c>
      <c r="AK15" s="383" t="s">
        <v>2560</v>
      </c>
      <c r="AL15" s="387"/>
      <c r="AM15" s="387"/>
      <c r="AN15" s="387"/>
      <c r="AO15" s="387"/>
      <c r="AP15" s="387"/>
      <c r="AQ15" s="387"/>
      <c r="AR15" s="387"/>
      <c r="AS15" s="390" t="s">
        <v>751</v>
      </c>
      <c r="AT15" s="390" t="s">
        <v>751</v>
      </c>
      <c r="AU15" s="390" t="s">
        <v>751</v>
      </c>
      <c r="AV15" s="390" t="s">
        <v>751</v>
      </c>
      <c r="AW15" s="390" t="s">
        <v>751</v>
      </c>
      <c r="AX15" s="383" t="s">
        <v>2543</v>
      </c>
      <c r="AY15" s="383" t="s">
        <v>2561</v>
      </c>
    </row>
    <row r="16" spans="1:51" ht="409.5" x14ac:dyDescent="0.25">
      <c r="A16" s="270" t="s">
        <v>201</v>
      </c>
      <c r="B16" s="270" t="s">
        <v>2531</v>
      </c>
      <c r="C16" s="874"/>
      <c r="D16" s="874"/>
      <c r="E16" s="878"/>
      <c r="F16" s="246" t="s">
        <v>2535</v>
      </c>
      <c r="G16" s="875"/>
      <c r="H16" s="176" t="s">
        <v>2555</v>
      </c>
      <c r="I16" s="176" t="s">
        <v>2556</v>
      </c>
      <c r="J16" s="176" t="s">
        <v>2557</v>
      </c>
      <c r="K16" s="221" t="s">
        <v>323</v>
      </c>
      <c r="L16" s="221">
        <v>1</v>
      </c>
      <c r="M16" s="382">
        <v>0.1</v>
      </c>
      <c r="N16" s="383" t="str">
        <f t="shared" si="0"/>
        <v>Número de planes de acción para el fortalecimiento concertado con la Red Regional de Emprendimiento Departamento ejecutados</v>
      </c>
      <c r="O16" s="384" t="str">
        <f t="shared" si="1"/>
        <v>1 Red Regional de Emprendimiento establecida</v>
      </c>
      <c r="P16" s="385">
        <f>Q16+R16+S16+T16+U16+V16+W16+X16+Y16+Z16+AB16+AC16+AD16</f>
        <v>55000</v>
      </c>
      <c r="Q16" s="386">
        <v>5000</v>
      </c>
      <c r="R16" s="399"/>
      <c r="S16" s="387"/>
      <c r="T16" s="387"/>
      <c r="U16" s="387"/>
      <c r="V16" s="387"/>
      <c r="W16" s="387"/>
      <c r="X16" s="387"/>
      <c r="Y16" s="387"/>
      <c r="Z16" s="387"/>
      <c r="AA16" s="387"/>
      <c r="AB16" s="386">
        <v>50000</v>
      </c>
      <c r="AC16" s="387"/>
      <c r="AD16" s="387"/>
      <c r="AE16" s="383" t="s">
        <v>2562</v>
      </c>
      <c r="AF16" s="388" t="s">
        <v>2540</v>
      </c>
      <c r="AG16" s="384" t="s">
        <v>553</v>
      </c>
      <c r="AH16" s="383" t="s">
        <v>2541</v>
      </c>
      <c r="AI16" s="386">
        <v>480000</v>
      </c>
      <c r="AJ16" s="389">
        <f t="shared" si="2"/>
        <v>55000</v>
      </c>
      <c r="AK16" s="383" t="s">
        <v>2563</v>
      </c>
      <c r="AL16" s="387"/>
      <c r="AM16" s="387"/>
      <c r="AN16" s="387"/>
      <c r="AO16" s="387"/>
      <c r="AP16" s="390" t="s">
        <v>751</v>
      </c>
      <c r="AQ16" s="390" t="s">
        <v>751</v>
      </c>
      <c r="AR16" s="390" t="s">
        <v>751</v>
      </c>
      <c r="AS16" s="390" t="s">
        <v>751</v>
      </c>
      <c r="AT16" s="390" t="s">
        <v>751</v>
      </c>
      <c r="AU16" s="390" t="s">
        <v>751</v>
      </c>
      <c r="AV16" s="390" t="s">
        <v>751</v>
      </c>
      <c r="AW16" s="390" t="s">
        <v>751</v>
      </c>
      <c r="AX16" s="383" t="s">
        <v>2543</v>
      </c>
      <c r="AY16" s="392" t="s">
        <v>2564</v>
      </c>
    </row>
    <row r="17" spans="1:51" ht="342.75" thickBot="1" x14ac:dyDescent="0.3">
      <c r="A17" s="270" t="s">
        <v>201</v>
      </c>
      <c r="B17" s="270" t="s">
        <v>2531</v>
      </c>
      <c r="C17" s="874"/>
      <c r="D17" s="874"/>
      <c r="E17" s="878"/>
      <c r="F17" s="400" t="s">
        <v>2535</v>
      </c>
      <c r="G17" s="881"/>
      <c r="H17" s="401" t="s">
        <v>2565</v>
      </c>
      <c r="I17" s="401" t="s">
        <v>2566</v>
      </c>
      <c r="J17" s="402">
        <v>0.3</v>
      </c>
      <c r="K17" s="401" t="s">
        <v>323</v>
      </c>
      <c r="L17" s="401">
        <v>15</v>
      </c>
      <c r="M17" s="403">
        <v>0.7</v>
      </c>
      <c r="N17" s="404" t="str">
        <f t="shared" si="0"/>
        <v>Número de emprendimientos de impacto en el Departamento consolidados</v>
      </c>
      <c r="O17" s="405">
        <f t="shared" si="1"/>
        <v>0.3</v>
      </c>
      <c r="P17" s="406">
        <f t="shared" ref="P17:P23" si="3">Q17+R17+S17+T17+U17+V17+W17+X17+Y17+Z17+AA17+AB17+AC17+AD17</f>
        <v>60000</v>
      </c>
      <c r="Q17" s="407">
        <v>10000</v>
      </c>
      <c r="R17" s="408"/>
      <c r="S17" s="407"/>
      <c r="T17" s="407"/>
      <c r="U17" s="408"/>
      <c r="V17" s="408"/>
      <c r="W17" s="408"/>
      <c r="X17" s="408"/>
      <c r="Y17" s="408"/>
      <c r="Z17" s="408"/>
      <c r="AA17" s="407">
        <v>40000</v>
      </c>
      <c r="AB17" s="407">
        <v>10000</v>
      </c>
      <c r="AC17" s="408"/>
      <c r="AD17" s="408"/>
      <c r="AE17" s="404" t="s">
        <v>2567</v>
      </c>
      <c r="AF17" s="409" t="s">
        <v>2540</v>
      </c>
      <c r="AG17" s="405" t="s">
        <v>553</v>
      </c>
      <c r="AH17" s="404" t="s">
        <v>2541</v>
      </c>
      <c r="AI17" s="407">
        <v>565000</v>
      </c>
      <c r="AJ17" s="410">
        <f t="shared" si="2"/>
        <v>60000</v>
      </c>
      <c r="AK17" s="404" t="s">
        <v>2568</v>
      </c>
      <c r="AL17" s="408"/>
      <c r="AM17" s="408"/>
      <c r="AN17" s="408"/>
      <c r="AO17" s="408"/>
      <c r="AP17" s="408"/>
      <c r="AQ17" s="408"/>
      <c r="AR17" s="411" t="s">
        <v>751</v>
      </c>
      <c r="AS17" s="411" t="s">
        <v>751</v>
      </c>
      <c r="AT17" s="411" t="s">
        <v>751</v>
      </c>
      <c r="AU17" s="411" t="s">
        <v>751</v>
      </c>
      <c r="AV17" s="411" t="s">
        <v>751</v>
      </c>
      <c r="AW17" s="411" t="s">
        <v>751</v>
      </c>
      <c r="AX17" s="404" t="s">
        <v>2543</v>
      </c>
      <c r="AY17" s="412" t="s">
        <v>2569</v>
      </c>
    </row>
    <row r="18" spans="1:51" ht="228.75" thickTop="1" x14ac:dyDescent="0.25">
      <c r="A18" s="270" t="s">
        <v>201</v>
      </c>
      <c r="B18" s="270" t="s">
        <v>2531</v>
      </c>
      <c r="C18" s="874"/>
      <c r="D18" s="874"/>
      <c r="E18" s="878"/>
      <c r="F18" s="250" t="s">
        <v>2570</v>
      </c>
      <c r="G18" s="876" t="s">
        <v>2571</v>
      </c>
      <c r="H18" s="222" t="s">
        <v>2572</v>
      </c>
      <c r="I18" s="222" t="s">
        <v>2573</v>
      </c>
      <c r="J18" s="222" t="s">
        <v>2574</v>
      </c>
      <c r="K18" s="234" t="s">
        <v>2575</v>
      </c>
      <c r="L18" s="234">
        <v>1</v>
      </c>
      <c r="M18" s="413">
        <v>0.35</v>
      </c>
      <c r="N18" s="414" t="str">
        <f t="shared" si="0"/>
        <v>Número de estrategia de fortalecimiento para 3 centros de empleo en el Cauca, en alianza con el Ministerio de Trabajo implementadas</v>
      </c>
      <c r="O18" s="415" t="str">
        <f t="shared" si="1"/>
        <v>3 centros de empleo en el Cauca</v>
      </c>
      <c r="P18" s="416">
        <f t="shared" si="3"/>
        <v>20000</v>
      </c>
      <c r="Q18" s="417">
        <v>15000</v>
      </c>
      <c r="R18" s="418"/>
      <c r="S18" s="418"/>
      <c r="T18" s="418"/>
      <c r="U18" s="418"/>
      <c r="V18" s="418"/>
      <c r="W18" s="418"/>
      <c r="X18" s="418"/>
      <c r="Y18" s="418"/>
      <c r="Z18" s="418"/>
      <c r="AA18" s="417">
        <v>5000</v>
      </c>
      <c r="AB18" s="418"/>
      <c r="AC18" s="418"/>
      <c r="AD18" s="418"/>
      <c r="AE18" s="414" t="s">
        <v>2576</v>
      </c>
      <c r="AF18" s="419">
        <v>0</v>
      </c>
      <c r="AG18" s="415" t="s">
        <v>553</v>
      </c>
      <c r="AH18" s="414" t="s">
        <v>2541</v>
      </c>
      <c r="AI18" s="420">
        <v>750000</v>
      </c>
      <c r="AJ18" s="421">
        <v>20000</v>
      </c>
      <c r="AK18" s="414" t="s">
        <v>2577</v>
      </c>
      <c r="AL18" s="422"/>
      <c r="AM18" s="418"/>
      <c r="AN18" s="418"/>
      <c r="AO18" s="423" t="s">
        <v>751</v>
      </c>
      <c r="AP18" s="423" t="s">
        <v>751</v>
      </c>
      <c r="AQ18" s="423" t="s">
        <v>751</v>
      </c>
      <c r="AR18" s="423" t="s">
        <v>751</v>
      </c>
      <c r="AS18" s="423" t="s">
        <v>751</v>
      </c>
      <c r="AT18" s="423" t="s">
        <v>751</v>
      </c>
      <c r="AU18" s="423" t="s">
        <v>751</v>
      </c>
      <c r="AV18" s="423" t="s">
        <v>751</v>
      </c>
      <c r="AW18" s="423" t="s">
        <v>751</v>
      </c>
      <c r="AX18" s="414" t="s">
        <v>2578</v>
      </c>
      <c r="AY18" s="424" t="s">
        <v>2579</v>
      </c>
    </row>
    <row r="19" spans="1:51" ht="120" x14ac:dyDescent="0.25">
      <c r="A19" s="270" t="s">
        <v>201</v>
      </c>
      <c r="B19" s="270" t="s">
        <v>2531</v>
      </c>
      <c r="C19" s="874"/>
      <c r="D19" s="874"/>
      <c r="E19" s="878"/>
      <c r="F19" s="246" t="s">
        <v>2570</v>
      </c>
      <c r="G19" s="875"/>
      <c r="H19" s="176" t="s">
        <v>2580</v>
      </c>
      <c r="I19" s="176" t="s">
        <v>2581</v>
      </c>
      <c r="J19" s="176">
        <v>0</v>
      </c>
      <c r="K19" s="221" t="s">
        <v>2575</v>
      </c>
      <c r="L19" s="221">
        <v>8</v>
      </c>
      <c r="M19" s="389">
        <v>3</v>
      </c>
      <c r="N19" s="383" t="str">
        <f t="shared" si="0"/>
        <v xml:space="preserve">Número de publicaciones con información del mercado laboral generadas </v>
      </c>
      <c r="O19" s="384">
        <f t="shared" si="1"/>
        <v>0</v>
      </c>
      <c r="P19" s="385">
        <f t="shared" si="3"/>
        <v>20000</v>
      </c>
      <c r="Q19" s="386">
        <v>10000</v>
      </c>
      <c r="R19" s="387"/>
      <c r="S19" s="387"/>
      <c r="T19" s="387"/>
      <c r="U19" s="387"/>
      <c r="V19" s="387"/>
      <c r="W19" s="387"/>
      <c r="X19" s="387"/>
      <c r="Y19" s="387"/>
      <c r="Z19" s="387"/>
      <c r="AA19" s="386">
        <v>10000</v>
      </c>
      <c r="AB19" s="387"/>
      <c r="AC19" s="387"/>
      <c r="AD19" s="387"/>
      <c r="AE19" s="383" t="s">
        <v>2582</v>
      </c>
      <c r="AF19" s="396">
        <v>0</v>
      </c>
      <c r="AG19" s="384" t="s">
        <v>553</v>
      </c>
      <c r="AH19" s="383" t="s">
        <v>2541</v>
      </c>
      <c r="AI19" s="425">
        <v>750000</v>
      </c>
      <c r="AJ19" s="389">
        <v>20000</v>
      </c>
      <c r="AK19" s="383" t="s">
        <v>2583</v>
      </c>
      <c r="AL19" s="387"/>
      <c r="AM19" s="387"/>
      <c r="AN19" s="387"/>
      <c r="AO19" s="390" t="s">
        <v>751</v>
      </c>
      <c r="AP19" s="390" t="s">
        <v>751</v>
      </c>
      <c r="AQ19" s="390" t="s">
        <v>751</v>
      </c>
      <c r="AR19" s="390" t="s">
        <v>751</v>
      </c>
      <c r="AS19" s="390" t="s">
        <v>751</v>
      </c>
      <c r="AT19" s="390" t="s">
        <v>751</v>
      </c>
      <c r="AU19" s="390" t="s">
        <v>751</v>
      </c>
      <c r="AV19" s="390" t="s">
        <v>751</v>
      </c>
      <c r="AW19" s="390" t="s">
        <v>751</v>
      </c>
      <c r="AX19" s="383" t="s">
        <v>2584</v>
      </c>
      <c r="AY19" s="392" t="s">
        <v>2585</v>
      </c>
    </row>
    <row r="20" spans="1:51" ht="200.25" thickBot="1" x14ac:dyDescent="0.3">
      <c r="A20" s="270" t="s">
        <v>201</v>
      </c>
      <c r="B20" s="270" t="s">
        <v>2531</v>
      </c>
      <c r="C20" s="874"/>
      <c r="D20" s="874"/>
      <c r="E20" s="878"/>
      <c r="F20" s="400" t="s">
        <v>2570</v>
      </c>
      <c r="G20" s="881"/>
      <c r="H20" s="401" t="s">
        <v>2586</v>
      </c>
      <c r="I20" s="401" t="s">
        <v>2587</v>
      </c>
      <c r="J20" s="401">
        <v>0.25</v>
      </c>
      <c r="K20" s="401" t="s">
        <v>2575</v>
      </c>
      <c r="L20" s="401">
        <v>1</v>
      </c>
      <c r="M20" s="403">
        <v>0.3</v>
      </c>
      <c r="N20" s="404" t="str">
        <f t="shared" si="0"/>
        <v>Número de estrategias que impulsen el empleo digno e incluyente implementadas</v>
      </c>
      <c r="O20" s="405">
        <f t="shared" si="1"/>
        <v>0.25</v>
      </c>
      <c r="P20" s="406">
        <f t="shared" si="3"/>
        <v>15000</v>
      </c>
      <c r="Q20" s="407">
        <v>7000</v>
      </c>
      <c r="R20" s="408"/>
      <c r="S20" s="408"/>
      <c r="T20" s="408"/>
      <c r="U20" s="408"/>
      <c r="V20" s="408"/>
      <c r="W20" s="408"/>
      <c r="X20" s="408"/>
      <c r="Y20" s="408"/>
      <c r="Z20" s="408"/>
      <c r="AA20" s="407">
        <v>8000</v>
      </c>
      <c r="AB20" s="408"/>
      <c r="AC20" s="408"/>
      <c r="AD20" s="408"/>
      <c r="AE20" s="404" t="s">
        <v>2588</v>
      </c>
      <c r="AF20" s="426">
        <v>0</v>
      </c>
      <c r="AG20" s="405" t="s">
        <v>553</v>
      </c>
      <c r="AH20" s="404" t="s">
        <v>2541</v>
      </c>
      <c r="AI20" s="427">
        <v>750000</v>
      </c>
      <c r="AJ20" s="410">
        <v>15000</v>
      </c>
      <c r="AK20" s="404" t="s">
        <v>2589</v>
      </c>
      <c r="AL20" s="408"/>
      <c r="AM20" s="408"/>
      <c r="AN20" s="408"/>
      <c r="AO20" s="411" t="s">
        <v>751</v>
      </c>
      <c r="AP20" s="411" t="s">
        <v>751</v>
      </c>
      <c r="AQ20" s="411" t="s">
        <v>751</v>
      </c>
      <c r="AR20" s="411" t="s">
        <v>751</v>
      </c>
      <c r="AS20" s="411" t="s">
        <v>751</v>
      </c>
      <c r="AT20" s="411" t="s">
        <v>751</v>
      </c>
      <c r="AU20" s="411" t="s">
        <v>751</v>
      </c>
      <c r="AV20" s="411" t="s">
        <v>751</v>
      </c>
      <c r="AW20" s="411" t="s">
        <v>751</v>
      </c>
      <c r="AX20" s="404" t="s">
        <v>2590</v>
      </c>
      <c r="AY20" s="412" t="s">
        <v>2591</v>
      </c>
    </row>
    <row r="21" spans="1:51" ht="409.6" thickTop="1" x14ac:dyDescent="0.25">
      <c r="A21" s="270" t="s">
        <v>201</v>
      </c>
      <c r="B21" s="270" t="s">
        <v>2531</v>
      </c>
      <c r="C21" s="874"/>
      <c r="D21" s="874"/>
      <c r="E21" s="878"/>
      <c r="F21" s="250" t="s">
        <v>2592</v>
      </c>
      <c r="G21" s="874" t="s">
        <v>2593</v>
      </c>
      <c r="H21" s="222" t="s">
        <v>2594</v>
      </c>
      <c r="I21" s="222" t="s">
        <v>2595</v>
      </c>
      <c r="J21" s="428">
        <v>0.7</v>
      </c>
      <c r="K21" s="234" t="s">
        <v>322</v>
      </c>
      <c r="L21" s="234">
        <v>1</v>
      </c>
      <c r="M21" s="413">
        <v>0.15</v>
      </c>
      <c r="N21" s="414" t="str">
        <f t="shared" si="0"/>
        <v>Herramienta Invest in Cauca operativizada</v>
      </c>
      <c r="O21" s="429">
        <f>J21</f>
        <v>0.7</v>
      </c>
      <c r="P21" s="416">
        <f t="shared" si="3"/>
        <v>40000</v>
      </c>
      <c r="Q21" s="417"/>
      <c r="R21" s="418"/>
      <c r="S21" s="418"/>
      <c r="T21" s="418"/>
      <c r="U21" s="418"/>
      <c r="V21" s="418"/>
      <c r="W21" s="418"/>
      <c r="X21" s="418"/>
      <c r="Y21" s="418"/>
      <c r="Z21" s="418"/>
      <c r="AA21" s="417">
        <v>40000</v>
      </c>
      <c r="AB21" s="418"/>
      <c r="AC21" s="418"/>
      <c r="AD21" s="418"/>
      <c r="AE21" s="414" t="s">
        <v>2596</v>
      </c>
      <c r="AF21" s="419">
        <v>0</v>
      </c>
      <c r="AG21" s="415" t="s">
        <v>553</v>
      </c>
      <c r="AH21" s="414" t="s">
        <v>2541</v>
      </c>
      <c r="AI21" s="417">
        <v>356000</v>
      </c>
      <c r="AJ21" s="421">
        <v>200000</v>
      </c>
      <c r="AK21" s="414" t="s">
        <v>2597</v>
      </c>
      <c r="AL21" s="418"/>
      <c r="AM21" s="418"/>
      <c r="AN21" s="418"/>
      <c r="AO21" s="418"/>
      <c r="AP21" s="418"/>
      <c r="AQ21" s="423" t="s">
        <v>751</v>
      </c>
      <c r="AR21" s="423" t="s">
        <v>751</v>
      </c>
      <c r="AS21" s="423" t="s">
        <v>751</v>
      </c>
      <c r="AT21" s="423" t="s">
        <v>751</v>
      </c>
      <c r="AU21" s="423" t="s">
        <v>751</v>
      </c>
      <c r="AV21" s="423" t="s">
        <v>751</v>
      </c>
      <c r="AW21" s="423" t="s">
        <v>751</v>
      </c>
      <c r="AX21" s="414" t="s">
        <v>2543</v>
      </c>
      <c r="AY21" s="424" t="s">
        <v>2598</v>
      </c>
    </row>
    <row r="22" spans="1:51" ht="409.5" x14ac:dyDescent="0.25">
      <c r="A22" s="270" t="s">
        <v>201</v>
      </c>
      <c r="B22" s="270" t="s">
        <v>2531</v>
      </c>
      <c r="C22" s="874"/>
      <c r="D22" s="874"/>
      <c r="E22" s="878"/>
      <c r="F22" s="246" t="s">
        <v>2592</v>
      </c>
      <c r="G22" s="874"/>
      <c r="H22" s="176" t="s">
        <v>2599</v>
      </c>
      <c r="I22" s="176" t="s">
        <v>2600</v>
      </c>
      <c r="J22" s="176" t="s">
        <v>2601</v>
      </c>
      <c r="K22" s="221" t="s">
        <v>323</v>
      </c>
      <c r="L22" s="221">
        <v>1</v>
      </c>
      <c r="M22" s="382">
        <v>0.2</v>
      </c>
      <c r="N22" s="383" t="str">
        <f t="shared" si="0"/>
        <v>Número de planes para promocionar la inversión en el Departamento del Cauca implementados</v>
      </c>
      <c r="O22" s="384" t="str">
        <f t="shared" si="1"/>
        <v>1 plataforma de promoción a la inversión (Invest in Cauca - Cauca para inversionistas).</v>
      </c>
      <c r="P22" s="385">
        <f>Q22+R22+S22+T22+U22+V22+W22+X22+Y22+Z22+AA22+AB22+AC22+AD22</f>
        <v>155000</v>
      </c>
      <c r="Q22" s="386">
        <v>30000</v>
      </c>
      <c r="R22" s="387"/>
      <c r="S22" s="387"/>
      <c r="T22" s="387"/>
      <c r="U22" s="387"/>
      <c r="V22" s="387"/>
      <c r="W22" s="387"/>
      <c r="X22" s="387"/>
      <c r="Y22" s="387"/>
      <c r="Z22" s="387"/>
      <c r="AA22" s="386">
        <v>100000</v>
      </c>
      <c r="AB22" s="386">
        <v>25000</v>
      </c>
      <c r="AC22" s="387"/>
      <c r="AD22" s="387"/>
      <c r="AE22" s="383" t="s">
        <v>2596</v>
      </c>
      <c r="AF22" s="396">
        <v>0</v>
      </c>
      <c r="AG22" s="384" t="s">
        <v>553</v>
      </c>
      <c r="AH22" s="383" t="s">
        <v>2541</v>
      </c>
      <c r="AI22" s="386">
        <v>356000</v>
      </c>
      <c r="AJ22" s="389">
        <v>200000</v>
      </c>
      <c r="AK22" s="383" t="s">
        <v>2597</v>
      </c>
      <c r="AL22" s="387"/>
      <c r="AM22" s="387"/>
      <c r="AN22" s="387"/>
      <c r="AO22" s="387"/>
      <c r="AP22" s="387"/>
      <c r="AQ22" s="390" t="s">
        <v>751</v>
      </c>
      <c r="AR22" s="390" t="s">
        <v>751</v>
      </c>
      <c r="AS22" s="390" t="s">
        <v>751</v>
      </c>
      <c r="AT22" s="390" t="s">
        <v>751</v>
      </c>
      <c r="AU22" s="390" t="s">
        <v>751</v>
      </c>
      <c r="AV22" s="390" t="s">
        <v>751</v>
      </c>
      <c r="AW22" s="390" t="s">
        <v>751</v>
      </c>
      <c r="AX22" s="383" t="s">
        <v>2543</v>
      </c>
      <c r="AY22" s="392" t="s">
        <v>2598</v>
      </c>
    </row>
    <row r="23" spans="1:51" ht="409.6" thickBot="1" x14ac:dyDescent="0.3">
      <c r="A23" s="430" t="s">
        <v>201</v>
      </c>
      <c r="B23" s="430" t="s">
        <v>2531</v>
      </c>
      <c r="C23" s="874"/>
      <c r="D23" s="874"/>
      <c r="E23" s="878"/>
      <c r="F23" s="270" t="s">
        <v>2592</v>
      </c>
      <c r="G23" s="874"/>
      <c r="H23" s="221" t="s">
        <v>2602</v>
      </c>
      <c r="I23" s="221" t="s">
        <v>2603</v>
      </c>
      <c r="J23" s="221" t="s">
        <v>2604</v>
      </c>
      <c r="K23" s="221" t="s">
        <v>323</v>
      </c>
      <c r="L23" s="221">
        <v>12</v>
      </c>
      <c r="M23" s="431">
        <v>4</v>
      </c>
      <c r="N23" s="432" t="str">
        <f t="shared" si="0"/>
        <v xml:space="preserve">Número de escenarios de promoción sectoriales especializados para el Departamento implementados </v>
      </c>
      <c r="O23" s="433" t="str">
        <f t="shared" si="1"/>
        <v>6 escenarios de promoción turística a nivel departamental</v>
      </c>
      <c r="P23" s="434">
        <f t="shared" si="3"/>
        <v>50000</v>
      </c>
      <c r="Q23" s="435">
        <v>20000</v>
      </c>
      <c r="R23" s="436"/>
      <c r="S23" s="436"/>
      <c r="T23" s="436"/>
      <c r="U23" s="436"/>
      <c r="V23" s="436"/>
      <c r="W23" s="436"/>
      <c r="X23" s="436"/>
      <c r="Y23" s="436"/>
      <c r="Z23" s="436"/>
      <c r="AA23" s="435">
        <v>30000</v>
      </c>
      <c r="AB23" s="436"/>
      <c r="AC23" s="436"/>
      <c r="AD23" s="436"/>
      <c r="AE23" s="432" t="s">
        <v>2605</v>
      </c>
      <c r="AF23" s="437">
        <v>0</v>
      </c>
      <c r="AG23" s="433" t="s">
        <v>553</v>
      </c>
      <c r="AH23" s="432" t="s">
        <v>2541</v>
      </c>
      <c r="AI23" s="435">
        <v>14600</v>
      </c>
      <c r="AJ23" s="431">
        <v>50000</v>
      </c>
      <c r="AK23" s="432" t="s">
        <v>2606</v>
      </c>
      <c r="AL23" s="436"/>
      <c r="AM23" s="436"/>
      <c r="AN23" s="391" t="s">
        <v>751</v>
      </c>
      <c r="AO23" s="391" t="s">
        <v>751</v>
      </c>
      <c r="AP23" s="391" t="s">
        <v>751</v>
      </c>
      <c r="AQ23" s="391" t="s">
        <v>751</v>
      </c>
      <c r="AR23" s="391" t="s">
        <v>751</v>
      </c>
      <c r="AS23" s="391" t="s">
        <v>751</v>
      </c>
      <c r="AT23" s="391" t="s">
        <v>751</v>
      </c>
      <c r="AU23" s="391" t="s">
        <v>751</v>
      </c>
      <c r="AV23" s="391" t="s">
        <v>751</v>
      </c>
      <c r="AW23" s="391" t="s">
        <v>751</v>
      </c>
      <c r="AX23" s="432" t="s">
        <v>2607</v>
      </c>
      <c r="AY23" s="438" t="s">
        <v>2608</v>
      </c>
    </row>
    <row r="24" spans="1:51" ht="270.75" thickBot="1" x14ac:dyDescent="0.3">
      <c r="A24" s="250" t="s">
        <v>201</v>
      </c>
      <c r="B24" s="250" t="s">
        <v>2531</v>
      </c>
      <c r="C24" s="875"/>
      <c r="D24" s="875"/>
      <c r="E24" s="879"/>
      <c r="F24" s="401" t="s">
        <v>2609</v>
      </c>
      <c r="G24" s="401" t="s">
        <v>2610</v>
      </c>
      <c r="H24" s="401" t="s">
        <v>2611</v>
      </c>
      <c r="I24" s="401" t="s">
        <v>2612</v>
      </c>
      <c r="J24" s="401">
        <v>1</v>
      </c>
      <c r="K24" s="401" t="s">
        <v>323</v>
      </c>
      <c r="L24" s="401">
        <v>1</v>
      </c>
      <c r="M24" s="403">
        <v>0.35</v>
      </c>
      <c r="N24" s="404" t="str">
        <f>+I24</f>
        <v>Número de planes de acción de fortalecimiento de la mesa de cambio climático para el análisis económico  implementados</v>
      </c>
      <c r="O24" s="405">
        <v>1</v>
      </c>
      <c r="P24" s="410">
        <f>Q24+AB24</f>
        <v>157000</v>
      </c>
      <c r="Q24" s="410">
        <v>54000</v>
      </c>
      <c r="R24" s="408"/>
      <c r="S24" s="408"/>
      <c r="T24" s="408"/>
      <c r="U24" s="408"/>
      <c r="V24" s="408"/>
      <c r="W24" s="408"/>
      <c r="X24" s="408"/>
      <c r="Y24" s="408"/>
      <c r="Z24" s="408"/>
      <c r="AA24" s="408"/>
      <c r="AB24" s="407">
        <v>103000</v>
      </c>
      <c r="AC24" s="408"/>
      <c r="AD24" s="408"/>
      <c r="AE24" s="404" t="s">
        <v>2613</v>
      </c>
      <c r="AF24" s="439">
        <v>0</v>
      </c>
      <c r="AG24" s="405" t="s">
        <v>2614</v>
      </c>
      <c r="AH24" s="404" t="s">
        <v>2615</v>
      </c>
      <c r="AI24" s="407">
        <v>500000</v>
      </c>
      <c r="AJ24" s="410">
        <v>122000</v>
      </c>
      <c r="AK24" s="404" t="s">
        <v>2616</v>
      </c>
      <c r="AL24" s="440" t="s">
        <v>751</v>
      </c>
      <c r="AM24" s="440" t="s">
        <v>751</v>
      </c>
      <c r="AN24" s="440" t="s">
        <v>751</v>
      </c>
      <c r="AO24" s="440" t="s">
        <v>751</v>
      </c>
      <c r="AP24" s="440" t="s">
        <v>751</v>
      </c>
      <c r="AQ24" s="440" t="s">
        <v>751</v>
      </c>
      <c r="AR24" s="440" t="s">
        <v>751</v>
      </c>
      <c r="AS24" s="440" t="s">
        <v>751</v>
      </c>
      <c r="AT24" s="440" t="s">
        <v>751</v>
      </c>
      <c r="AU24" s="440" t="s">
        <v>751</v>
      </c>
      <c r="AV24" s="440" t="s">
        <v>751</v>
      </c>
      <c r="AW24" s="440" t="s">
        <v>751</v>
      </c>
      <c r="AX24" s="404" t="s">
        <v>2590</v>
      </c>
      <c r="AY24" s="412" t="s">
        <v>2617</v>
      </c>
    </row>
    <row r="25" spans="1:51" ht="228.75" thickTop="1" x14ac:dyDescent="0.25">
      <c r="A25" s="244"/>
      <c r="B25" s="244"/>
      <c r="C25" s="876"/>
      <c r="D25" s="876"/>
      <c r="E25" s="880"/>
      <c r="F25" s="222" t="s">
        <v>2618</v>
      </c>
      <c r="G25" s="874" t="s">
        <v>2619</v>
      </c>
      <c r="H25" s="222" t="s">
        <v>2620</v>
      </c>
      <c r="I25" s="222" t="s">
        <v>2621</v>
      </c>
      <c r="J25" s="222">
        <v>1.25</v>
      </c>
      <c r="K25" s="222" t="s">
        <v>323</v>
      </c>
      <c r="L25" s="222">
        <v>1</v>
      </c>
      <c r="M25" s="413">
        <v>0.35</v>
      </c>
      <c r="N25" s="414" t="str">
        <f t="shared" ref="N25:N48" si="4">+I25</f>
        <v>Número de estrategias para  el fortalecimiento de las alianzas supraregionales construidas</v>
      </c>
      <c r="O25" s="415">
        <v>1.25</v>
      </c>
      <c r="P25" s="421">
        <f>AB25</f>
        <v>0</v>
      </c>
      <c r="Q25" s="421"/>
      <c r="R25" s="418"/>
      <c r="S25" s="418"/>
      <c r="T25" s="418"/>
      <c r="U25" s="418"/>
      <c r="V25" s="418"/>
      <c r="W25" s="418"/>
      <c r="X25" s="418"/>
      <c r="Y25" s="418"/>
      <c r="Z25" s="418"/>
      <c r="AA25" s="418"/>
      <c r="AB25" s="417"/>
      <c r="AC25" s="418"/>
      <c r="AD25" s="418"/>
      <c r="AE25" s="414" t="s">
        <v>2622</v>
      </c>
      <c r="AF25" s="441">
        <v>0</v>
      </c>
      <c r="AG25" s="415" t="s">
        <v>2623</v>
      </c>
      <c r="AH25" s="414" t="s">
        <v>2624</v>
      </c>
      <c r="AI25" s="417">
        <v>600000</v>
      </c>
      <c r="AJ25" s="421">
        <v>157500</v>
      </c>
      <c r="AK25" s="442" t="s">
        <v>2625</v>
      </c>
      <c r="AL25" s="443"/>
      <c r="AM25" s="443"/>
      <c r="AN25" s="443"/>
      <c r="AO25" s="443" t="s">
        <v>751</v>
      </c>
      <c r="AP25" s="443" t="s">
        <v>751</v>
      </c>
      <c r="AQ25" s="443" t="s">
        <v>751</v>
      </c>
      <c r="AR25" s="443" t="s">
        <v>751</v>
      </c>
      <c r="AS25" s="443" t="s">
        <v>751</v>
      </c>
      <c r="AT25" s="443" t="s">
        <v>751</v>
      </c>
      <c r="AU25" s="443" t="s">
        <v>751</v>
      </c>
      <c r="AV25" s="443" t="s">
        <v>751</v>
      </c>
      <c r="AW25" s="443" t="s">
        <v>751</v>
      </c>
      <c r="AX25" s="414" t="s">
        <v>2590</v>
      </c>
      <c r="AY25" s="414" t="s">
        <v>2626</v>
      </c>
    </row>
    <row r="26" spans="1:51" ht="399.75" thickBot="1" x14ac:dyDescent="0.3">
      <c r="A26" s="244" t="s">
        <v>201</v>
      </c>
      <c r="B26" s="244" t="s">
        <v>2531</v>
      </c>
      <c r="C26" s="874"/>
      <c r="D26" s="874"/>
      <c r="E26" s="878"/>
      <c r="F26" s="444" t="s">
        <v>2618</v>
      </c>
      <c r="G26" s="874"/>
      <c r="H26" s="234" t="s">
        <v>2620</v>
      </c>
      <c r="I26" s="234" t="s">
        <v>2621</v>
      </c>
      <c r="J26" s="234">
        <v>1.25</v>
      </c>
      <c r="K26" s="234" t="s">
        <v>323</v>
      </c>
      <c r="L26" s="234">
        <v>1</v>
      </c>
      <c r="M26" s="445">
        <v>0.35</v>
      </c>
      <c r="N26" s="446" t="str">
        <f t="shared" si="4"/>
        <v>Número de estrategias para  el fortalecimiento de las alianzas supraregionales construidas</v>
      </c>
      <c r="O26" s="447">
        <v>1.25</v>
      </c>
      <c r="P26" s="448">
        <f>Q26+AB26</f>
        <v>154200</v>
      </c>
      <c r="Q26" s="448">
        <v>86000</v>
      </c>
      <c r="R26" s="449"/>
      <c r="S26" s="449"/>
      <c r="T26" s="449"/>
      <c r="U26" s="449"/>
      <c r="V26" s="449"/>
      <c r="W26" s="449"/>
      <c r="X26" s="449"/>
      <c r="Y26" s="449"/>
      <c r="Z26" s="449"/>
      <c r="AA26" s="449"/>
      <c r="AB26" s="450">
        <v>68200</v>
      </c>
      <c r="AC26" s="449"/>
      <c r="AD26" s="446"/>
      <c r="AE26" s="451" t="s">
        <v>2627</v>
      </c>
      <c r="AF26" s="446" t="s">
        <v>2628</v>
      </c>
      <c r="AG26" s="447" t="s">
        <v>2629</v>
      </c>
      <c r="AH26" s="452" t="s">
        <v>1798</v>
      </c>
      <c r="AI26" s="453">
        <v>150000</v>
      </c>
      <c r="AJ26" s="448">
        <v>86000</v>
      </c>
      <c r="AK26" s="446" t="s">
        <v>2630</v>
      </c>
      <c r="AL26" s="454" t="s">
        <v>751</v>
      </c>
      <c r="AM26" s="454" t="s">
        <v>751</v>
      </c>
      <c r="AN26" s="454" t="s">
        <v>751</v>
      </c>
      <c r="AO26" s="454" t="s">
        <v>751</v>
      </c>
      <c r="AP26" s="454" t="s">
        <v>751</v>
      </c>
      <c r="AQ26" s="454" t="s">
        <v>751</v>
      </c>
      <c r="AR26" s="454" t="s">
        <v>751</v>
      </c>
      <c r="AS26" s="454" t="s">
        <v>751</v>
      </c>
      <c r="AT26" s="454" t="s">
        <v>751</v>
      </c>
      <c r="AU26" s="454" t="s">
        <v>751</v>
      </c>
      <c r="AV26" s="454" t="s">
        <v>751</v>
      </c>
      <c r="AW26" s="454" t="s">
        <v>751</v>
      </c>
      <c r="AX26" s="446" t="s">
        <v>2631</v>
      </c>
      <c r="AY26" s="455" t="s">
        <v>2632</v>
      </c>
    </row>
    <row r="27" spans="1:51" ht="210" customHeight="1" x14ac:dyDescent="0.25">
      <c r="A27" s="456" t="s">
        <v>201</v>
      </c>
      <c r="B27" s="457" t="s">
        <v>2531</v>
      </c>
      <c r="C27" s="884" t="s">
        <v>2633</v>
      </c>
      <c r="D27" s="884" t="s">
        <v>2634</v>
      </c>
      <c r="E27" s="884" t="s">
        <v>2635</v>
      </c>
      <c r="F27" s="250" t="s">
        <v>2636</v>
      </c>
      <c r="G27" s="884" t="s">
        <v>2637</v>
      </c>
      <c r="H27" s="458" t="s">
        <v>2638</v>
      </c>
      <c r="I27" s="458" t="s">
        <v>2639</v>
      </c>
      <c r="J27" s="458">
        <v>0.5</v>
      </c>
      <c r="K27" s="458" t="s">
        <v>323</v>
      </c>
      <c r="L27" s="458">
        <v>2</v>
      </c>
      <c r="M27" s="458">
        <v>0.5</v>
      </c>
      <c r="N27" s="458" t="s">
        <v>2639</v>
      </c>
      <c r="O27" s="458">
        <v>0.5</v>
      </c>
      <c r="P27" s="459">
        <f t="shared" ref="P27:P34" si="5">SUBTOTAL(9,Q27:AD27)</f>
        <v>1789900</v>
      </c>
      <c r="Q27" s="459">
        <v>59900</v>
      </c>
      <c r="R27" s="460"/>
      <c r="S27" s="460"/>
      <c r="T27" s="460"/>
      <c r="U27" s="461">
        <v>1330000</v>
      </c>
      <c r="V27" s="460"/>
      <c r="W27" s="460"/>
      <c r="X27" s="460"/>
      <c r="Y27" s="460"/>
      <c r="Z27" s="460"/>
      <c r="AA27" s="461">
        <v>400000</v>
      </c>
      <c r="AB27" s="461"/>
      <c r="AC27" s="460"/>
      <c r="AD27" s="460"/>
      <c r="AE27" s="462" t="s">
        <v>2640</v>
      </c>
      <c r="AF27" s="462" t="s">
        <v>2641</v>
      </c>
      <c r="AG27" s="462" t="s">
        <v>2642</v>
      </c>
      <c r="AH27" s="462" t="s">
        <v>481</v>
      </c>
      <c r="AI27" s="462" t="s">
        <v>2643</v>
      </c>
      <c r="AJ27" s="463">
        <v>1730000</v>
      </c>
      <c r="AK27" s="464" t="s">
        <v>2644</v>
      </c>
      <c r="AL27" s="465" t="s">
        <v>751</v>
      </c>
      <c r="AM27" s="465" t="s">
        <v>751</v>
      </c>
      <c r="AN27" s="465" t="s">
        <v>751</v>
      </c>
      <c r="AO27" s="465" t="s">
        <v>751</v>
      </c>
      <c r="AP27" s="465" t="s">
        <v>751</v>
      </c>
      <c r="AQ27" s="465" t="s">
        <v>751</v>
      </c>
      <c r="AR27" s="465" t="s">
        <v>751</v>
      </c>
      <c r="AS27" s="465" t="s">
        <v>751</v>
      </c>
      <c r="AT27" s="465" t="s">
        <v>751</v>
      </c>
      <c r="AU27" s="465" t="s">
        <v>751</v>
      </c>
      <c r="AV27" s="465" t="s">
        <v>751</v>
      </c>
      <c r="AW27" s="465" t="s">
        <v>751</v>
      </c>
      <c r="AX27" s="464" t="s">
        <v>2645</v>
      </c>
      <c r="AY27" s="466" t="s">
        <v>2646</v>
      </c>
    </row>
    <row r="28" spans="1:51" ht="299.25" customHeight="1" x14ac:dyDescent="0.25">
      <c r="A28" s="467" t="s">
        <v>201</v>
      </c>
      <c r="B28" s="246" t="s">
        <v>2531</v>
      </c>
      <c r="C28" s="875"/>
      <c r="D28" s="875"/>
      <c r="E28" s="875"/>
      <c r="F28" s="246" t="s">
        <v>2636</v>
      </c>
      <c r="G28" s="875"/>
      <c r="H28" s="176" t="s">
        <v>2647</v>
      </c>
      <c r="I28" s="176" t="s">
        <v>2648</v>
      </c>
      <c r="J28" s="176">
        <v>5.5</v>
      </c>
      <c r="K28" s="176" t="s">
        <v>323</v>
      </c>
      <c r="L28" s="176">
        <v>10</v>
      </c>
      <c r="M28" s="176">
        <v>3.5</v>
      </c>
      <c r="N28" s="176" t="s">
        <v>2648</v>
      </c>
      <c r="O28" s="176">
        <v>5.5</v>
      </c>
      <c r="P28" s="468">
        <f t="shared" si="5"/>
        <v>24000</v>
      </c>
      <c r="Q28" s="468">
        <v>22000</v>
      </c>
      <c r="R28" s="469"/>
      <c r="S28" s="387"/>
      <c r="T28" s="387"/>
      <c r="U28" s="387"/>
      <c r="V28" s="387"/>
      <c r="W28" s="387"/>
      <c r="X28" s="387"/>
      <c r="Y28" s="387"/>
      <c r="Z28" s="387"/>
      <c r="AA28" s="425"/>
      <c r="AB28" s="425">
        <v>2000</v>
      </c>
      <c r="AC28" s="387"/>
      <c r="AD28" s="387"/>
      <c r="AE28" s="384" t="s">
        <v>2649</v>
      </c>
      <c r="AF28" s="470" t="s">
        <v>2650</v>
      </c>
      <c r="AG28" s="384" t="s">
        <v>2651</v>
      </c>
      <c r="AH28" s="384" t="s">
        <v>580</v>
      </c>
      <c r="AI28" s="468" t="s">
        <v>2652</v>
      </c>
      <c r="AJ28" s="468">
        <v>67731.399999999994</v>
      </c>
      <c r="AK28" s="383" t="s">
        <v>2653</v>
      </c>
      <c r="AL28" s="471" t="s">
        <v>751</v>
      </c>
      <c r="AM28" s="471" t="s">
        <v>751</v>
      </c>
      <c r="AN28" s="471" t="s">
        <v>751</v>
      </c>
      <c r="AO28" s="471" t="s">
        <v>751</v>
      </c>
      <c r="AP28" s="471" t="s">
        <v>751</v>
      </c>
      <c r="AQ28" s="471" t="s">
        <v>751</v>
      </c>
      <c r="AR28" s="471" t="s">
        <v>751</v>
      </c>
      <c r="AS28" s="471" t="s">
        <v>751</v>
      </c>
      <c r="AT28" s="471" t="s">
        <v>751</v>
      </c>
      <c r="AU28" s="471" t="s">
        <v>751</v>
      </c>
      <c r="AV28" s="471" t="s">
        <v>751</v>
      </c>
      <c r="AW28" s="471" t="s">
        <v>751</v>
      </c>
      <c r="AX28" s="384" t="s">
        <v>2645</v>
      </c>
      <c r="AY28" s="472" t="s">
        <v>2654</v>
      </c>
    </row>
    <row r="29" spans="1:51" ht="370.5" x14ac:dyDescent="0.25">
      <c r="A29" s="467" t="s">
        <v>201</v>
      </c>
      <c r="B29" s="246" t="s">
        <v>2531</v>
      </c>
      <c r="C29" s="875"/>
      <c r="D29" s="875"/>
      <c r="E29" s="875"/>
      <c r="F29" s="246" t="s">
        <v>2636</v>
      </c>
      <c r="G29" s="875"/>
      <c r="H29" s="176" t="s">
        <v>2655</v>
      </c>
      <c r="I29" s="176" t="s">
        <v>2656</v>
      </c>
      <c r="J29" s="176">
        <v>5.5</v>
      </c>
      <c r="K29" s="176" t="s">
        <v>323</v>
      </c>
      <c r="L29" s="176">
        <v>10</v>
      </c>
      <c r="M29" s="176">
        <v>3.5</v>
      </c>
      <c r="N29" s="176" t="s">
        <v>2656</v>
      </c>
      <c r="O29" s="176">
        <v>5.5</v>
      </c>
      <c r="P29" s="468">
        <f t="shared" si="5"/>
        <v>32000</v>
      </c>
      <c r="Q29" s="468">
        <v>22000</v>
      </c>
      <c r="R29" s="387"/>
      <c r="S29" s="387"/>
      <c r="T29" s="387"/>
      <c r="U29" s="387"/>
      <c r="V29" s="387"/>
      <c r="W29" s="387"/>
      <c r="X29" s="387"/>
      <c r="Y29" s="387"/>
      <c r="Z29" s="387"/>
      <c r="AA29" s="425">
        <v>10000</v>
      </c>
      <c r="AB29" s="425"/>
      <c r="AC29" s="387"/>
      <c r="AD29" s="387"/>
      <c r="AE29" s="384" t="s">
        <v>2649</v>
      </c>
      <c r="AF29" s="470" t="s">
        <v>2650</v>
      </c>
      <c r="AG29" s="384" t="s">
        <v>2651</v>
      </c>
      <c r="AH29" s="384" t="s">
        <v>580</v>
      </c>
      <c r="AI29" s="468" t="s">
        <v>2652</v>
      </c>
      <c r="AJ29" s="468">
        <v>67731.399999999994</v>
      </c>
      <c r="AK29" s="383" t="s">
        <v>2653</v>
      </c>
      <c r="AL29" s="471" t="s">
        <v>751</v>
      </c>
      <c r="AM29" s="471" t="s">
        <v>751</v>
      </c>
      <c r="AN29" s="471" t="s">
        <v>751</v>
      </c>
      <c r="AO29" s="471" t="s">
        <v>751</v>
      </c>
      <c r="AP29" s="471" t="s">
        <v>751</v>
      </c>
      <c r="AQ29" s="471" t="s">
        <v>751</v>
      </c>
      <c r="AR29" s="471" t="s">
        <v>751</v>
      </c>
      <c r="AS29" s="471" t="s">
        <v>751</v>
      </c>
      <c r="AT29" s="471" t="s">
        <v>751</v>
      </c>
      <c r="AU29" s="471" t="s">
        <v>751</v>
      </c>
      <c r="AV29" s="471" t="s">
        <v>751</v>
      </c>
      <c r="AW29" s="471" t="s">
        <v>751</v>
      </c>
      <c r="AX29" s="384" t="s">
        <v>2645</v>
      </c>
      <c r="AY29" s="472" t="s">
        <v>2654</v>
      </c>
    </row>
    <row r="30" spans="1:51" ht="213.75" x14ac:dyDescent="0.25">
      <c r="A30" s="467" t="s">
        <v>201</v>
      </c>
      <c r="B30" s="246" t="s">
        <v>2531</v>
      </c>
      <c r="C30" s="875"/>
      <c r="D30" s="875"/>
      <c r="E30" s="875"/>
      <c r="F30" s="246" t="s">
        <v>2657</v>
      </c>
      <c r="G30" s="875" t="s">
        <v>2658</v>
      </c>
      <c r="H30" s="176" t="s">
        <v>2659</v>
      </c>
      <c r="I30" s="176" t="s">
        <v>2660</v>
      </c>
      <c r="J30" s="176">
        <v>1</v>
      </c>
      <c r="K30" s="176" t="s">
        <v>323</v>
      </c>
      <c r="L30" s="176">
        <v>3</v>
      </c>
      <c r="M30" s="176">
        <v>2</v>
      </c>
      <c r="N30" s="176" t="s">
        <v>2660</v>
      </c>
      <c r="O30" s="176">
        <v>1</v>
      </c>
      <c r="P30" s="473">
        <f t="shared" si="5"/>
        <v>862096.92999999993</v>
      </c>
      <c r="Q30" s="473">
        <v>0</v>
      </c>
      <c r="R30" s="384"/>
      <c r="S30" s="384"/>
      <c r="T30" s="384"/>
      <c r="U30" s="468">
        <v>164763.93</v>
      </c>
      <c r="V30" s="384"/>
      <c r="W30" s="384"/>
      <c r="X30" s="384"/>
      <c r="Y30" s="384"/>
      <c r="Z30" s="384"/>
      <c r="AA30" s="474">
        <v>97333</v>
      </c>
      <c r="AB30" s="474">
        <v>600000</v>
      </c>
      <c r="AC30" s="384"/>
      <c r="AD30" s="384"/>
      <c r="AE30" s="475" t="s">
        <v>2661</v>
      </c>
      <c r="AF30" s="476" t="s">
        <v>2662</v>
      </c>
      <c r="AG30" s="475" t="s">
        <v>1872</v>
      </c>
      <c r="AH30" s="475" t="s">
        <v>1826</v>
      </c>
      <c r="AI30" s="477">
        <v>35461</v>
      </c>
      <c r="AJ30" s="477">
        <v>215000</v>
      </c>
      <c r="AK30" s="475" t="s">
        <v>2663</v>
      </c>
      <c r="AL30" s="471" t="s">
        <v>751</v>
      </c>
      <c r="AM30" s="471" t="s">
        <v>751</v>
      </c>
      <c r="AN30" s="471" t="s">
        <v>751</v>
      </c>
      <c r="AO30" s="471" t="s">
        <v>751</v>
      </c>
      <c r="AP30" s="471" t="s">
        <v>751</v>
      </c>
      <c r="AQ30" s="471" t="s">
        <v>751</v>
      </c>
      <c r="AR30" s="471" t="s">
        <v>751</v>
      </c>
      <c r="AS30" s="471" t="s">
        <v>751</v>
      </c>
      <c r="AT30" s="471" t="s">
        <v>751</v>
      </c>
      <c r="AU30" s="471" t="s">
        <v>751</v>
      </c>
      <c r="AV30" s="471" t="s">
        <v>751</v>
      </c>
      <c r="AW30" s="471" t="s">
        <v>751</v>
      </c>
      <c r="AX30" s="384" t="s">
        <v>2645</v>
      </c>
      <c r="AY30" s="472" t="s">
        <v>2664</v>
      </c>
    </row>
    <row r="31" spans="1:51" ht="210" x14ac:dyDescent="0.25">
      <c r="A31" s="467" t="s">
        <v>201</v>
      </c>
      <c r="B31" s="246" t="s">
        <v>2531</v>
      </c>
      <c r="C31" s="875"/>
      <c r="D31" s="875"/>
      <c r="E31" s="875"/>
      <c r="F31" s="246" t="s">
        <v>2657</v>
      </c>
      <c r="G31" s="875"/>
      <c r="H31" s="176" t="s">
        <v>2665</v>
      </c>
      <c r="I31" s="176" t="s">
        <v>2666</v>
      </c>
      <c r="J31" s="176">
        <v>1</v>
      </c>
      <c r="K31" s="176" t="s">
        <v>323</v>
      </c>
      <c r="L31" s="176">
        <v>8</v>
      </c>
      <c r="M31" s="176">
        <v>0</v>
      </c>
      <c r="N31" s="176" t="s">
        <v>2666</v>
      </c>
      <c r="O31" s="176">
        <v>1</v>
      </c>
      <c r="P31" s="473">
        <f t="shared" si="5"/>
        <v>0</v>
      </c>
      <c r="Q31" s="473">
        <v>0</v>
      </c>
      <c r="R31" s="384"/>
      <c r="S31" s="384"/>
      <c r="T31" s="384"/>
      <c r="U31" s="384"/>
      <c r="V31" s="384"/>
      <c r="W31" s="384"/>
      <c r="X31" s="384"/>
      <c r="Y31" s="384"/>
      <c r="Z31" s="384"/>
      <c r="AA31" s="384"/>
      <c r="AB31" s="384"/>
      <c r="AC31" s="384"/>
      <c r="AD31" s="384"/>
      <c r="AE31" s="475" t="s">
        <v>2661</v>
      </c>
      <c r="AF31" s="476" t="s">
        <v>2662</v>
      </c>
      <c r="AG31" s="475" t="s">
        <v>1872</v>
      </c>
      <c r="AH31" s="475" t="s">
        <v>1826</v>
      </c>
      <c r="AI31" s="477">
        <v>35461</v>
      </c>
      <c r="AJ31" s="477">
        <v>215000</v>
      </c>
      <c r="AK31" s="475" t="s">
        <v>2663</v>
      </c>
      <c r="AL31" s="471" t="s">
        <v>751</v>
      </c>
      <c r="AM31" s="471" t="s">
        <v>751</v>
      </c>
      <c r="AN31" s="471" t="s">
        <v>751</v>
      </c>
      <c r="AO31" s="471" t="s">
        <v>751</v>
      </c>
      <c r="AP31" s="471" t="s">
        <v>751</v>
      </c>
      <c r="AQ31" s="471" t="s">
        <v>751</v>
      </c>
      <c r="AR31" s="471" t="s">
        <v>751</v>
      </c>
      <c r="AS31" s="471" t="s">
        <v>751</v>
      </c>
      <c r="AT31" s="471" t="s">
        <v>751</v>
      </c>
      <c r="AU31" s="471" t="s">
        <v>751</v>
      </c>
      <c r="AV31" s="471" t="s">
        <v>751</v>
      </c>
      <c r="AW31" s="471" t="s">
        <v>751</v>
      </c>
      <c r="AX31" s="384" t="s">
        <v>2645</v>
      </c>
      <c r="AY31" s="472" t="s">
        <v>2667</v>
      </c>
    </row>
    <row r="32" spans="1:51" ht="228" x14ac:dyDescent="0.25">
      <c r="A32" s="467" t="s">
        <v>201</v>
      </c>
      <c r="B32" s="246" t="s">
        <v>2531</v>
      </c>
      <c r="C32" s="875"/>
      <c r="D32" s="875"/>
      <c r="E32" s="875"/>
      <c r="F32" s="246" t="s">
        <v>2668</v>
      </c>
      <c r="G32" s="875" t="s">
        <v>2669</v>
      </c>
      <c r="H32" s="176" t="s">
        <v>2670</v>
      </c>
      <c r="I32" s="176" t="s">
        <v>2671</v>
      </c>
      <c r="J32" s="176">
        <v>1.5</v>
      </c>
      <c r="K32" s="176" t="s">
        <v>323</v>
      </c>
      <c r="L32" s="176">
        <v>4</v>
      </c>
      <c r="M32" s="176">
        <v>0.5</v>
      </c>
      <c r="N32" s="176" t="s">
        <v>2671</v>
      </c>
      <c r="O32" s="176">
        <v>1.5</v>
      </c>
      <c r="P32" s="473">
        <f t="shared" si="5"/>
        <v>1000</v>
      </c>
      <c r="Q32" s="473">
        <v>0</v>
      </c>
      <c r="R32" s="384"/>
      <c r="S32" s="384"/>
      <c r="T32" s="384"/>
      <c r="U32" s="384"/>
      <c r="V32" s="384"/>
      <c r="W32" s="384"/>
      <c r="X32" s="384"/>
      <c r="Y32" s="384"/>
      <c r="Z32" s="384"/>
      <c r="AA32" s="384"/>
      <c r="AB32" s="468">
        <v>1000</v>
      </c>
      <c r="AC32" s="384"/>
      <c r="AD32" s="384"/>
      <c r="AE32" s="475" t="s">
        <v>2640</v>
      </c>
      <c r="AF32" s="476" t="s">
        <v>2641</v>
      </c>
      <c r="AG32" s="384" t="s">
        <v>2642</v>
      </c>
      <c r="AH32" s="384" t="s">
        <v>481</v>
      </c>
      <c r="AI32" s="477" t="s">
        <v>2672</v>
      </c>
      <c r="AJ32" s="477">
        <v>3762</v>
      </c>
      <c r="AK32" s="384" t="s">
        <v>2673</v>
      </c>
      <c r="AL32" s="471" t="s">
        <v>751</v>
      </c>
      <c r="AM32" s="471" t="s">
        <v>751</v>
      </c>
      <c r="AN32" s="471" t="s">
        <v>751</v>
      </c>
      <c r="AO32" s="471" t="s">
        <v>751</v>
      </c>
      <c r="AP32" s="471" t="s">
        <v>751</v>
      </c>
      <c r="AQ32" s="471" t="s">
        <v>751</v>
      </c>
      <c r="AR32" s="471" t="s">
        <v>751</v>
      </c>
      <c r="AS32" s="471" t="s">
        <v>751</v>
      </c>
      <c r="AT32" s="471" t="s">
        <v>751</v>
      </c>
      <c r="AU32" s="471" t="s">
        <v>751</v>
      </c>
      <c r="AV32" s="471" t="s">
        <v>751</v>
      </c>
      <c r="AW32" s="471" t="s">
        <v>751</v>
      </c>
      <c r="AX32" s="384" t="s">
        <v>2645</v>
      </c>
      <c r="AY32" s="472" t="s">
        <v>2674</v>
      </c>
    </row>
    <row r="33" spans="1:51" ht="409.5" x14ac:dyDescent="0.25">
      <c r="A33" s="467" t="s">
        <v>201</v>
      </c>
      <c r="B33" s="246" t="s">
        <v>2531</v>
      </c>
      <c r="C33" s="875"/>
      <c r="D33" s="875"/>
      <c r="E33" s="875"/>
      <c r="F33" s="246" t="s">
        <v>2668</v>
      </c>
      <c r="G33" s="875"/>
      <c r="H33" s="176" t="s">
        <v>2675</v>
      </c>
      <c r="I33" s="176" t="s">
        <v>2676</v>
      </c>
      <c r="J33" s="176">
        <v>6</v>
      </c>
      <c r="K33" s="176" t="s">
        <v>323</v>
      </c>
      <c r="L33" s="176">
        <v>7</v>
      </c>
      <c r="M33" s="176">
        <v>3</v>
      </c>
      <c r="N33" s="176" t="s">
        <v>2676</v>
      </c>
      <c r="O33" s="176">
        <v>6</v>
      </c>
      <c r="P33" s="473">
        <f t="shared" si="5"/>
        <v>3921500</v>
      </c>
      <c r="Q33" s="473">
        <v>81500</v>
      </c>
      <c r="R33" s="384"/>
      <c r="S33" s="384"/>
      <c r="T33" s="384"/>
      <c r="U33" s="468">
        <v>3000000</v>
      </c>
      <c r="V33" s="384"/>
      <c r="W33" s="384"/>
      <c r="X33" s="384"/>
      <c r="Y33" s="384"/>
      <c r="Z33" s="384"/>
      <c r="AA33" s="468">
        <v>40000</v>
      </c>
      <c r="AB33" s="468">
        <v>800000</v>
      </c>
      <c r="AC33" s="384"/>
      <c r="AD33" s="384"/>
      <c r="AE33" s="475" t="s">
        <v>2677</v>
      </c>
      <c r="AF33" s="475" t="s">
        <v>2678</v>
      </c>
      <c r="AG33" s="475" t="s">
        <v>2679</v>
      </c>
      <c r="AH33" s="475" t="s">
        <v>580</v>
      </c>
      <c r="AI33" s="477" t="s">
        <v>2680</v>
      </c>
      <c r="AJ33" s="477">
        <v>3767000</v>
      </c>
      <c r="AK33" s="475" t="s">
        <v>2681</v>
      </c>
      <c r="AL33" s="471" t="s">
        <v>751</v>
      </c>
      <c r="AM33" s="471" t="s">
        <v>751</v>
      </c>
      <c r="AN33" s="471" t="s">
        <v>751</v>
      </c>
      <c r="AO33" s="471" t="s">
        <v>751</v>
      </c>
      <c r="AP33" s="471" t="s">
        <v>751</v>
      </c>
      <c r="AQ33" s="471" t="s">
        <v>751</v>
      </c>
      <c r="AR33" s="471" t="s">
        <v>751</v>
      </c>
      <c r="AS33" s="471" t="s">
        <v>751</v>
      </c>
      <c r="AT33" s="471" t="s">
        <v>751</v>
      </c>
      <c r="AU33" s="471" t="s">
        <v>751</v>
      </c>
      <c r="AV33" s="471" t="s">
        <v>751</v>
      </c>
      <c r="AW33" s="471" t="s">
        <v>751</v>
      </c>
      <c r="AX33" s="384" t="s">
        <v>2645</v>
      </c>
      <c r="AY33" s="472"/>
    </row>
    <row r="34" spans="1:51" ht="360.75" thickBot="1" x14ac:dyDescent="0.3">
      <c r="A34" s="478" t="s">
        <v>201</v>
      </c>
      <c r="B34" s="270" t="s">
        <v>2531</v>
      </c>
      <c r="C34" s="873"/>
      <c r="D34" s="873"/>
      <c r="E34" s="873"/>
      <c r="F34" s="221" t="s">
        <v>2682</v>
      </c>
      <c r="G34" s="221" t="s">
        <v>2683</v>
      </c>
      <c r="H34" s="221" t="s">
        <v>2684</v>
      </c>
      <c r="I34" s="221" t="s">
        <v>2685</v>
      </c>
      <c r="J34" s="221">
        <v>3.5</v>
      </c>
      <c r="K34" s="221" t="s">
        <v>323</v>
      </c>
      <c r="L34" s="221">
        <v>4</v>
      </c>
      <c r="M34" s="221">
        <v>0.5</v>
      </c>
      <c r="N34" s="221" t="s">
        <v>2685</v>
      </c>
      <c r="O34" s="221">
        <v>3.5</v>
      </c>
      <c r="P34" s="479">
        <f t="shared" si="5"/>
        <v>114600</v>
      </c>
      <c r="Q34" s="479">
        <v>37100</v>
      </c>
      <c r="R34" s="433"/>
      <c r="S34" s="433"/>
      <c r="T34" s="433"/>
      <c r="U34" s="433"/>
      <c r="V34" s="433"/>
      <c r="W34" s="433"/>
      <c r="X34" s="433"/>
      <c r="Y34" s="433"/>
      <c r="Z34" s="433"/>
      <c r="AA34" s="433"/>
      <c r="AB34" s="479">
        <v>77500</v>
      </c>
      <c r="AC34" s="433"/>
      <c r="AD34" s="433"/>
      <c r="AE34" s="433" t="s">
        <v>2686</v>
      </c>
      <c r="AF34" s="480" t="s">
        <v>2687</v>
      </c>
      <c r="AG34" s="433" t="s">
        <v>2688</v>
      </c>
      <c r="AH34" s="433" t="s">
        <v>2689</v>
      </c>
      <c r="AI34" s="479" t="s">
        <v>2690</v>
      </c>
      <c r="AJ34" s="479">
        <v>106175</v>
      </c>
      <c r="AK34" s="481" t="s">
        <v>2691</v>
      </c>
      <c r="AL34" s="482" t="s">
        <v>751</v>
      </c>
      <c r="AM34" s="482" t="s">
        <v>751</v>
      </c>
      <c r="AN34" s="482" t="s">
        <v>751</v>
      </c>
      <c r="AO34" s="482" t="s">
        <v>751</v>
      </c>
      <c r="AP34" s="482" t="s">
        <v>751</v>
      </c>
      <c r="AQ34" s="482" t="s">
        <v>751</v>
      </c>
      <c r="AR34" s="482" t="s">
        <v>751</v>
      </c>
      <c r="AS34" s="482" t="s">
        <v>751</v>
      </c>
      <c r="AT34" s="482" t="s">
        <v>751</v>
      </c>
      <c r="AU34" s="482" t="s">
        <v>751</v>
      </c>
      <c r="AV34" s="482" t="s">
        <v>751</v>
      </c>
      <c r="AW34" s="482" t="s">
        <v>751</v>
      </c>
      <c r="AX34" s="433" t="s">
        <v>2645</v>
      </c>
      <c r="AY34" s="483" t="s">
        <v>2692</v>
      </c>
    </row>
    <row r="35" spans="1:51" ht="384.75" x14ac:dyDescent="0.25">
      <c r="A35" s="456" t="s">
        <v>201</v>
      </c>
      <c r="B35" s="457" t="s">
        <v>2531</v>
      </c>
      <c r="C35" s="884" t="s">
        <v>2693</v>
      </c>
      <c r="D35" s="884" t="s">
        <v>2694</v>
      </c>
      <c r="E35" s="884" t="s">
        <v>2695</v>
      </c>
      <c r="F35" s="457" t="s">
        <v>2696</v>
      </c>
      <c r="G35" s="884" t="s">
        <v>2697</v>
      </c>
      <c r="H35" s="458" t="s">
        <v>2698</v>
      </c>
      <c r="I35" s="458" t="s">
        <v>2699</v>
      </c>
      <c r="J35" s="458">
        <v>160</v>
      </c>
      <c r="K35" s="458" t="s">
        <v>323</v>
      </c>
      <c r="L35" s="458">
        <v>100</v>
      </c>
      <c r="M35" s="484">
        <v>15</v>
      </c>
      <c r="N35" s="485" t="str">
        <f>+I35</f>
        <v xml:space="preserve">Número de nuevas unidades de producción minera (UPM)  en su proceso de formalización asistidas técnicamente </v>
      </c>
      <c r="O35" s="384">
        <f>+J35</f>
        <v>160</v>
      </c>
      <c r="P35" s="486">
        <f>Q35</f>
        <v>136000</v>
      </c>
      <c r="Q35" s="486">
        <v>136000</v>
      </c>
      <c r="R35" s="387"/>
      <c r="S35" s="387"/>
      <c r="T35" s="387"/>
      <c r="U35" s="387"/>
      <c r="V35" s="387"/>
      <c r="W35" s="387"/>
      <c r="X35" s="387"/>
      <c r="Y35" s="387"/>
      <c r="Z35" s="387"/>
      <c r="AA35" s="387"/>
      <c r="AB35" s="387"/>
      <c r="AC35" s="387"/>
      <c r="AD35" s="387"/>
      <c r="AE35" s="384" t="s">
        <v>2700</v>
      </c>
      <c r="AF35" s="396" t="s">
        <v>2540</v>
      </c>
      <c r="AG35" s="384" t="s">
        <v>553</v>
      </c>
      <c r="AH35" s="383" t="s">
        <v>2701</v>
      </c>
      <c r="AI35" s="386">
        <v>500000</v>
      </c>
      <c r="AJ35" s="389">
        <v>136000</v>
      </c>
      <c r="AK35" s="487" t="s">
        <v>2702</v>
      </c>
      <c r="AL35" s="390" t="s">
        <v>395</v>
      </c>
      <c r="AM35" s="390" t="s">
        <v>395</v>
      </c>
      <c r="AN35" s="390" t="s">
        <v>395</v>
      </c>
      <c r="AO35" s="390" t="s">
        <v>395</v>
      </c>
      <c r="AP35" s="390" t="s">
        <v>395</v>
      </c>
      <c r="AQ35" s="390" t="s">
        <v>395</v>
      </c>
      <c r="AR35" s="390" t="s">
        <v>395</v>
      </c>
      <c r="AS35" s="390" t="s">
        <v>395</v>
      </c>
      <c r="AT35" s="390" t="s">
        <v>395</v>
      </c>
      <c r="AU35" s="390" t="s">
        <v>395</v>
      </c>
      <c r="AV35" s="390" t="s">
        <v>395</v>
      </c>
      <c r="AW35" s="390" t="s">
        <v>395</v>
      </c>
      <c r="AX35" s="383" t="s">
        <v>2703</v>
      </c>
      <c r="AY35" s="383" t="s">
        <v>2704</v>
      </c>
    </row>
    <row r="36" spans="1:51" ht="195.75" thickBot="1" x14ac:dyDescent="0.3">
      <c r="A36" s="467" t="s">
        <v>201</v>
      </c>
      <c r="B36" s="246" t="s">
        <v>2531</v>
      </c>
      <c r="C36" s="875"/>
      <c r="D36" s="875"/>
      <c r="E36" s="875"/>
      <c r="F36" s="400" t="s">
        <v>2696</v>
      </c>
      <c r="G36" s="881"/>
      <c r="H36" s="401" t="s">
        <v>2705</v>
      </c>
      <c r="I36" s="401" t="s">
        <v>2706</v>
      </c>
      <c r="J36" s="401">
        <v>150</v>
      </c>
      <c r="K36" s="401" t="s">
        <v>323</v>
      </c>
      <c r="L36" s="401">
        <v>100</v>
      </c>
      <c r="M36" s="410">
        <v>20</v>
      </c>
      <c r="N36" s="404" t="str">
        <f t="shared" ref="N36:O44" si="6">+I36</f>
        <v>Número de nuevas unidades de producción minera (UPM)  en la actualización de la normatividad minera asistidas</v>
      </c>
      <c r="O36" s="405">
        <f t="shared" si="6"/>
        <v>150</v>
      </c>
      <c r="P36" s="488">
        <f>AB36</f>
        <v>100000</v>
      </c>
      <c r="Q36" s="486"/>
      <c r="R36" s="408"/>
      <c r="S36" s="408"/>
      <c r="T36" s="408"/>
      <c r="U36" s="408"/>
      <c r="V36" s="408"/>
      <c r="W36" s="408"/>
      <c r="X36" s="408"/>
      <c r="Y36" s="408"/>
      <c r="Z36" s="408"/>
      <c r="AA36" s="408"/>
      <c r="AB36" s="407">
        <v>100000</v>
      </c>
      <c r="AC36" s="408"/>
      <c r="AD36" s="408"/>
      <c r="AE36" s="489" t="s">
        <v>2707</v>
      </c>
      <c r="AF36" s="408" t="s">
        <v>2540</v>
      </c>
      <c r="AG36" s="409" t="s">
        <v>2708</v>
      </c>
      <c r="AH36" s="408" t="s">
        <v>2709</v>
      </c>
      <c r="AI36" s="410"/>
      <c r="AJ36" s="410">
        <v>100000</v>
      </c>
      <c r="AK36" s="489" t="s">
        <v>2710</v>
      </c>
      <c r="AL36" s="490" t="s">
        <v>395</v>
      </c>
      <c r="AM36" s="490" t="s">
        <v>395</v>
      </c>
      <c r="AN36" s="490" t="s">
        <v>395</v>
      </c>
      <c r="AO36" s="490" t="s">
        <v>395</v>
      </c>
      <c r="AP36" s="490" t="s">
        <v>395</v>
      </c>
      <c r="AQ36" s="490" t="s">
        <v>395</v>
      </c>
      <c r="AR36" s="490" t="s">
        <v>395</v>
      </c>
      <c r="AS36" s="490" t="s">
        <v>395</v>
      </c>
      <c r="AT36" s="490" t="s">
        <v>395</v>
      </c>
      <c r="AU36" s="490" t="s">
        <v>395</v>
      </c>
      <c r="AV36" s="490" t="s">
        <v>395</v>
      </c>
      <c r="AW36" s="490" t="s">
        <v>395</v>
      </c>
      <c r="AX36" s="491" t="s">
        <v>2703</v>
      </c>
      <c r="AY36" s="491" t="s">
        <v>2704</v>
      </c>
    </row>
    <row r="37" spans="1:51" ht="314.25" thickTop="1" x14ac:dyDescent="0.25">
      <c r="A37" s="467" t="s">
        <v>201</v>
      </c>
      <c r="B37" s="246" t="s">
        <v>2531</v>
      </c>
      <c r="C37" s="875"/>
      <c r="D37" s="875"/>
      <c r="E37" s="875"/>
      <c r="F37" s="492" t="s">
        <v>2711</v>
      </c>
      <c r="G37" s="886" t="s">
        <v>2712</v>
      </c>
      <c r="H37" s="493" t="s">
        <v>2713</v>
      </c>
      <c r="I37" s="493" t="s">
        <v>2714</v>
      </c>
      <c r="J37" s="493" t="s">
        <v>2715</v>
      </c>
      <c r="K37" s="493" t="s">
        <v>323</v>
      </c>
      <c r="L37" s="493">
        <v>1</v>
      </c>
      <c r="M37" s="494">
        <v>0.4</v>
      </c>
      <c r="N37" s="495" t="str">
        <f t="shared" si="6"/>
        <v>Número de estrategias que permita fortalecer 4 distritos mineros en desarrollo productivo y sostenible implementadas</v>
      </c>
      <c r="O37" s="496" t="str">
        <f t="shared" si="6"/>
        <v>2 distritos mineros fortalecidos</v>
      </c>
      <c r="P37" s="494">
        <v>800000</v>
      </c>
      <c r="Q37" s="494"/>
      <c r="R37" s="497"/>
      <c r="S37" s="497"/>
      <c r="T37" s="497"/>
      <c r="U37" s="498">
        <v>700000</v>
      </c>
      <c r="V37" s="497"/>
      <c r="W37" s="497"/>
      <c r="X37" s="497"/>
      <c r="Y37" s="497"/>
      <c r="Z37" s="497"/>
      <c r="AA37" s="497"/>
      <c r="AB37" s="498">
        <v>100000</v>
      </c>
      <c r="AC37" s="497"/>
      <c r="AD37" s="497"/>
      <c r="AE37" s="499" t="s">
        <v>2716</v>
      </c>
      <c r="AF37" s="500">
        <v>0</v>
      </c>
      <c r="AG37" s="499" t="s">
        <v>2717</v>
      </c>
      <c r="AH37" s="496" t="s">
        <v>2718</v>
      </c>
      <c r="AI37" s="498">
        <v>36000</v>
      </c>
      <c r="AJ37" s="421">
        <v>836500</v>
      </c>
      <c r="AK37" s="501" t="s">
        <v>2719</v>
      </c>
      <c r="AL37" s="502" t="s">
        <v>395</v>
      </c>
      <c r="AM37" s="502" t="s">
        <v>395</v>
      </c>
      <c r="AN37" s="502" t="s">
        <v>395</v>
      </c>
      <c r="AO37" s="502" t="s">
        <v>395</v>
      </c>
      <c r="AP37" s="502" t="s">
        <v>395</v>
      </c>
      <c r="AQ37" s="502" t="s">
        <v>395</v>
      </c>
      <c r="AR37" s="502" t="s">
        <v>395</v>
      </c>
      <c r="AS37" s="502" t="s">
        <v>395</v>
      </c>
      <c r="AT37" s="502" t="s">
        <v>395</v>
      </c>
      <c r="AU37" s="502" t="s">
        <v>395</v>
      </c>
      <c r="AV37" s="502" t="s">
        <v>395</v>
      </c>
      <c r="AW37" s="502" t="s">
        <v>395</v>
      </c>
      <c r="AX37" s="503" t="s">
        <v>2703</v>
      </c>
      <c r="AY37" s="496"/>
    </row>
    <row r="38" spans="1:51" ht="242.25" x14ac:dyDescent="0.25">
      <c r="A38" s="467"/>
      <c r="B38" s="246"/>
      <c r="C38" s="875"/>
      <c r="D38" s="875"/>
      <c r="E38" s="875"/>
      <c r="F38" s="250" t="s">
        <v>2711</v>
      </c>
      <c r="G38" s="876"/>
      <c r="H38" s="222" t="s">
        <v>2713</v>
      </c>
      <c r="I38" s="222" t="s">
        <v>2714</v>
      </c>
      <c r="J38" s="222" t="s">
        <v>2715</v>
      </c>
      <c r="K38" s="222" t="s">
        <v>323</v>
      </c>
      <c r="L38" s="222">
        <v>1</v>
      </c>
      <c r="M38" s="504">
        <v>0.4</v>
      </c>
      <c r="N38" s="414" t="str">
        <f t="shared" si="6"/>
        <v>Número de estrategias que permita fortalecer 4 distritos mineros en desarrollo productivo y sostenible implementadas</v>
      </c>
      <c r="O38" s="415" t="str">
        <f t="shared" si="6"/>
        <v>2 distritos mineros fortalecidos</v>
      </c>
      <c r="P38" s="504">
        <v>600000</v>
      </c>
      <c r="Q38" s="504"/>
      <c r="R38" s="505"/>
      <c r="S38" s="505"/>
      <c r="T38" s="505"/>
      <c r="U38" s="421">
        <v>600000</v>
      </c>
      <c r="V38" s="505"/>
      <c r="W38" s="505"/>
      <c r="X38" s="505"/>
      <c r="Y38" s="505"/>
      <c r="Z38" s="505"/>
      <c r="AA38" s="505"/>
      <c r="AB38" s="421"/>
      <c r="AC38" s="505"/>
      <c r="AD38" s="505"/>
      <c r="AE38" s="506" t="s">
        <v>2720</v>
      </c>
      <c r="AF38" s="507">
        <v>0</v>
      </c>
      <c r="AG38" s="506" t="s">
        <v>2721</v>
      </c>
      <c r="AH38" s="508" t="s">
        <v>481</v>
      </c>
      <c r="AI38" s="509">
        <v>25000</v>
      </c>
      <c r="AJ38" s="510">
        <v>600000</v>
      </c>
      <c r="AK38" s="511" t="s">
        <v>2722</v>
      </c>
      <c r="AL38" s="512" t="s">
        <v>395</v>
      </c>
      <c r="AM38" s="512" t="s">
        <v>395</v>
      </c>
      <c r="AN38" s="512" t="s">
        <v>395</v>
      </c>
      <c r="AO38" s="512" t="s">
        <v>395</v>
      </c>
      <c r="AP38" s="512" t="s">
        <v>395</v>
      </c>
      <c r="AQ38" s="512" t="s">
        <v>395</v>
      </c>
      <c r="AR38" s="512" t="s">
        <v>395</v>
      </c>
      <c r="AS38" s="512" t="s">
        <v>395</v>
      </c>
      <c r="AT38" s="512" t="s">
        <v>395</v>
      </c>
      <c r="AU38" s="512" t="s">
        <v>395</v>
      </c>
      <c r="AV38" s="512" t="s">
        <v>395</v>
      </c>
      <c r="AW38" s="512" t="s">
        <v>395</v>
      </c>
      <c r="AX38" s="475" t="s">
        <v>2703</v>
      </c>
      <c r="AY38" s="415"/>
    </row>
    <row r="39" spans="1:51" ht="313.5" x14ac:dyDescent="0.25">
      <c r="A39" s="467" t="s">
        <v>201</v>
      </c>
      <c r="B39" s="246" t="s">
        <v>2531</v>
      </c>
      <c r="C39" s="875"/>
      <c r="D39" s="875"/>
      <c r="E39" s="875"/>
      <c r="F39" s="246" t="s">
        <v>2711</v>
      </c>
      <c r="G39" s="875"/>
      <c r="H39" s="176" t="s">
        <v>2723</v>
      </c>
      <c r="I39" s="176" t="s">
        <v>2724</v>
      </c>
      <c r="J39" s="176" t="s">
        <v>2725</v>
      </c>
      <c r="K39" s="176" t="s">
        <v>323</v>
      </c>
      <c r="L39" s="176">
        <v>1</v>
      </c>
      <c r="M39" s="486">
        <v>0.5</v>
      </c>
      <c r="N39" s="383" t="str">
        <f t="shared" si="6"/>
        <v>Sistema de información Geográfico en el módulo minero actualizado</v>
      </c>
      <c r="O39" s="384" t="str">
        <f t="shared" si="6"/>
        <v>Sistema de información Geográfico implementado.</v>
      </c>
      <c r="P39" s="421">
        <v>36500</v>
      </c>
      <c r="Q39" s="486"/>
      <c r="R39" s="388"/>
      <c r="S39" s="388"/>
      <c r="T39" s="388"/>
      <c r="U39" s="388"/>
      <c r="V39" s="388"/>
      <c r="W39" s="388"/>
      <c r="X39" s="389"/>
      <c r="Y39" s="388"/>
      <c r="Z39" s="388"/>
      <c r="AA39" s="388"/>
      <c r="AB39" s="513">
        <v>36500</v>
      </c>
      <c r="AC39" s="388"/>
      <c r="AD39" s="388"/>
      <c r="AE39" s="514" t="s">
        <v>2716</v>
      </c>
      <c r="AF39" s="419">
        <v>0</v>
      </c>
      <c r="AG39" s="514" t="s">
        <v>2717</v>
      </c>
      <c r="AH39" s="415" t="s">
        <v>2718</v>
      </c>
      <c r="AI39" s="421">
        <v>36000</v>
      </c>
      <c r="AJ39" s="421">
        <v>36500</v>
      </c>
      <c r="AK39" s="515" t="s">
        <v>2719</v>
      </c>
      <c r="AL39" s="423" t="s">
        <v>395</v>
      </c>
      <c r="AM39" s="423" t="s">
        <v>395</v>
      </c>
      <c r="AN39" s="423" t="s">
        <v>395</v>
      </c>
      <c r="AO39" s="423" t="s">
        <v>395</v>
      </c>
      <c r="AP39" s="423" t="s">
        <v>395</v>
      </c>
      <c r="AQ39" s="423" t="s">
        <v>395</v>
      </c>
      <c r="AR39" s="423" t="s">
        <v>395</v>
      </c>
      <c r="AS39" s="423" t="s">
        <v>395</v>
      </c>
      <c r="AT39" s="423" t="s">
        <v>395</v>
      </c>
      <c r="AU39" s="423" t="s">
        <v>395</v>
      </c>
      <c r="AV39" s="423" t="s">
        <v>395</v>
      </c>
      <c r="AW39" s="423" t="s">
        <v>395</v>
      </c>
      <c r="AX39" s="415" t="s">
        <v>2703</v>
      </c>
      <c r="AY39" s="415"/>
    </row>
    <row r="40" spans="1:51" ht="314.25" thickBot="1" x14ac:dyDescent="0.3">
      <c r="A40" s="467" t="s">
        <v>201</v>
      </c>
      <c r="B40" s="246" t="s">
        <v>2531</v>
      </c>
      <c r="C40" s="875"/>
      <c r="D40" s="875"/>
      <c r="E40" s="875"/>
      <c r="F40" s="400" t="s">
        <v>2711</v>
      </c>
      <c r="G40" s="881"/>
      <c r="H40" s="401" t="s">
        <v>2726</v>
      </c>
      <c r="I40" s="401" t="s">
        <v>2727</v>
      </c>
      <c r="J40" s="401" t="s">
        <v>2728</v>
      </c>
      <c r="K40" s="401" t="s">
        <v>323</v>
      </c>
      <c r="L40" s="401">
        <v>1</v>
      </c>
      <c r="M40" s="488">
        <v>0.2</v>
      </c>
      <c r="N40" s="404" t="str">
        <f t="shared" si="6"/>
        <v>Número de inventarios mineros en articulación con entidades oficiales elaborados</v>
      </c>
      <c r="O40" s="405" t="str">
        <f t="shared" si="6"/>
        <v>1 caracterización minera (39 municipios).</v>
      </c>
      <c r="P40" s="421">
        <v>0</v>
      </c>
      <c r="Q40" s="488"/>
      <c r="R40" s="409"/>
      <c r="S40" s="409"/>
      <c r="T40" s="409"/>
      <c r="U40" s="409"/>
      <c r="V40" s="409"/>
      <c r="W40" s="409"/>
      <c r="X40" s="409"/>
      <c r="Y40" s="409"/>
      <c r="Z40" s="409"/>
      <c r="AA40" s="409"/>
      <c r="AB40" s="410">
        <v>36500</v>
      </c>
      <c r="AC40" s="409"/>
      <c r="AD40" s="409"/>
      <c r="AE40" s="514" t="s">
        <v>2716</v>
      </c>
      <c r="AF40" s="419">
        <v>0</v>
      </c>
      <c r="AG40" s="514" t="s">
        <v>2717</v>
      </c>
      <c r="AH40" s="415" t="s">
        <v>2718</v>
      </c>
      <c r="AI40" s="421">
        <v>36000</v>
      </c>
      <c r="AJ40" s="421">
        <v>36500</v>
      </c>
      <c r="AK40" s="515" t="s">
        <v>2719</v>
      </c>
      <c r="AL40" s="423" t="s">
        <v>395</v>
      </c>
      <c r="AM40" s="423" t="s">
        <v>395</v>
      </c>
      <c r="AN40" s="423" t="s">
        <v>395</v>
      </c>
      <c r="AO40" s="423" t="s">
        <v>395</v>
      </c>
      <c r="AP40" s="423" t="s">
        <v>395</v>
      </c>
      <c r="AQ40" s="423" t="s">
        <v>395</v>
      </c>
      <c r="AR40" s="423" t="s">
        <v>395</v>
      </c>
      <c r="AS40" s="423" t="s">
        <v>395</v>
      </c>
      <c r="AT40" s="423" t="s">
        <v>395</v>
      </c>
      <c r="AU40" s="423" t="s">
        <v>395</v>
      </c>
      <c r="AV40" s="423" t="s">
        <v>395</v>
      </c>
      <c r="AW40" s="423" t="s">
        <v>395</v>
      </c>
      <c r="AX40" s="415" t="s">
        <v>2703</v>
      </c>
      <c r="AY40" s="415"/>
    </row>
    <row r="41" spans="1:51" ht="243" thickTop="1" x14ac:dyDescent="0.25">
      <c r="A41" s="467" t="s">
        <v>201</v>
      </c>
      <c r="B41" s="246" t="s">
        <v>2531</v>
      </c>
      <c r="C41" s="875"/>
      <c r="D41" s="875"/>
      <c r="E41" s="875"/>
      <c r="F41" s="886" t="s">
        <v>2729</v>
      </c>
      <c r="G41" s="886" t="s">
        <v>2730</v>
      </c>
      <c r="H41" s="493" t="s">
        <v>2731</v>
      </c>
      <c r="I41" s="493" t="s">
        <v>2732</v>
      </c>
      <c r="J41" s="493">
        <v>0</v>
      </c>
      <c r="K41" s="493" t="s">
        <v>323</v>
      </c>
      <c r="L41" s="493">
        <v>100</v>
      </c>
      <c r="M41" s="498">
        <v>40</v>
      </c>
      <c r="N41" s="495" t="str">
        <f t="shared" si="6"/>
        <v xml:space="preserve">Número de unidades de producción minera (UPM) asistidas técnicamente en seguridad minera </v>
      </c>
      <c r="O41" s="496">
        <f t="shared" si="6"/>
        <v>0</v>
      </c>
      <c r="P41" s="516">
        <v>300000</v>
      </c>
      <c r="Q41" s="517"/>
      <c r="R41" s="518"/>
      <c r="S41" s="518"/>
      <c r="T41" s="518"/>
      <c r="U41" s="516">
        <v>300000</v>
      </c>
      <c r="V41" s="518"/>
      <c r="W41" s="518"/>
      <c r="X41" s="518"/>
      <c r="Y41" s="518"/>
      <c r="Z41" s="518"/>
      <c r="AA41" s="516"/>
      <c r="AB41" s="518"/>
      <c r="AC41" s="518"/>
      <c r="AD41" s="518"/>
      <c r="AE41" s="519" t="s">
        <v>2733</v>
      </c>
      <c r="AF41" s="387" t="s">
        <v>2540</v>
      </c>
      <c r="AG41" s="519" t="s">
        <v>2734</v>
      </c>
      <c r="AH41" s="474" t="s">
        <v>1798</v>
      </c>
      <c r="AI41" s="519" t="s">
        <v>2735</v>
      </c>
      <c r="AJ41" s="389">
        <v>360000</v>
      </c>
      <c r="AK41" s="384" t="s">
        <v>2736</v>
      </c>
      <c r="AL41" s="390" t="s">
        <v>395</v>
      </c>
      <c r="AM41" s="390" t="s">
        <v>395</v>
      </c>
      <c r="AN41" s="390" t="s">
        <v>395</v>
      </c>
      <c r="AO41" s="390" t="s">
        <v>395</v>
      </c>
      <c r="AP41" s="390" t="s">
        <v>395</v>
      </c>
      <c r="AQ41" s="390" t="s">
        <v>395</v>
      </c>
      <c r="AR41" s="390" t="s">
        <v>395</v>
      </c>
      <c r="AS41" s="390" t="s">
        <v>395</v>
      </c>
      <c r="AT41" s="390" t="s">
        <v>395</v>
      </c>
      <c r="AU41" s="390" t="s">
        <v>395</v>
      </c>
      <c r="AV41" s="390" t="s">
        <v>395</v>
      </c>
      <c r="AW41" s="390" t="s">
        <v>395</v>
      </c>
      <c r="AX41" s="383" t="s">
        <v>2703</v>
      </c>
      <c r="AY41" s="518"/>
    </row>
    <row r="42" spans="1:51" ht="243" thickBot="1" x14ac:dyDescent="0.3">
      <c r="A42" s="467" t="s">
        <v>201</v>
      </c>
      <c r="B42" s="246" t="s">
        <v>2531</v>
      </c>
      <c r="C42" s="875"/>
      <c r="D42" s="875"/>
      <c r="E42" s="875"/>
      <c r="F42" s="881"/>
      <c r="G42" s="881"/>
      <c r="H42" s="401" t="s">
        <v>2737</v>
      </c>
      <c r="I42" s="401" t="s">
        <v>2738</v>
      </c>
      <c r="J42" s="401">
        <v>0</v>
      </c>
      <c r="K42" s="401" t="s">
        <v>323</v>
      </c>
      <c r="L42" s="401">
        <v>10</v>
      </c>
      <c r="M42" s="410">
        <v>6</v>
      </c>
      <c r="N42" s="404" t="str">
        <f t="shared" si="6"/>
        <v xml:space="preserve">Número de Unidades de Producción Minera -upm capacitadas y dotadas en salvamento minero </v>
      </c>
      <c r="O42" s="405">
        <f t="shared" si="6"/>
        <v>0</v>
      </c>
      <c r="P42" s="407">
        <v>60000</v>
      </c>
      <c r="Q42" s="406"/>
      <c r="R42" s="408"/>
      <c r="S42" s="408"/>
      <c r="T42" s="408"/>
      <c r="U42" s="407"/>
      <c r="V42" s="408"/>
      <c r="W42" s="408"/>
      <c r="X42" s="408"/>
      <c r="Y42" s="408"/>
      <c r="Z42" s="408"/>
      <c r="AA42" s="407">
        <v>60000</v>
      </c>
      <c r="AB42" s="407"/>
      <c r="AC42" s="408"/>
      <c r="AD42" s="408"/>
      <c r="AE42" s="520" t="s">
        <v>2733</v>
      </c>
      <c r="AF42" s="521" t="s">
        <v>2540</v>
      </c>
      <c r="AG42" s="520" t="s">
        <v>2734</v>
      </c>
      <c r="AH42" s="522" t="s">
        <v>1798</v>
      </c>
      <c r="AI42" s="520" t="s">
        <v>2735</v>
      </c>
      <c r="AJ42" s="523">
        <v>360000</v>
      </c>
      <c r="AK42" s="524" t="s">
        <v>2736</v>
      </c>
      <c r="AL42" s="490" t="s">
        <v>395</v>
      </c>
      <c r="AM42" s="490" t="s">
        <v>395</v>
      </c>
      <c r="AN42" s="490" t="s">
        <v>395</v>
      </c>
      <c r="AO42" s="490" t="s">
        <v>395</v>
      </c>
      <c r="AP42" s="490" t="s">
        <v>395</v>
      </c>
      <c r="AQ42" s="490" t="s">
        <v>395</v>
      </c>
      <c r="AR42" s="490" t="s">
        <v>395</v>
      </c>
      <c r="AS42" s="490" t="s">
        <v>395</v>
      </c>
      <c r="AT42" s="490" t="s">
        <v>395</v>
      </c>
      <c r="AU42" s="490" t="s">
        <v>395</v>
      </c>
      <c r="AV42" s="490" t="s">
        <v>395</v>
      </c>
      <c r="AW42" s="490" t="s">
        <v>395</v>
      </c>
      <c r="AX42" s="491" t="s">
        <v>2703</v>
      </c>
      <c r="AY42" s="405"/>
    </row>
    <row r="43" spans="1:51" ht="409.6" thickTop="1" x14ac:dyDescent="0.25">
      <c r="A43" s="467" t="s">
        <v>201</v>
      </c>
      <c r="B43" s="246" t="s">
        <v>2531</v>
      </c>
      <c r="C43" s="875"/>
      <c r="D43" s="875"/>
      <c r="E43" s="875"/>
      <c r="F43" s="876" t="s">
        <v>2739</v>
      </c>
      <c r="G43" s="876" t="s">
        <v>2740</v>
      </c>
      <c r="H43" s="222" t="s">
        <v>2741</v>
      </c>
      <c r="I43" s="222" t="s">
        <v>2742</v>
      </c>
      <c r="J43" s="222">
        <v>20</v>
      </c>
      <c r="K43" s="222" t="s">
        <v>323</v>
      </c>
      <c r="L43" s="222">
        <v>100</v>
      </c>
      <c r="M43" s="421">
        <v>40</v>
      </c>
      <c r="N43" s="414" t="str">
        <f t="shared" si="6"/>
        <v>Número de unidades de producción minera en procesos de protección ambiental asistidas técnicamente</v>
      </c>
      <c r="O43" s="415">
        <f t="shared" si="6"/>
        <v>20</v>
      </c>
      <c r="P43" s="417">
        <v>36500</v>
      </c>
      <c r="Q43" s="416"/>
      <c r="R43" s="418"/>
      <c r="S43" s="418"/>
      <c r="T43" s="418"/>
      <c r="U43" s="418"/>
      <c r="V43" s="418"/>
      <c r="W43" s="418"/>
      <c r="X43" s="418"/>
      <c r="Y43" s="418"/>
      <c r="Z43" s="418"/>
      <c r="AA43" s="418"/>
      <c r="AB43" s="417">
        <v>36500</v>
      </c>
      <c r="AC43" s="418"/>
      <c r="AD43" s="418"/>
      <c r="AE43" s="519" t="s">
        <v>2743</v>
      </c>
      <c r="AF43" s="387" t="s">
        <v>2540</v>
      </c>
      <c r="AG43" s="384" t="s">
        <v>2744</v>
      </c>
      <c r="AH43" s="474" t="s">
        <v>481</v>
      </c>
      <c r="AI43" s="519" t="s">
        <v>2745</v>
      </c>
      <c r="AJ43" s="389">
        <v>120000</v>
      </c>
      <c r="AK43" s="384" t="s">
        <v>2746</v>
      </c>
      <c r="AL43" s="390" t="s">
        <v>395</v>
      </c>
      <c r="AM43" s="390" t="s">
        <v>395</v>
      </c>
      <c r="AN43" s="390" t="s">
        <v>395</v>
      </c>
      <c r="AO43" s="390" t="s">
        <v>395</v>
      </c>
      <c r="AP43" s="390" t="s">
        <v>395</v>
      </c>
      <c r="AQ43" s="390" t="s">
        <v>395</v>
      </c>
      <c r="AR43" s="390" t="s">
        <v>395</v>
      </c>
      <c r="AS43" s="390" t="s">
        <v>395</v>
      </c>
      <c r="AT43" s="390" t="s">
        <v>395</v>
      </c>
      <c r="AU43" s="390" t="s">
        <v>395</v>
      </c>
      <c r="AV43" s="390" t="s">
        <v>395</v>
      </c>
      <c r="AW43" s="390" t="s">
        <v>395</v>
      </c>
      <c r="AX43" s="383" t="s">
        <v>2703</v>
      </c>
      <c r="AY43" s="384" t="s">
        <v>2747</v>
      </c>
    </row>
    <row r="44" spans="1:51" ht="409.6" thickBot="1" x14ac:dyDescent="0.3">
      <c r="A44" s="525" t="s">
        <v>201</v>
      </c>
      <c r="B44" s="430" t="s">
        <v>2531</v>
      </c>
      <c r="C44" s="885"/>
      <c r="D44" s="885"/>
      <c r="E44" s="885"/>
      <c r="F44" s="885"/>
      <c r="G44" s="885"/>
      <c r="H44" s="444" t="s">
        <v>2748</v>
      </c>
      <c r="I44" s="444" t="s">
        <v>2749</v>
      </c>
      <c r="J44" s="444">
        <v>0.1</v>
      </c>
      <c r="K44" s="444" t="s">
        <v>323</v>
      </c>
      <c r="L44" s="444">
        <v>1</v>
      </c>
      <c r="M44" s="526">
        <v>0.15</v>
      </c>
      <c r="N44" s="527" t="str">
        <f t="shared" si="6"/>
        <v xml:space="preserve">Número de estrategia de orientación tecnológica y ambiental implementadas </v>
      </c>
      <c r="O44" s="528">
        <f t="shared" si="6"/>
        <v>0.1</v>
      </c>
      <c r="P44" s="529">
        <v>136500</v>
      </c>
      <c r="Q44" s="530"/>
      <c r="R44" s="531"/>
      <c r="S44" s="531"/>
      <c r="T44" s="531"/>
      <c r="U44" s="531"/>
      <c r="V44" s="531"/>
      <c r="W44" s="529">
        <v>100000</v>
      </c>
      <c r="X44" s="529"/>
      <c r="Y44" s="531"/>
      <c r="Z44" s="531"/>
      <c r="AA44" s="531"/>
      <c r="AB44" s="529">
        <v>36500</v>
      </c>
      <c r="AC44" s="531"/>
      <c r="AD44" s="531"/>
      <c r="AE44" s="532" t="s">
        <v>2743</v>
      </c>
      <c r="AF44" s="531" t="s">
        <v>2540</v>
      </c>
      <c r="AG44" s="528" t="s">
        <v>2744</v>
      </c>
      <c r="AH44" s="533" t="s">
        <v>481</v>
      </c>
      <c r="AI44" s="532" t="s">
        <v>2745</v>
      </c>
      <c r="AJ44" s="534">
        <v>120000</v>
      </c>
      <c r="AK44" s="528" t="s">
        <v>2746</v>
      </c>
      <c r="AL44" s="535" t="s">
        <v>395</v>
      </c>
      <c r="AM44" s="535" t="s">
        <v>395</v>
      </c>
      <c r="AN44" s="535" t="s">
        <v>395</v>
      </c>
      <c r="AO44" s="535" t="s">
        <v>395</v>
      </c>
      <c r="AP44" s="535" t="s">
        <v>395</v>
      </c>
      <c r="AQ44" s="535" t="s">
        <v>395</v>
      </c>
      <c r="AR44" s="535" t="s">
        <v>395</v>
      </c>
      <c r="AS44" s="535" t="s">
        <v>395</v>
      </c>
      <c r="AT44" s="535" t="s">
        <v>395</v>
      </c>
      <c r="AU44" s="535" t="s">
        <v>395</v>
      </c>
      <c r="AV44" s="535" t="s">
        <v>395</v>
      </c>
      <c r="AW44" s="535" t="s">
        <v>395</v>
      </c>
      <c r="AX44" s="527" t="s">
        <v>2703</v>
      </c>
      <c r="AY44" s="528" t="s">
        <v>2747</v>
      </c>
    </row>
    <row r="45" spans="1:51" ht="409.5" x14ac:dyDescent="0.25">
      <c r="A45" s="536" t="s">
        <v>201</v>
      </c>
      <c r="B45" s="250" t="s">
        <v>202</v>
      </c>
      <c r="C45" s="876" t="s">
        <v>2750</v>
      </c>
      <c r="D45" s="876" t="s">
        <v>2751</v>
      </c>
      <c r="E45" s="876" t="s">
        <v>2752</v>
      </c>
      <c r="F45" s="876" t="s">
        <v>2753</v>
      </c>
      <c r="G45" s="876" t="s">
        <v>2754</v>
      </c>
      <c r="H45" s="222" t="s">
        <v>2755</v>
      </c>
      <c r="I45" s="222" t="s">
        <v>2756</v>
      </c>
      <c r="J45" s="222">
        <v>0.4</v>
      </c>
      <c r="K45" s="222" t="s">
        <v>323</v>
      </c>
      <c r="L45" s="222">
        <v>2</v>
      </c>
      <c r="M45" s="504">
        <v>0.6</v>
      </c>
      <c r="N45" s="414" t="str">
        <f t="shared" si="4"/>
        <v xml:space="preserve">Número de sesiones participativas con actores del SRCT  para validar y adoptar el PAED realizadas </v>
      </c>
      <c r="O45" s="415">
        <v>0.4</v>
      </c>
      <c r="P45" s="417">
        <f>Q45+W45+AA45+AB45</f>
        <v>15592</v>
      </c>
      <c r="Q45" s="417">
        <v>6000</v>
      </c>
      <c r="R45" s="418"/>
      <c r="S45" s="418"/>
      <c r="T45" s="418"/>
      <c r="U45" s="418"/>
      <c r="V45" s="418"/>
      <c r="W45" s="418"/>
      <c r="X45" s="418"/>
      <c r="Y45" s="418"/>
      <c r="Z45" s="418"/>
      <c r="AA45" s="417">
        <v>9592</v>
      </c>
      <c r="AB45" s="418"/>
      <c r="AC45" s="418"/>
      <c r="AD45" s="418"/>
      <c r="AE45" s="414" t="s">
        <v>2757</v>
      </c>
      <c r="AF45" s="419" t="s">
        <v>2540</v>
      </c>
      <c r="AG45" s="415" t="s">
        <v>491</v>
      </c>
      <c r="AH45" s="415" t="s">
        <v>2541</v>
      </c>
      <c r="AI45" s="421">
        <v>4500</v>
      </c>
      <c r="AJ45" s="421">
        <v>50000</v>
      </c>
      <c r="AK45" s="414" t="s">
        <v>2758</v>
      </c>
      <c r="AL45" s="418"/>
      <c r="AM45" s="418"/>
      <c r="AN45" s="418"/>
      <c r="AO45" s="418"/>
      <c r="AP45" s="423" t="s">
        <v>751</v>
      </c>
      <c r="AQ45" s="423" t="s">
        <v>751</v>
      </c>
      <c r="AR45" s="423" t="s">
        <v>751</v>
      </c>
      <c r="AS45" s="423" t="s">
        <v>751</v>
      </c>
      <c r="AT45" s="423" t="s">
        <v>751</v>
      </c>
      <c r="AU45" s="423" t="s">
        <v>751</v>
      </c>
      <c r="AV45" s="423" t="s">
        <v>751</v>
      </c>
      <c r="AW45" s="423" t="s">
        <v>751</v>
      </c>
      <c r="AX45" s="414" t="s">
        <v>2543</v>
      </c>
      <c r="AY45" s="537" t="s">
        <v>2759</v>
      </c>
    </row>
    <row r="46" spans="1:51" ht="409.5" x14ac:dyDescent="0.25">
      <c r="A46" s="467" t="s">
        <v>201</v>
      </c>
      <c r="B46" s="246" t="s">
        <v>202</v>
      </c>
      <c r="C46" s="875"/>
      <c r="D46" s="875"/>
      <c r="E46" s="875"/>
      <c r="F46" s="875"/>
      <c r="G46" s="875"/>
      <c r="H46" s="176" t="s">
        <v>2760</v>
      </c>
      <c r="I46" s="176" t="s">
        <v>2761</v>
      </c>
      <c r="J46" s="176">
        <v>1</v>
      </c>
      <c r="K46" s="176" t="s">
        <v>323</v>
      </c>
      <c r="L46" s="176">
        <v>4</v>
      </c>
      <c r="M46" s="389">
        <v>1</v>
      </c>
      <c r="N46" s="383" t="str">
        <f t="shared" si="4"/>
        <v>Número de convocatorias para gestionar los proyectos priorizados en las apuestas y líneas consignadas en el PAED Cauca realizadas</v>
      </c>
      <c r="O46" s="384">
        <v>1</v>
      </c>
      <c r="P46" s="386">
        <f>Q46+W46+AA46+AB46</f>
        <v>23112024</v>
      </c>
      <c r="Q46" s="386">
        <v>14000</v>
      </c>
      <c r="R46" s="387"/>
      <c r="S46" s="387"/>
      <c r="T46" s="387"/>
      <c r="U46" s="387"/>
      <c r="V46" s="387"/>
      <c r="W46" s="389">
        <v>20000000</v>
      </c>
      <c r="X46" s="383"/>
      <c r="Y46" s="387"/>
      <c r="Z46" s="387"/>
      <c r="AA46" s="386">
        <v>20000</v>
      </c>
      <c r="AB46" s="386">
        <v>3078024</v>
      </c>
      <c r="AC46" s="387"/>
      <c r="AD46" s="387"/>
      <c r="AE46" s="383" t="s">
        <v>2757</v>
      </c>
      <c r="AF46" s="396" t="s">
        <v>2540</v>
      </c>
      <c r="AG46" s="384" t="s">
        <v>553</v>
      </c>
      <c r="AH46" s="384" t="s">
        <v>2541</v>
      </c>
      <c r="AI46" s="389">
        <v>4500</v>
      </c>
      <c r="AJ46" s="389">
        <v>50000</v>
      </c>
      <c r="AK46" s="383" t="s">
        <v>2758</v>
      </c>
      <c r="AL46" s="387"/>
      <c r="AM46" s="387"/>
      <c r="AN46" s="387"/>
      <c r="AO46" s="387"/>
      <c r="AP46" s="390" t="s">
        <v>751</v>
      </c>
      <c r="AQ46" s="390" t="s">
        <v>751</v>
      </c>
      <c r="AR46" s="390" t="s">
        <v>751</v>
      </c>
      <c r="AS46" s="390" t="s">
        <v>751</v>
      </c>
      <c r="AT46" s="390" t="s">
        <v>751</v>
      </c>
      <c r="AU46" s="390" t="s">
        <v>751</v>
      </c>
      <c r="AV46" s="390" t="s">
        <v>751</v>
      </c>
      <c r="AW46" s="390" t="s">
        <v>751</v>
      </c>
      <c r="AX46" s="383" t="s">
        <v>2543</v>
      </c>
      <c r="AY46" s="538" t="s">
        <v>2759</v>
      </c>
    </row>
    <row r="47" spans="1:51" ht="399" x14ac:dyDescent="0.25">
      <c r="A47" s="467" t="s">
        <v>201</v>
      </c>
      <c r="B47" s="246" t="s">
        <v>202</v>
      </c>
      <c r="C47" s="875"/>
      <c r="D47" s="875"/>
      <c r="E47" s="875"/>
      <c r="F47" s="875" t="s">
        <v>2762</v>
      </c>
      <c r="G47" s="875" t="s">
        <v>2763</v>
      </c>
      <c r="H47" s="176" t="s">
        <v>2764</v>
      </c>
      <c r="I47" s="176" t="s">
        <v>2765</v>
      </c>
      <c r="J47" s="176">
        <v>0.15</v>
      </c>
      <c r="K47" s="176" t="s">
        <v>323</v>
      </c>
      <c r="L47" s="176">
        <v>1</v>
      </c>
      <c r="M47" s="382">
        <v>0.35</v>
      </c>
      <c r="N47" s="383" t="str">
        <f t="shared" si="4"/>
        <v>Número de Planes operativos del CODECTI Cauca para la implementación del PAED estructurados</v>
      </c>
      <c r="O47" s="384">
        <f>+J47</f>
        <v>0.15</v>
      </c>
      <c r="P47" s="386">
        <f t="shared" ref="P47:P48" si="7">Q47+W47+AA47+AB47</f>
        <v>30000</v>
      </c>
      <c r="Q47" s="386">
        <v>10000</v>
      </c>
      <c r="R47" s="387"/>
      <c r="S47" s="387"/>
      <c r="T47" s="387"/>
      <c r="U47" s="387"/>
      <c r="V47" s="387"/>
      <c r="W47" s="387"/>
      <c r="X47" s="387"/>
      <c r="Y47" s="387"/>
      <c r="Z47" s="387"/>
      <c r="AA47" s="386">
        <v>20000</v>
      </c>
      <c r="AB47" s="387"/>
      <c r="AC47" s="387"/>
      <c r="AD47" s="387"/>
      <c r="AE47" s="383" t="s">
        <v>2766</v>
      </c>
      <c r="AF47" s="396" t="s">
        <v>2540</v>
      </c>
      <c r="AG47" s="384" t="s">
        <v>553</v>
      </c>
      <c r="AH47" s="384" t="s">
        <v>2541</v>
      </c>
      <c r="AI47" s="389">
        <v>3800</v>
      </c>
      <c r="AJ47" s="389">
        <v>70000</v>
      </c>
      <c r="AK47" s="383" t="s">
        <v>2767</v>
      </c>
      <c r="AL47" s="387"/>
      <c r="AM47" s="387"/>
      <c r="AN47" s="387"/>
      <c r="AO47" s="390" t="s">
        <v>751</v>
      </c>
      <c r="AP47" s="390" t="s">
        <v>751</v>
      </c>
      <c r="AQ47" s="390" t="s">
        <v>751</v>
      </c>
      <c r="AR47" s="390" t="s">
        <v>751</v>
      </c>
      <c r="AS47" s="390" t="s">
        <v>751</v>
      </c>
      <c r="AT47" s="390" t="s">
        <v>751</v>
      </c>
      <c r="AU47" s="390" t="s">
        <v>751</v>
      </c>
      <c r="AV47" s="390" t="s">
        <v>751</v>
      </c>
      <c r="AW47" s="390" t="s">
        <v>751</v>
      </c>
      <c r="AX47" s="383" t="s">
        <v>2543</v>
      </c>
      <c r="AY47" s="538" t="s">
        <v>2768</v>
      </c>
    </row>
    <row r="48" spans="1:51" ht="399.75" thickBot="1" x14ac:dyDescent="0.3">
      <c r="A48" s="525" t="s">
        <v>201</v>
      </c>
      <c r="B48" s="430" t="s">
        <v>202</v>
      </c>
      <c r="C48" s="885"/>
      <c r="D48" s="885"/>
      <c r="E48" s="885"/>
      <c r="F48" s="885"/>
      <c r="G48" s="885"/>
      <c r="H48" s="444" t="s">
        <v>2769</v>
      </c>
      <c r="I48" s="444" t="s">
        <v>2770</v>
      </c>
      <c r="J48" s="444">
        <v>1</v>
      </c>
      <c r="K48" s="444" t="s">
        <v>323</v>
      </c>
      <c r="L48" s="444">
        <v>7</v>
      </c>
      <c r="M48" s="534">
        <v>2</v>
      </c>
      <c r="N48" s="527" t="str">
        <f t="shared" si="4"/>
        <v>Número de sesiones del CODECTI Cauca para el acompañamiento en la implementación del PAED y la articulación de la red del SRCTeI realizadas</v>
      </c>
      <c r="O48" s="528">
        <f>+J48</f>
        <v>1</v>
      </c>
      <c r="P48" s="529">
        <f t="shared" si="7"/>
        <v>40000</v>
      </c>
      <c r="Q48" s="529">
        <v>10000</v>
      </c>
      <c r="R48" s="531"/>
      <c r="S48" s="531"/>
      <c r="T48" s="531"/>
      <c r="U48" s="531"/>
      <c r="V48" s="531"/>
      <c r="W48" s="531"/>
      <c r="X48" s="531"/>
      <c r="Y48" s="531"/>
      <c r="Z48" s="531"/>
      <c r="AA48" s="529">
        <v>25000</v>
      </c>
      <c r="AB48" s="529">
        <v>5000</v>
      </c>
      <c r="AC48" s="531"/>
      <c r="AD48" s="531"/>
      <c r="AE48" s="527" t="s">
        <v>2766</v>
      </c>
      <c r="AF48" s="539" t="s">
        <v>2540</v>
      </c>
      <c r="AG48" s="528" t="s">
        <v>553</v>
      </c>
      <c r="AH48" s="528" t="s">
        <v>2541</v>
      </c>
      <c r="AI48" s="534">
        <v>3800</v>
      </c>
      <c r="AJ48" s="534">
        <v>70000</v>
      </c>
      <c r="AK48" s="527" t="s">
        <v>2767</v>
      </c>
      <c r="AL48" s="531"/>
      <c r="AM48" s="531"/>
      <c r="AN48" s="531"/>
      <c r="AO48" s="535" t="s">
        <v>751</v>
      </c>
      <c r="AP48" s="535" t="s">
        <v>751</v>
      </c>
      <c r="AQ48" s="535" t="s">
        <v>751</v>
      </c>
      <c r="AR48" s="535" t="s">
        <v>751</v>
      </c>
      <c r="AS48" s="535" t="s">
        <v>751</v>
      </c>
      <c r="AT48" s="535" t="s">
        <v>751</v>
      </c>
      <c r="AU48" s="535" t="s">
        <v>751</v>
      </c>
      <c r="AV48" s="535" t="s">
        <v>751</v>
      </c>
      <c r="AW48" s="535" t="s">
        <v>751</v>
      </c>
      <c r="AX48" s="527" t="s">
        <v>2543</v>
      </c>
      <c r="AY48" s="540" t="s">
        <v>2768</v>
      </c>
    </row>
    <row r="49" spans="1:51" x14ac:dyDescent="0.25">
      <c r="A49" s="126"/>
      <c r="B49" s="126"/>
      <c r="C49" s="126"/>
      <c r="D49" s="126"/>
      <c r="E49" s="126"/>
      <c r="F49" s="126"/>
      <c r="G49" s="126"/>
      <c r="H49" s="127"/>
      <c r="I49" s="126"/>
      <c r="J49" s="126"/>
      <c r="K49" s="126"/>
      <c r="L49" s="126"/>
      <c r="M49" s="129"/>
      <c r="N49" s="129"/>
      <c r="O49" s="129"/>
      <c r="P49" s="371"/>
      <c r="Q49" s="371"/>
      <c r="R49" s="129"/>
      <c r="S49" s="129"/>
      <c r="T49" s="129"/>
      <c r="U49" s="129"/>
      <c r="V49" s="129"/>
      <c r="W49" s="129"/>
      <c r="X49" s="129"/>
      <c r="Y49" s="129"/>
      <c r="Z49" s="129"/>
      <c r="AA49" s="129"/>
      <c r="AB49" s="129"/>
      <c r="AC49" s="129"/>
      <c r="AD49" s="129"/>
      <c r="AE49" s="129"/>
      <c r="AF49" s="129"/>
      <c r="AG49" s="371"/>
      <c r="AH49" s="129"/>
      <c r="AI49" s="129"/>
      <c r="AJ49" s="371"/>
      <c r="AK49" s="129"/>
      <c r="AL49" s="129"/>
      <c r="AM49" s="129"/>
      <c r="AN49" s="129"/>
      <c r="AO49" s="129"/>
      <c r="AP49" s="129"/>
      <c r="AQ49" s="129"/>
      <c r="AR49" s="129"/>
      <c r="AS49" s="129"/>
      <c r="AT49" s="129"/>
      <c r="AU49" s="129"/>
      <c r="AV49" s="129"/>
      <c r="AW49" s="129"/>
      <c r="AX49" s="129"/>
      <c r="AY49" s="129"/>
    </row>
    <row r="50" spans="1:51" x14ac:dyDescent="0.25">
      <c r="A50" s="377"/>
      <c r="B50" s="377"/>
      <c r="C50" s="377"/>
      <c r="D50" s="377"/>
      <c r="E50" s="373"/>
      <c r="F50" s="373"/>
      <c r="G50" s="373"/>
      <c r="H50" s="374"/>
      <c r="I50" s="373"/>
      <c r="J50" s="373"/>
      <c r="K50" s="373"/>
      <c r="L50" s="373"/>
      <c r="M50" s="290"/>
      <c r="N50" s="290"/>
      <c r="O50" s="290"/>
      <c r="P50" s="375"/>
      <c r="Q50" s="375"/>
      <c r="R50" s="376"/>
      <c r="S50" s="378"/>
      <c r="T50" s="290"/>
      <c r="U50" s="290"/>
      <c r="V50" s="290"/>
      <c r="W50" s="290"/>
      <c r="X50" s="290"/>
      <c r="Y50" s="290"/>
      <c r="Z50" s="290"/>
      <c r="AA50" s="290"/>
      <c r="AB50" s="290"/>
      <c r="AC50" s="290"/>
      <c r="AD50" s="290"/>
      <c r="AE50" s="290"/>
      <c r="AF50" s="290"/>
      <c r="AG50" s="375"/>
      <c r="AH50" s="290"/>
      <c r="AI50" s="290"/>
      <c r="AJ50" s="375"/>
      <c r="AK50" s="290"/>
      <c r="AL50" s="290"/>
      <c r="AM50" s="290"/>
      <c r="AN50" s="290"/>
      <c r="AO50" s="290"/>
      <c r="AP50" s="290"/>
      <c r="AQ50" s="290"/>
      <c r="AR50" s="290"/>
      <c r="AS50" s="290"/>
      <c r="AT50" s="290"/>
      <c r="AU50" s="290"/>
      <c r="AV50" s="290"/>
      <c r="AW50" s="290"/>
      <c r="AX50" s="290"/>
      <c r="AY50" s="290"/>
    </row>
    <row r="51" spans="1:51" x14ac:dyDescent="0.25">
      <c r="A51" s="373"/>
      <c r="B51" s="373"/>
      <c r="C51" s="373"/>
      <c r="D51" s="373"/>
      <c r="E51" s="373"/>
      <c r="F51" s="373"/>
      <c r="G51" s="373"/>
      <c r="H51" s="374"/>
      <c r="I51" s="373"/>
      <c r="J51" s="373"/>
      <c r="K51" s="373"/>
      <c r="L51" s="373"/>
      <c r="M51" s="290"/>
      <c r="N51" s="290"/>
      <c r="O51" s="290"/>
      <c r="P51" s="375"/>
      <c r="Q51" s="375"/>
      <c r="R51" s="376"/>
      <c r="S51" s="290"/>
      <c r="T51" s="290"/>
      <c r="U51" s="290"/>
      <c r="V51" s="290"/>
      <c r="W51" s="290"/>
      <c r="X51" s="290"/>
      <c r="Y51" s="290"/>
      <c r="Z51" s="290"/>
      <c r="AA51" s="290"/>
      <c r="AB51" s="290"/>
      <c r="AC51" s="290"/>
      <c r="AD51" s="290"/>
      <c r="AE51" s="290"/>
      <c r="AF51" s="290"/>
      <c r="AG51" s="375"/>
      <c r="AH51" s="290"/>
      <c r="AI51" s="290"/>
      <c r="AJ51" s="375"/>
      <c r="AK51" s="290"/>
      <c r="AL51" s="290"/>
      <c r="AM51" s="290"/>
      <c r="AN51" s="290"/>
      <c r="AO51" s="290"/>
      <c r="AP51" s="290"/>
      <c r="AQ51" s="290"/>
      <c r="AR51" s="290"/>
      <c r="AS51" s="290"/>
      <c r="AT51" s="290"/>
      <c r="AU51" s="290"/>
      <c r="AV51" s="290"/>
      <c r="AW51" s="290"/>
      <c r="AX51" s="290"/>
      <c r="AY51" s="290"/>
    </row>
    <row r="52" spans="1:51" x14ac:dyDescent="0.25">
      <c r="A52" s="373"/>
      <c r="B52" s="373"/>
      <c r="C52" s="373"/>
      <c r="D52" s="373"/>
      <c r="E52" s="373"/>
      <c r="F52" s="373"/>
      <c r="G52" s="373"/>
      <c r="H52" s="374"/>
      <c r="I52" s="373"/>
      <c r="J52" s="373"/>
      <c r="K52" s="373"/>
      <c r="L52" s="373"/>
      <c r="M52" s="290"/>
      <c r="N52" s="290"/>
      <c r="O52" s="290"/>
      <c r="P52" s="375"/>
      <c r="Q52" s="375"/>
      <c r="R52" s="290"/>
      <c r="S52" s="290"/>
      <c r="T52" s="290"/>
      <c r="U52" s="290"/>
      <c r="V52" s="290"/>
      <c r="W52" s="290"/>
      <c r="X52" s="290"/>
      <c r="Y52" s="290"/>
      <c r="Z52" s="290"/>
      <c r="AA52" s="290"/>
      <c r="AB52" s="290"/>
      <c r="AC52" s="290"/>
      <c r="AD52" s="290"/>
      <c r="AE52" s="290"/>
      <c r="AF52" s="290"/>
      <c r="AG52" s="375"/>
      <c r="AH52" s="290"/>
      <c r="AI52" s="290"/>
      <c r="AJ52" s="375"/>
      <c r="AK52" s="290"/>
      <c r="AL52" s="290"/>
      <c r="AM52" s="290"/>
      <c r="AN52" s="290"/>
      <c r="AO52" s="290"/>
      <c r="AP52" s="290"/>
      <c r="AQ52" s="290"/>
      <c r="AR52" s="290"/>
      <c r="AS52" s="290"/>
      <c r="AT52" s="290"/>
      <c r="AU52" s="290"/>
      <c r="AV52" s="290"/>
      <c r="AW52" s="290"/>
      <c r="AX52" s="290"/>
      <c r="AY52" s="290"/>
    </row>
  </sheetData>
  <sheetProtection password="C71C" sheet="1" objects="1" scenarios="1"/>
  <mergeCells count="61">
    <mergeCell ref="C45:C48"/>
    <mergeCell ref="D45:D48"/>
    <mergeCell ref="E45:E48"/>
    <mergeCell ref="F45:F46"/>
    <mergeCell ref="G45:G46"/>
    <mergeCell ref="F47:F48"/>
    <mergeCell ref="G47:G48"/>
    <mergeCell ref="C35:C44"/>
    <mergeCell ref="D35:D44"/>
    <mergeCell ref="E35:E44"/>
    <mergeCell ref="G35:G36"/>
    <mergeCell ref="G37:G40"/>
    <mergeCell ref="F41:F42"/>
    <mergeCell ref="G41:G42"/>
    <mergeCell ref="F43:F44"/>
    <mergeCell ref="G43:G44"/>
    <mergeCell ref="C27:C34"/>
    <mergeCell ref="D27:D34"/>
    <mergeCell ref="E27:E34"/>
    <mergeCell ref="G27:G29"/>
    <mergeCell ref="G30:G31"/>
    <mergeCell ref="G32:G33"/>
    <mergeCell ref="AX10:AX11"/>
    <mergeCell ref="AY10:AY11"/>
    <mergeCell ref="C12:C26"/>
    <mergeCell ref="D12:D26"/>
    <mergeCell ref="E12:E26"/>
    <mergeCell ref="G12:G17"/>
    <mergeCell ref="G18:G20"/>
    <mergeCell ref="G21:G23"/>
    <mergeCell ref="G25:G26"/>
    <mergeCell ref="AG10:AG11"/>
    <mergeCell ref="AH10:AH11"/>
    <mergeCell ref="AI10:AI11"/>
    <mergeCell ref="AJ10:AJ11"/>
    <mergeCell ref="AK10:AK11"/>
    <mergeCell ref="AL10:AW10"/>
    <mergeCell ref="M10:M11"/>
    <mergeCell ref="N10:O10"/>
    <mergeCell ref="P10:P11"/>
    <mergeCell ref="Q10:AD10"/>
    <mergeCell ref="AE10:AE11"/>
    <mergeCell ref="AF10:AF11"/>
    <mergeCell ref="L10:L11"/>
    <mergeCell ref="A10:A11"/>
    <mergeCell ref="B10:B11"/>
    <mergeCell ref="C10:C11"/>
    <mergeCell ref="D10:D11"/>
    <mergeCell ref="E10:E11"/>
    <mergeCell ref="F10:F11"/>
    <mergeCell ref="G10:G11"/>
    <mergeCell ref="H10:H11"/>
    <mergeCell ref="I10:I11"/>
    <mergeCell ref="J10:J11"/>
    <mergeCell ref="K10:K11"/>
    <mergeCell ref="A8:M8"/>
    <mergeCell ref="A2:L2"/>
    <mergeCell ref="A3:L3"/>
    <mergeCell ref="A5:L5"/>
    <mergeCell ref="A6:L6"/>
    <mergeCell ref="A7:M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8"/>
  <sheetViews>
    <sheetView zoomScale="70" zoomScaleNormal="70" workbookViewId="0">
      <selection activeCell="T13" sqref="T13"/>
    </sheetView>
  </sheetViews>
  <sheetFormatPr baseColWidth="10" defaultRowHeight="15" x14ac:dyDescent="0.25"/>
  <cols>
    <col min="38" max="49" width="4.7109375" customWidth="1"/>
  </cols>
  <sheetData>
    <row r="1" spans="1:51" x14ac:dyDescent="0.25">
      <c r="A1" s="584"/>
      <c r="B1" s="578"/>
      <c r="C1" s="578"/>
      <c r="D1" s="578"/>
      <c r="E1" s="578"/>
      <c r="F1" s="578"/>
      <c r="G1" s="578"/>
      <c r="H1" s="579"/>
      <c r="I1" s="578"/>
      <c r="J1" s="578"/>
      <c r="K1" s="578"/>
      <c r="L1" s="578"/>
      <c r="M1" s="580"/>
      <c r="N1" s="580"/>
      <c r="O1" s="580"/>
      <c r="P1" s="581"/>
      <c r="Q1" s="582"/>
      <c r="R1" s="582"/>
      <c r="S1" s="582"/>
      <c r="T1" s="582"/>
      <c r="U1" s="582"/>
      <c r="V1" s="582"/>
      <c r="W1" s="582"/>
      <c r="X1" s="582"/>
      <c r="Y1" s="582"/>
      <c r="Z1" s="582"/>
      <c r="AA1" s="582"/>
      <c r="AB1" s="582"/>
      <c r="AC1" s="638"/>
      <c r="AD1" s="583"/>
      <c r="AE1" s="583"/>
      <c r="AF1" s="583"/>
      <c r="AG1" s="583"/>
      <c r="AH1" s="583"/>
      <c r="AI1" s="583"/>
      <c r="AJ1" s="583"/>
      <c r="AK1" s="583"/>
      <c r="AL1" s="583"/>
      <c r="AM1" s="583"/>
      <c r="AN1" s="583"/>
      <c r="AO1" s="583"/>
      <c r="AP1" s="583"/>
      <c r="AQ1" s="583"/>
      <c r="AR1" s="583"/>
      <c r="AS1" s="583"/>
      <c r="AT1" s="583"/>
      <c r="AU1" s="583"/>
      <c r="AV1" s="583"/>
      <c r="AW1" s="583"/>
      <c r="AX1" s="583"/>
      <c r="AY1" s="583"/>
    </row>
    <row r="2" spans="1:51" x14ac:dyDescent="0.25">
      <c r="A2" s="843" t="s">
        <v>2</v>
      </c>
      <c r="B2" s="843"/>
      <c r="C2" s="843"/>
      <c r="D2" s="843"/>
      <c r="E2" s="843"/>
      <c r="F2" s="843"/>
      <c r="G2" s="843"/>
      <c r="H2" s="843"/>
      <c r="I2" s="843"/>
      <c r="J2" s="843"/>
      <c r="K2" s="843"/>
      <c r="L2" s="843"/>
      <c r="M2" s="580"/>
      <c r="N2" s="580"/>
      <c r="O2" s="580"/>
      <c r="P2" s="581"/>
      <c r="Q2" s="582"/>
      <c r="R2" s="582"/>
      <c r="S2" s="582"/>
      <c r="T2" s="582"/>
      <c r="U2" s="582"/>
      <c r="V2" s="582"/>
      <c r="W2" s="582"/>
      <c r="X2" s="582"/>
      <c r="Y2" s="582"/>
      <c r="Z2" s="582"/>
      <c r="AA2" s="582"/>
      <c r="AB2" s="582"/>
      <c r="AC2" s="638"/>
      <c r="AD2" s="583"/>
      <c r="AE2" s="583"/>
      <c r="AF2" s="583"/>
      <c r="AG2" s="583"/>
      <c r="AH2" s="583"/>
      <c r="AI2" s="583"/>
      <c r="AJ2" s="583"/>
      <c r="AK2" s="583"/>
      <c r="AL2" s="583"/>
      <c r="AM2" s="583"/>
      <c r="AN2" s="583"/>
      <c r="AO2" s="583"/>
      <c r="AP2" s="583"/>
      <c r="AQ2" s="583"/>
      <c r="AR2" s="583"/>
      <c r="AS2" s="583"/>
      <c r="AT2" s="583"/>
      <c r="AU2" s="583"/>
      <c r="AV2" s="583"/>
      <c r="AW2" s="583"/>
      <c r="AX2" s="583"/>
      <c r="AY2" s="583"/>
    </row>
    <row r="3" spans="1:51" x14ac:dyDescent="0.25">
      <c r="A3" s="845" t="s">
        <v>321</v>
      </c>
      <c r="B3" s="845"/>
      <c r="C3" s="845"/>
      <c r="D3" s="845"/>
      <c r="E3" s="845"/>
      <c r="F3" s="845"/>
      <c r="G3" s="845"/>
      <c r="H3" s="845"/>
      <c r="I3" s="845"/>
      <c r="J3" s="845"/>
      <c r="K3" s="845"/>
      <c r="L3" s="845"/>
      <c r="M3" s="580"/>
      <c r="N3" s="580"/>
      <c r="O3" s="580"/>
      <c r="P3" s="581"/>
      <c r="Q3" s="582"/>
      <c r="R3" s="582"/>
      <c r="S3" s="582"/>
      <c r="T3" s="582"/>
      <c r="U3" s="582"/>
      <c r="V3" s="582"/>
      <c r="W3" s="582"/>
      <c r="X3" s="582"/>
      <c r="Y3" s="582"/>
      <c r="Z3" s="582"/>
      <c r="AA3" s="582"/>
      <c r="AB3" s="582"/>
      <c r="AC3" s="638"/>
      <c r="AD3" s="583"/>
      <c r="AE3" s="583"/>
      <c r="AF3" s="583"/>
      <c r="AG3" s="583"/>
      <c r="AH3" s="583"/>
      <c r="AI3" s="583"/>
      <c r="AJ3" s="583"/>
      <c r="AK3" s="583"/>
      <c r="AL3" s="583"/>
      <c r="AM3" s="583"/>
      <c r="AN3" s="583"/>
      <c r="AO3" s="583"/>
      <c r="AP3" s="583"/>
      <c r="AQ3" s="583"/>
      <c r="AR3" s="583"/>
      <c r="AS3" s="583"/>
      <c r="AT3" s="583"/>
      <c r="AU3" s="583"/>
      <c r="AV3" s="583"/>
      <c r="AW3" s="583"/>
      <c r="AX3" s="583"/>
      <c r="AY3" s="583"/>
    </row>
    <row r="4" spans="1:51" x14ac:dyDescent="0.25">
      <c r="A4" s="574"/>
      <c r="B4" s="574"/>
      <c r="C4" s="574"/>
      <c r="D4" s="574"/>
      <c r="E4" s="574"/>
      <c r="F4" s="574"/>
      <c r="G4" s="574"/>
      <c r="H4" s="574"/>
      <c r="I4" s="574"/>
      <c r="J4" s="574"/>
      <c r="K4" s="574"/>
      <c r="L4" s="574"/>
      <c r="M4" s="580"/>
      <c r="N4" s="580"/>
      <c r="O4" s="580"/>
      <c r="P4" s="581"/>
      <c r="Q4" s="582"/>
      <c r="R4" s="582"/>
      <c r="S4" s="582"/>
      <c r="T4" s="582"/>
      <c r="U4" s="582"/>
      <c r="V4" s="582"/>
      <c r="W4" s="582"/>
      <c r="X4" s="582"/>
      <c r="Y4" s="582"/>
      <c r="Z4" s="582"/>
      <c r="AA4" s="582"/>
      <c r="AB4" s="582"/>
      <c r="AC4" s="638"/>
      <c r="AD4" s="583"/>
      <c r="AE4" s="583"/>
      <c r="AF4" s="583"/>
      <c r="AG4" s="583"/>
      <c r="AH4" s="583"/>
      <c r="AI4" s="583"/>
      <c r="AJ4" s="583"/>
      <c r="AK4" s="583"/>
      <c r="AL4" s="583"/>
      <c r="AM4" s="583"/>
      <c r="AN4" s="583"/>
      <c r="AO4" s="583"/>
      <c r="AP4" s="583"/>
      <c r="AQ4" s="583"/>
      <c r="AR4" s="583"/>
      <c r="AS4" s="583"/>
      <c r="AT4" s="583"/>
      <c r="AU4" s="583"/>
      <c r="AV4" s="583"/>
      <c r="AW4" s="583"/>
      <c r="AX4" s="583"/>
      <c r="AY4" s="583"/>
    </row>
    <row r="5" spans="1:51" x14ac:dyDescent="0.25">
      <c r="A5" s="574"/>
      <c r="B5" s="574"/>
      <c r="C5" s="574"/>
      <c r="D5" s="574"/>
      <c r="E5" s="574"/>
      <c r="F5" s="574"/>
      <c r="G5" s="574"/>
      <c r="H5" s="574"/>
      <c r="I5" s="574"/>
      <c r="J5" s="574"/>
      <c r="K5" s="574"/>
      <c r="L5" s="574"/>
      <c r="M5" s="580"/>
      <c r="N5" s="580"/>
      <c r="O5" s="580"/>
      <c r="P5" s="581"/>
      <c r="Q5" s="582"/>
      <c r="R5" s="582"/>
      <c r="S5" s="582"/>
      <c r="T5" s="582"/>
      <c r="U5" s="582"/>
      <c r="V5" s="582"/>
      <c r="W5" s="582"/>
      <c r="X5" s="582"/>
      <c r="Y5" s="582"/>
      <c r="Z5" s="582"/>
      <c r="AA5" s="582"/>
      <c r="AB5" s="582"/>
      <c r="AC5" s="638"/>
      <c r="AD5" s="583"/>
      <c r="AE5" s="583"/>
      <c r="AF5" s="583"/>
      <c r="AG5" s="583"/>
      <c r="AH5" s="583"/>
      <c r="AI5" s="583"/>
      <c r="AJ5" s="583"/>
      <c r="AK5" s="583"/>
      <c r="AL5" s="583"/>
      <c r="AM5" s="583"/>
      <c r="AN5" s="583"/>
      <c r="AO5" s="583"/>
      <c r="AP5" s="583"/>
      <c r="AQ5" s="583"/>
      <c r="AR5" s="583"/>
      <c r="AS5" s="583"/>
      <c r="AT5" s="583"/>
      <c r="AU5" s="583"/>
      <c r="AV5" s="583"/>
      <c r="AW5" s="583"/>
      <c r="AX5" s="583"/>
      <c r="AY5" s="583"/>
    </row>
    <row r="6" spans="1:51" x14ac:dyDescent="0.25">
      <c r="A6" s="846" t="s">
        <v>2968</v>
      </c>
      <c r="B6" s="846"/>
      <c r="C6" s="846"/>
      <c r="D6" s="846"/>
      <c r="E6" s="846"/>
      <c r="F6" s="846"/>
      <c r="G6" s="846"/>
      <c r="H6" s="846"/>
      <c r="I6" s="846"/>
      <c r="J6" s="846"/>
      <c r="K6" s="846"/>
      <c r="L6" s="846"/>
      <c r="M6" s="846"/>
      <c r="N6" s="580"/>
      <c r="O6" s="580"/>
      <c r="P6" s="581"/>
      <c r="Q6" s="582"/>
      <c r="R6" s="582"/>
      <c r="S6" s="582"/>
      <c r="T6" s="582"/>
      <c r="U6" s="582"/>
      <c r="V6" s="582"/>
      <c r="W6" s="582"/>
      <c r="X6" s="582"/>
      <c r="Y6" s="582"/>
      <c r="Z6" s="582"/>
      <c r="AA6" s="582"/>
      <c r="AB6" s="582"/>
      <c r="AC6" s="638"/>
      <c r="AD6" s="583"/>
      <c r="AE6" s="583"/>
      <c r="AF6" s="583"/>
      <c r="AG6" s="583"/>
      <c r="AH6" s="583"/>
      <c r="AI6" s="583"/>
      <c r="AJ6" s="583"/>
      <c r="AK6" s="583"/>
      <c r="AL6" s="583"/>
      <c r="AM6" s="583"/>
      <c r="AN6" s="583"/>
      <c r="AO6" s="583"/>
      <c r="AP6" s="583"/>
      <c r="AQ6" s="583"/>
      <c r="AR6" s="583"/>
      <c r="AS6" s="583"/>
      <c r="AT6" s="583"/>
      <c r="AU6" s="583"/>
      <c r="AV6" s="583"/>
      <c r="AW6" s="583"/>
      <c r="AX6" s="583"/>
      <c r="AY6" s="583"/>
    </row>
    <row r="7" spans="1:51" x14ac:dyDescent="0.25">
      <c r="A7" s="575"/>
      <c r="B7" s="575"/>
      <c r="C7" s="575"/>
      <c r="D7" s="575"/>
      <c r="E7" s="575"/>
      <c r="F7" s="574"/>
      <c r="G7" s="574"/>
      <c r="H7" s="574"/>
      <c r="I7" s="574"/>
      <c r="J7" s="574"/>
      <c r="K7" s="574"/>
      <c r="L7" s="574"/>
      <c r="M7" s="574"/>
      <c r="N7" s="580"/>
      <c r="O7" s="580"/>
      <c r="P7" s="581"/>
      <c r="Q7" s="582"/>
      <c r="R7" s="582"/>
      <c r="S7" s="582"/>
      <c r="T7" s="582"/>
      <c r="U7" s="582"/>
      <c r="V7" s="582"/>
      <c r="W7" s="582"/>
      <c r="X7" s="582"/>
      <c r="Y7" s="582"/>
      <c r="Z7" s="582"/>
      <c r="AA7" s="582"/>
      <c r="AB7" s="582"/>
      <c r="AC7" s="638"/>
      <c r="AD7" s="583"/>
      <c r="AE7" s="583"/>
      <c r="AF7" s="583"/>
      <c r="AG7" s="583"/>
      <c r="AH7" s="583"/>
      <c r="AI7" s="583"/>
      <c r="AJ7" s="583"/>
      <c r="AK7" s="583"/>
      <c r="AL7" s="583"/>
      <c r="AM7" s="583"/>
      <c r="AN7" s="583"/>
      <c r="AO7" s="583"/>
      <c r="AP7" s="583"/>
      <c r="AQ7" s="583"/>
      <c r="AR7" s="583"/>
      <c r="AS7" s="583"/>
      <c r="AT7" s="583"/>
      <c r="AU7" s="583"/>
      <c r="AV7" s="583"/>
      <c r="AW7" s="583"/>
      <c r="AX7" s="583"/>
      <c r="AY7" s="583"/>
    </row>
    <row r="8" spans="1:51" x14ac:dyDescent="0.25">
      <c r="A8" s="846" t="s">
        <v>1448</v>
      </c>
      <c r="B8" s="846"/>
      <c r="C8" s="846"/>
      <c r="D8" s="846"/>
      <c r="E8" s="846"/>
      <c r="F8" s="846"/>
      <c r="G8" s="846"/>
      <c r="H8" s="846"/>
      <c r="I8" s="846"/>
      <c r="J8" s="846"/>
      <c r="K8" s="846"/>
      <c r="L8" s="846"/>
      <c r="M8" s="846"/>
      <c r="N8" s="580"/>
      <c r="O8" s="580"/>
      <c r="P8" s="581"/>
      <c r="Q8" s="582"/>
      <c r="R8" s="582"/>
      <c r="S8" s="582"/>
      <c r="T8" s="582"/>
      <c r="U8" s="582"/>
      <c r="V8" s="582"/>
      <c r="W8" s="582"/>
      <c r="X8" s="582"/>
      <c r="Y8" s="582"/>
      <c r="Z8" s="582"/>
      <c r="AA8" s="582"/>
      <c r="AB8" s="582"/>
      <c r="AC8" s="638"/>
      <c r="AD8" s="583"/>
      <c r="AE8" s="583"/>
      <c r="AF8" s="583"/>
      <c r="AG8" s="583"/>
      <c r="AH8" s="583"/>
      <c r="AI8" s="583"/>
      <c r="AJ8" s="583"/>
      <c r="AK8" s="583"/>
      <c r="AL8" s="583"/>
      <c r="AM8" s="583"/>
      <c r="AN8" s="583"/>
      <c r="AO8" s="583"/>
      <c r="AP8" s="583"/>
      <c r="AQ8" s="583"/>
      <c r="AR8" s="583"/>
      <c r="AS8" s="583"/>
      <c r="AT8" s="583"/>
      <c r="AU8" s="583"/>
      <c r="AV8" s="583"/>
      <c r="AW8" s="583"/>
      <c r="AX8" s="583"/>
      <c r="AY8" s="583"/>
    </row>
    <row r="9" spans="1:51" x14ac:dyDescent="0.25">
      <c r="A9" s="574"/>
      <c r="B9" s="574"/>
      <c r="C9" s="574"/>
      <c r="D9" s="574"/>
      <c r="E9" s="574"/>
      <c r="F9" s="574"/>
      <c r="G9" s="574"/>
      <c r="H9" s="574"/>
      <c r="I9" s="574"/>
      <c r="J9" s="574"/>
      <c r="K9" s="574"/>
      <c r="L9" s="574"/>
      <c r="M9" s="580"/>
      <c r="N9" s="580"/>
      <c r="O9" s="580"/>
      <c r="P9" s="581"/>
      <c r="Q9" s="582"/>
      <c r="R9" s="582"/>
      <c r="S9" s="582"/>
      <c r="T9" s="582"/>
      <c r="U9" s="582"/>
      <c r="V9" s="582"/>
      <c r="W9" s="582"/>
      <c r="X9" s="582"/>
      <c r="Y9" s="582"/>
      <c r="Z9" s="582"/>
      <c r="AA9" s="582"/>
      <c r="AB9" s="582"/>
      <c r="AC9" s="638"/>
      <c r="AD9" s="583"/>
      <c r="AE9" s="583"/>
      <c r="AF9" s="583"/>
      <c r="AG9" s="583"/>
      <c r="AH9" s="583"/>
      <c r="AI9" s="583"/>
      <c r="AJ9" s="583"/>
      <c r="AK9" s="583"/>
      <c r="AL9" s="583"/>
      <c r="AM9" s="583"/>
      <c r="AN9" s="583"/>
      <c r="AO9" s="583"/>
      <c r="AP9" s="583"/>
      <c r="AQ9" s="583"/>
      <c r="AR9" s="583"/>
      <c r="AS9" s="583"/>
      <c r="AT9" s="583"/>
      <c r="AU9" s="583"/>
      <c r="AV9" s="583"/>
      <c r="AW9" s="583"/>
      <c r="AX9" s="583"/>
      <c r="AY9" s="583"/>
    </row>
    <row r="10" spans="1:51" x14ac:dyDescent="0.25">
      <c r="A10" s="578"/>
      <c r="B10" s="578"/>
      <c r="C10" s="578"/>
      <c r="D10" s="578"/>
      <c r="E10" s="578"/>
      <c r="F10" s="578"/>
      <c r="G10" s="578"/>
      <c r="H10" s="579"/>
      <c r="I10" s="578"/>
      <c r="J10" s="578"/>
      <c r="K10" s="578"/>
      <c r="L10" s="578"/>
      <c r="M10" s="580"/>
      <c r="N10" s="580"/>
      <c r="O10" s="580"/>
      <c r="P10" s="581"/>
      <c r="Q10" s="582"/>
      <c r="R10" s="582"/>
      <c r="S10" s="582"/>
      <c r="T10" s="582"/>
      <c r="U10" s="582"/>
      <c r="V10" s="582"/>
      <c r="W10" s="582"/>
      <c r="X10" s="582"/>
      <c r="Y10" s="582"/>
      <c r="Z10" s="582"/>
      <c r="AA10" s="582"/>
      <c r="AB10" s="582"/>
      <c r="AC10" s="638"/>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row>
    <row r="11" spans="1:51" x14ac:dyDescent="0.25">
      <c r="A11" s="889" t="s">
        <v>3</v>
      </c>
      <c r="B11" s="889" t="s">
        <v>4</v>
      </c>
      <c r="C11" s="887" t="s">
        <v>5</v>
      </c>
      <c r="D11" s="887" t="s">
        <v>6</v>
      </c>
      <c r="E11" s="887" t="s">
        <v>7</v>
      </c>
      <c r="F11" s="887" t="s">
        <v>8</v>
      </c>
      <c r="G11" s="887" t="s">
        <v>9</v>
      </c>
      <c r="H11" s="887" t="s">
        <v>10</v>
      </c>
      <c r="I11" s="887" t="s">
        <v>11</v>
      </c>
      <c r="J11" s="887" t="s">
        <v>12</v>
      </c>
      <c r="K11" s="887" t="s">
        <v>13</v>
      </c>
      <c r="L11" s="887" t="s">
        <v>14</v>
      </c>
      <c r="M11" s="869">
        <v>2017</v>
      </c>
      <c r="N11" s="853" t="s">
        <v>11</v>
      </c>
      <c r="O11" s="853"/>
      <c r="P11" s="891" t="s">
        <v>326</v>
      </c>
      <c r="Q11" s="892" t="s">
        <v>15</v>
      </c>
      <c r="R11" s="892"/>
      <c r="S11" s="892"/>
      <c r="T11" s="892"/>
      <c r="U11" s="892"/>
      <c r="V11" s="892"/>
      <c r="W11" s="892"/>
      <c r="X11" s="892"/>
      <c r="Y11" s="892"/>
      <c r="Z11" s="892"/>
      <c r="AA11" s="892"/>
      <c r="AB11" s="892"/>
      <c r="AC11" s="892"/>
      <c r="AD11" s="892"/>
      <c r="AE11" s="892" t="s">
        <v>16</v>
      </c>
      <c r="AF11" s="892" t="s">
        <v>17</v>
      </c>
      <c r="AG11" s="892" t="s">
        <v>18</v>
      </c>
      <c r="AH11" s="899" t="s">
        <v>19</v>
      </c>
      <c r="AI11" s="892" t="s">
        <v>619</v>
      </c>
      <c r="AJ11" s="892" t="s">
        <v>2774</v>
      </c>
      <c r="AK11" s="892" t="s">
        <v>21</v>
      </c>
      <c r="AL11" s="893" t="s">
        <v>22</v>
      </c>
      <c r="AM11" s="893"/>
      <c r="AN11" s="893"/>
      <c r="AO11" s="893"/>
      <c r="AP11" s="893"/>
      <c r="AQ11" s="893"/>
      <c r="AR11" s="893"/>
      <c r="AS11" s="893"/>
      <c r="AT11" s="893"/>
      <c r="AU11" s="893"/>
      <c r="AV11" s="893"/>
      <c r="AW11" s="893"/>
      <c r="AX11" s="893" t="s">
        <v>23</v>
      </c>
      <c r="AY11" s="894" t="s">
        <v>24</v>
      </c>
    </row>
    <row r="12" spans="1:51" ht="63.75" x14ac:dyDescent="0.25">
      <c r="A12" s="890"/>
      <c r="B12" s="890"/>
      <c r="C12" s="888"/>
      <c r="D12" s="888"/>
      <c r="E12" s="888"/>
      <c r="F12" s="888"/>
      <c r="G12" s="888"/>
      <c r="H12" s="888"/>
      <c r="I12" s="888"/>
      <c r="J12" s="888"/>
      <c r="K12" s="888"/>
      <c r="L12" s="888"/>
      <c r="M12" s="902"/>
      <c r="N12" s="573" t="s">
        <v>25</v>
      </c>
      <c r="O12" s="573" t="s">
        <v>26</v>
      </c>
      <c r="P12" s="891"/>
      <c r="Q12" s="585" t="s">
        <v>27</v>
      </c>
      <c r="R12" s="585" t="s">
        <v>28</v>
      </c>
      <c r="S12" s="585" t="s">
        <v>29</v>
      </c>
      <c r="T12" s="585" t="s">
        <v>623</v>
      </c>
      <c r="U12" s="585" t="s">
        <v>30</v>
      </c>
      <c r="V12" s="585" t="s">
        <v>1449</v>
      </c>
      <c r="W12" s="585" t="s">
        <v>1450</v>
      </c>
      <c r="X12" s="585" t="s">
        <v>33</v>
      </c>
      <c r="Y12" s="585" t="s">
        <v>34</v>
      </c>
      <c r="Z12" s="585" t="s">
        <v>624</v>
      </c>
      <c r="AA12" s="585" t="s">
        <v>36</v>
      </c>
      <c r="AB12" s="585" t="s">
        <v>37</v>
      </c>
      <c r="AC12" s="585" t="s">
        <v>38</v>
      </c>
      <c r="AD12" s="586" t="s">
        <v>39</v>
      </c>
      <c r="AE12" s="892"/>
      <c r="AF12" s="892"/>
      <c r="AG12" s="892"/>
      <c r="AH12" s="900"/>
      <c r="AI12" s="892"/>
      <c r="AJ12" s="892"/>
      <c r="AK12" s="901"/>
      <c r="AL12" s="587" t="s">
        <v>40</v>
      </c>
      <c r="AM12" s="587" t="s">
        <v>41</v>
      </c>
      <c r="AN12" s="587" t="s">
        <v>42</v>
      </c>
      <c r="AO12" s="587" t="s">
        <v>43</v>
      </c>
      <c r="AP12" s="587" t="s">
        <v>42</v>
      </c>
      <c r="AQ12" s="587" t="s">
        <v>44</v>
      </c>
      <c r="AR12" s="587" t="s">
        <v>44</v>
      </c>
      <c r="AS12" s="587" t="s">
        <v>43</v>
      </c>
      <c r="AT12" s="587" t="s">
        <v>45</v>
      </c>
      <c r="AU12" s="587" t="s">
        <v>46</v>
      </c>
      <c r="AV12" s="587" t="s">
        <v>47</v>
      </c>
      <c r="AW12" s="587" t="s">
        <v>48</v>
      </c>
      <c r="AX12" s="893"/>
      <c r="AY12" s="895"/>
    </row>
    <row r="13" spans="1:51" ht="294" x14ac:dyDescent="0.25">
      <c r="A13" s="588" t="s">
        <v>49</v>
      </c>
      <c r="B13" s="588" t="s">
        <v>1451</v>
      </c>
      <c r="C13" s="896" t="s">
        <v>2969</v>
      </c>
      <c r="D13" s="896" t="s">
        <v>2970</v>
      </c>
      <c r="E13" s="896">
        <v>5100</v>
      </c>
      <c r="F13" s="595" t="s">
        <v>2971</v>
      </c>
      <c r="G13" s="897" t="s">
        <v>2972</v>
      </c>
      <c r="H13" s="589" t="s">
        <v>2973</v>
      </c>
      <c r="I13" s="589" t="s">
        <v>2974</v>
      </c>
      <c r="J13" s="589">
        <v>1633</v>
      </c>
      <c r="K13" s="611" t="s">
        <v>2975</v>
      </c>
      <c r="L13" s="611">
        <v>2000</v>
      </c>
      <c r="M13" s="577">
        <v>500</v>
      </c>
      <c r="N13" s="589" t="s">
        <v>2974</v>
      </c>
      <c r="O13" s="589">
        <v>1633</v>
      </c>
      <c r="P13" s="590">
        <v>75000</v>
      </c>
      <c r="Q13" s="591"/>
      <c r="R13" s="591"/>
      <c r="S13" s="591"/>
      <c r="T13" s="591">
        <v>75000</v>
      </c>
      <c r="U13" s="591"/>
      <c r="V13" s="591"/>
      <c r="W13" s="591"/>
      <c r="X13" s="591"/>
      <c r="Y13" s="591"/>
      <c r="Z13" s="591"/>
      <c r="AA13" s="591"/>
      <c r="AB13" s="591"/>
      <c r="AC13" s="591">
        <f>SUM(Q13:AB13)</f>
        <v>75000</v>
      </c>
      <c r="AD13" s="612"/>
      <c r="AE13" s="603" t="s">
        <v>2976</v>
      </c>
      <c r="AF13" s="613" t="s">
        <v>2977</v>
      </c>
      <c r="AG13" s="613" t="s">
        <v>2978</v>
      </c>
      <c r="AH13" s="613" t="s">
        <v>2979</v>
      </c>
      <c r="AI13" s="604" t="s">
        <v>2980</v>
      </c>
      <c r="AJ13" s="614">
        <f>Q13</f>
        <v>0</v>
      </c>
      <c r="AK13" s="620" t="s">
        <v>2981</v>
      </c>
      <c r="AL13" s="599"/>
      <c r="AM13" s="599"/>
      <c r="AN13" s="599"/>
      <c r="AO13" s="599"/>
      <c r="AP13" s="600" t="s">
        <v>751</v>
      </c>
      <c r="AQ13" s="599"/>
      <c r="AR13" s="599"/>
      <c r="AS13" s="599"/>
      <c r="AT13" s="599"/>
      <c r="AU13" s="599"/>
      <c r="AV13" s="599"/>
      <c r="AW13" s="600" t="s">
        <v>751</v>
      </c>
      <c r="AX13" s="603" t="s">
        <v>2982</v>
      </c>
      <c r="AY13" s="599"/>
    </row>
    <row r="14" spans="1:51" ht="294" x14ac:dyDescent="0.25">
      <c r="A14" s="588" t="s">
        <v>49</v>
      </c>
      <c r="B14" s="588" t="s">
        <v>1451</v>
      </c>
      <c r="C14" s="896"/>
      <c r="D14" s="896"/>
      <c r="E14" s="896"/>
      <c r="F14" s="595" t="s">
        <v>2971</v>
      </c>
      <c r="G14" s="898"/>
      <c r="H14" s="589" t="s">
        <v>2983</v>
      </c>
      <c r="I14" s="589" t="s">
        <v>2984</v>
      </c>
      <c r="J14" s="589">
        <v>120</v>
      </c>
      <c r="K14" s="611" t="s">
        <v>2985</v>
      </c>
      <c r="L14" s="611">
        <v>400</v>
      </c>
      <c r="M14" s="577">
        <v>150</v>
      </c>
      <c r="N14" s="589" t="s">
        <v>2984</v>
      </c>
      <c r="O14" s="589">
        <v>120</v>
      </c>
      <c r="P14" s="590">
        <v>100000</v>
      </c>
      <c r="Q14" s="591">
        <v>40000</v>
      </c>
      <c r="R14" s="591"/>
      <c r="S14" s="591"/>
      <c r="T14" s="591">
        <v>60000</v>
      </c>
      <c r="U14" s="591"/>
      <c r="V14" s="591"/>
      <c r="W14" s="591"/>
      <c r="X14" s="591"/>
      <c r="Y14" s="591"/>
      <c r="Z14" s="591"/>
      <c r="AA14" s="591"/>
      <c r="AB14" s="591"/>
      <c r="AC14" s="591">
        <f t="shared" ref="AC14:AC48" si="0">SUM(Q14:AB14)</f>
        <v>100000</v>
      </c>
      <c r="AD14" s="612"/>
      <c r="AE14" s="603" t="s">
        <v>2976</v>
      </c>
      <c r="AF14" s="613" t="s">
        <v>2977</v>
      </c>
      <c r="AG14" s="613" t="s">
        <v>2978</v>
      </c>
      <c r="AH14" s="613" t="s">
        <v>2979</v>
      </c>
      <c r="AI14" s="604" t="s">
        <v>2980</v>
      </c>
      <c r="AJ14" s="614">
        <f t="shared" ref="AJ14:AJ18" si="1">Q14</f>
        <v>40000</v>
      </c>
      <c r="AK14" s="620" t="s">
        <v>2986</v>
      </c>
      <c r="AL14" s="599"/>
      <c r="AM14" s="600" t="s">
        <v>751</v>
      </c>
      <c r="AN14" s="600" t="s">
        <v>751</v>
      </c>
      <c r="AO14" s="600" t="s">
        <v>751</v>
      </c>
      <c r="AP14" s="600" t="s">
        <v>751</v>
      </c>
      <c r="AQ14" s="600" t="s">
        <v>751</v>
      </c>
      <c r="AR14" s="599"/>
      <c r="AS14" s="600" t="s">
        <v>751</v>
      </c>
      <c r="AT14" s="600" t="s">
        <v>751</v>
      </c>
      <c r="AU14" s="600" t="s">
        <v>751</v>
      </c>
      <c r="AV14" s="600" t="s">
        <v>751</v>
      </c>
      <c r="AW14" s="600" t="s">
        <v>751</v>
      </c>
      <c r="AX14" s="615" t="s">
        <v>2987</v>
      </c>
      <c r="AY14" s="599"/>
    </row>
    <row r="15" spans="1:51" ht="294" x14ac:dyDescent="0.25">
      <c r="A15" s="588" t="s">
        <v>49</v>
      </c>
      <c r="B15" s="588" t="s">
        <v>1451</v>
      </c>
      <c r="C15" s="896"/>
      <c r="D15" s="896"/>
      <c r="E15" s="896"/>
      <c r="F15" s="595" t="s">
        <v>2971</v>
      </c>
      <c r="G15" s="898"/>
      <c r="H15" s="589" t="s">
        <v>2988</v>
      </c>
      <c r="I15" s="589" t="s">
        <v>2989</v>
      </c>
      <c r="J15" s="589">
        <v>0</v>
      </c>
      <c r="K15" s="611" t="s">
        <v>2985</v>
      </c>
      <c r="L15" s="611">
        <v>700</v>
      </c>
      <c r="M15" s="577">
        <v>200</v>
      </c>
      <c r="N15" s="589" t="s">
        <v>2989</v>
      </c>
      <c r="O15" s="589">
        <v>0</v>
      </c>
      <c r="P15" s="590">
        <v>95000</v>
      </c>
      <c r="Q15" s="591"/>
      <c r="R15" s="591"/>
      <c r="S15" s="591"/>
      <c r="T15" s="591">
        <v>95000</v>
      </c>
      <c r="U15" s="591"/>
      <c r="V15" s="591"/>
      <c r="W15" s="591"/>
      <c r="X15" s="591"/>
      <c r="Y15" s="591"/>
      <c r="Z15" s="591"/>
      <c r="AA15" s="591"/>
      <c r="AB15" s="591"/>
      <c r="AC15" s="591">
        <f t="shared" si="0"/>
        <v>95000</v>
      </c>
      <c r="AD15" s="612"/>
      <c r="AE15" s="603" t="s">
        <v>2976</v>
      </c>
      <c r="AF15" s="613" t="s">
        <v>2977</v>
      </c>
      <c r="AG15" s="613" t="s">
        <v>2978</v>
      </c>
      <c r="AH15" s="613" t="s">
        <v>2979</v>
      </c>
      <c r="AI15" s="604" t="s">
        <v>2980</v>
      </c>
      <c r="AJ15" s="614">
        <f t="shared" si="1"/>
        <v>0</v>
      </c>
      <c r="AK15" s="620" t="s">
        <v>2990</v>
      </c>
      <c r="AL15" s="599"/>
      <c r="AM15" s="599"/>
      <c r="AN15" s="600" t="s">
        <v>751</v>
      </c>
      <c r="AO15" s="600" t="s">
        <v>751</v>
      </c>
      <c r="AP15" s="600" t="s">
        <v>751</v>
      </c>
      <c r="AQ15" s="600" t="s">
        <v>751</v>
      </c>
      <c r="AR15" s="600"/>
      <c r="AS15" s="600" t="s">
        <v>751</v>
      </c>
      <c r="AT15" s="600" t="s">
        <v>751</v>
      </c>
      <c r="AU15" s="600" t="s">
        <v>751</v>
      </c>
      <c r="AV15" s="600" t="s">
        <v>751</v>
      </c>
      <c r="AW15" s="600" t="s">
        <v>751</v>
      </c>
      <c r="AX15" s="604" t="s">
        <v>2991</v>
      </c>
      <c r="AY15" s="599"/>
    </row>
    <row r="16" spans="1:51" ht="294" x14ac:dyDescent="0.25">
      <c r="A16" s="588" t="s">
        <v>49</v>
      </c>
      <c r="B16" s="588" t="s">
        <v>1451</v>
      </c>
      <c r="C16" s="898" t="s">
        <v>2992</v>
      </c>
      <c r="D16" s="896" t="s">
        <v>2993</v>
      </c>
      <c r="E16" s="896">
        <v>95000</v>
      </c>
      <c r="F16" s="595" t="s">
        <v>2971</v>
      </c>
      <c r="G16" s="898"/>
      <c r="H16" s="589" t="s">
        <v>2994</v>
      </c>
      <c r="I16" s="589" t="s">
        <v>2995</v>
      </c>
      <c r="J16" s="589">
        <v>0</v>
      </c>
      <c r="K16" s="611" t="s">
        <v>2985</v>
      </c>
      <c r="L16" s="611">
        <v>20</v>
      </c>
      <c r="M16" s="577">
        <v>5</v>
      </c>
      <c r="N16" s="589" t="s">
        <v>2995</v>
      </c>
      <c r="O16" s="589">
        <v>0</v>
      </c>
      <c r="P16" s="590">
        <v>110000</v>
      </c>
      <c r="Q16" s="591">
        <v>110000</v>
      </c>
      <c r="R16" s="591"/>
      <c r="S16" s="591"/>
      <c r="T16" s="591"/>
      <c r="U16" s="591"/>
      <c r="V16" s="591"/>
      <c r="W16" s="591"/>
      <c r="X16" s="591"/>
      <c r="Y16" s="591"/>
      <c r="Z16" s="591"/>
      <c r="AA16" s="591"/>
      <c r="AB16" s="591"/>
      <c r="AC16" s="591">
        <f t="shared" si="0"/>
        <v>110000</v>
      </c>
      <c r="AD16" s="612"/>
      <c r="AE16" s="603" t="s">
        <v>2976</v>
      </c>
      <c r="AF16" s="613" t="s">
        <v>2977</v>
      </c>
      <c r="AG16" s="613" t="s">
        <v>2978</v>
      </c>
      <c r="AH16" s="613" t="s">
        <v>2979</v>
      </c>
      <c r="AI16" s="604" t="s">
        <v>2980</v>
      </c>
      <c r="AJ16" s="614">
        <f t="shared" si="1"/>
        <v>110000</v>
      </c>
      <c r="AK16" s="620" t="s">
        <v>2996</v>
      </c>
      <c r="AL16" s="599"/>
      <c r="AM16" s="600" t="s">
        <v>751</v>
      </c>
      <c r="AN16" s="600" t="s">
        <v>751</v>
      </c>
      <c r="AO16" s="600" t="s">
        <v>751</v>
      </c>
      <c r="AP16" s="600" t="s">
        <v>751</v>
      </c>
      <c r="AQ16" s="600" t="s">
        <v>751</v>
      </c>
      <c r="AR16" s="600" t="s">
        <v>751</v>
      </c>
      <c r="AS16" s="600" t="s">
        <v>751</v>
      </c>
      <c r="AT16" s="600" t="s">
        <v>751</v>
      </c>
      <c r="AU16" s="600" t="s">
        <v>751</v>
      </c>
      <c r="AV16" s="600" t="s">
        <v>751</v>
      </c>
      <c r="AW16" s="600" t="s">
        <v>751</v>
      </c>
      <c r="AX16" s="599"/>
      <c r="AY16" s="599"/>
    </row>
    <row r="17" spans="1:51" ht="294" x14ac:dyDescent="0.25">
      <c r="A17" s="588" t="s">
        <v>49</v>
      </c>
      <c r="B17" s="588" t="s">
        <v>1451</v>
      </c>
      <c r="C17" s="898"/>
      <c r="D17" s="896"/>
      <c r="E17" s="896"/>
      <c r="F17" s="595" t="s">
        <v>2971</v>
      </c>
      <c r="G17" s="898"/>
      <c r="H17" s="589" t="s">
        <v>2997</v>
      </c>
      <c r="I17" s="589" t="s">
        <v>2998</v>
      </c>
      <c r="J17" s="589">
        <v>5100</v>
      </c>
      <c r="K17" s="611" t="s">
        <v>2999</v>
      </c>
      <c r="L17" s="616">
        <v>4000</v>
      </c>
      <c r="M17" s="577">
        <v>1000</v>
      </c>
      <c r="N17" s="589" t="s">
        <v>2998</v>
      </c>
      <c r="O17" s="589">
        <v>5100</v>
      </c>
      <c r="P17" s="590">
        <v>150000</v>
      </c>
      <c r="Q17" s="617">
        <v>150000</v>
      </c>
      <c r="R17" s="591"/>
      <c r="S17" s="591"/>
      <c r="T17" s="591"/>
      <c r="U17" s="591"/>
      <c r="V17" s="591"/>
      <c r="W17" s="591"/>
      <c r="X17" s="591"/>
      <c r="Y17" s="591"/>
      <c r="Z17" s="591"/>
      <c r="AA17" s="591"/>
      <c r="AB17" s="591"/>
      <c r="AC17" s="591">
        <f t="shared" si="0"/>
        <v>150000</v>
      </c>
      <c r="AD17" s="612"/>
      <c r="AE17" s="603" t="s">
        <v>2976</v>
      </c>
      <c r="AF17" s="613" t="s">
        <v>2977</v>
      </c>
      <c r="AG17" s="613" t="s">
        <v>2978</v>
      </c>
      <c r="AH17" s="613" t="s">
        <v>2979</v>
      </c>
      <c r="AI17" s="604" t="s">
        <v>2980</v>
      </c>
      <c r="AJ17" s="614">
        <f t="shared" si="1"/>
        <v>150000</v>
      </c>
      <c r="AK17" s="620" t="s">
        <v>3000</v>
      </c>
      <c r="AL17" s="599"/>
      <c r="AM17" s="600" t="s">
        <v>751</v>
      </c>
      <c r="AN17" s="600" t="s">
        <v>751</v>
      </c>
      <c r="AO17" s="600" t="s">
        <v>751</v>
      </c>
      <c r="AP17" s="600" t="s">
        <v>751</v>
      </c>
      <c r="AQ17" s="600" t="s">
        <v>751</v>
      </c>
      <c r="AR17" s="600" t="s">
        <v>751</v>
      </c>
      <c r="AS17" s="600" t="s">
        <v>751</v>
      </c>
      <c r="AT17" s="600" t="s">
        <v>751</v>
      </c>
      <c r="AU17" s="600" t="s">
        <v>751</v>
      </c>
      <c r="AV17" s="600" t="s">
        <v>751</v>
      </c>
      <c r="AW17" s="600" t="s">
        <v>751</v>
      </c>
      <c r="AX17" s="604" t="s">
        <v>3001</v>
      </c>
      <c r="AY17" s="603"/>
    </row>
    <row r="18" spans="1:51" ht="294" x14ac:dyDescent="0.25">
      <c r="A18" s="588" t="s">
        <v>49</v>
      </c>
      <c r="B18" s="588" t="s">
        <v>1451</v>
      </c>
      <c r="C18" s="898"/>
      <c r="D18" s="896"/>
      <c r="E18" s="896"/>
      <c r="F18" s="595" t="s">
        <v>2971</v>
      </c>
      <c r="G18" s="898"/>
      <c r="H18" s="589" t="s">
        <v>3002</v>
      </c>
      <c r="I18" s="589" t="s">
        <v>3003</v>
      </c>
      <c r="J18" s="589">
        <v>20</v>
      </c>
      <c r="K18" s="611" t="s">
        <v>3004</v>
      </c>
      <c r="L18" s="611">
        <v>20</v>
      </c>
      <c r="M18" s="577">
        <v>5</v>
      </c>
      <c r="N18" s="589" t="s">
        <v>3003</v>
      </c>
      <c r="O18" s="589">
        <v>20</v>
      </c>
      <c r="P18" s="590">
        <v>12000</v>
      </c>
      <c r="Q18" s="617">
        <v>12000</v>
      </c>
      <c r="R18" s="591"/>
      <c r="S18" s="591"/>
      <c r="T18" s="591"/>
      <c r="U18" s="591"/>
      <c r="V18" s="591"/>
      <c r="W18" s="591"/>
      <c r="X18" s="591"/>
      <c r="Y18" s="591"/>
      <c r="Z18" s="591"/>
      <c r="AA18" s="591"/>
      <c r="AB18" s="591"/>
      <c r="AC18" s="591">
        <f t="shared" si="0"/>
        <v>12000</v>
      </c>
      <c r="AD18" s="612"/>
      <c r="AE18" s="618" t="s">
        <v>2976</v>
      </c>
      <c r="AF18" s="613" t="s">
        <v>2977</v>
      </c>
      <c r="AG18" s="613" t="s">
        <v>2978</v>
      </c>
      <c r="AH18" s="613" t="s">
        <v>2979</v>
      </c>
      <c r="AI18" s="604" t="s">
        <v>2980</v>
      </c>
      <c r="AJ18" s="614">
        <f t="shared" si="1"/>
        <v>12000</v>
      </c>
      <c r="AK18" s="620" t="s">
        <v>3005</v>
      </c>
      <c r="AL18" s="599"/>
      <c r="AM18" s="599"/>
      <c r="AN18" s="600" t="s">
        <v>751</v>
      </c>
      <c r="AO18" s="600" t="s">
        <v>751</v>
      </c>
      <c r="AP18" s="600" t="s">
        <v>751</v>
      </c>
      <c r="AQ18" s="600" t="s">
        <v>751</v>
      </c>
      <c r="AR18" s="599"/>
      <c r="AS18" s="600" t="s">
        <v>751</v>
      </c>
      <c r="AT18" s="600" t="s">
        <v>751</v>
      </c>
      <c r="AU18" s="600" t="s">
        <v>751</v>
      </c>
      <c r="AV18" s="600" t="s">
        <v>751</v>
      </c>
      <c r="AW18" s="599"/>
      <c r="AX18" s="604" t="s">
        <v>3006</v>
      </c>
      <c r="AY18" s="603"/>
    </row>
    <row r="19" spans="1:51" ht="114.75" x14ac:dyDescent="0.25">
      <c r="A19" s="588" t="s">
        <v>49</v>
      </c>
      <c r="B19" s="588" t="s">
        <v>1451</v>
      </c>
      <c r="C19" s="897" t="s">
        <v>3007</v>
      </c>
      <c r="D19" s="897" t="s">
        <v>3008</v>
      </c>
      <c r="E19" s="897">
        <v>4</v>
      </c>
      <c r="F19" s="595" t="s">
        <v>3009</v>
      </c>
      <c r="G19" s="896" t="s">
        <v>3010</v>
      </c>
      <c r="H19" s="589" t="s">
        <v>3011</v>
      </c>
      <c r="I19" s="589" t="s">
        <v>3012</v>
      </c>
      <c r="J19" s="589">
        <v>4</v>
      </c>
      <c r="K19" s="611" t="s">
        <v>2985</v>
      </c>
      <c r="L19" s="611">
        <v>20</v>
      </c>
      <c r="M19" s="577">
        <v>5</v>
      </c>
      <c r="N19" s="589" t="s">
        <v>3012</v>
      </c>
      <c r="O19" s="589">
        <v>4</v>
      </c>
      <c r="P19" s="590">
        <v>310000</v>
      </c>
      <c r="Q19" s="591">
        <v>80000</v>
      </c>
      <c r="R19" s="591"/>
      <c r="S19" s="591"/>
      <c r="T19" s="591"/>
      <c r="U19" s="591"/>
      <c r="V19" s="591"/>
      <c r="W19" s="591"/>
      <c r="X19" s="591"/>
      <c r="Y19" s="591"/>
      <c r="Z19" s="591"/>
      <c r="AA19" s="591">
        <v>50000</v>
      </c>
      <c r="AB19" s="591">
        <v>56000</v>
      </c>
      <c r="AC19" s="591">
        <f t="shared" si="0"/>
        <v>186000</v>
      </c>
      <c r="AD19" s="612"/>
      <c r="AE19" s="589" t="s">
        <v>3013</v>
      </c>
      <c r="AF19" s="612"/>
      <c r="AG19" s="612"/>
      <c r="AH19" s="612"/>
      <c r="AI19" s="612"/>
      <c r="AJ19" s="591">
        <f>SUM(Q19:AI19)</f>
        <v>372000</v>
      </c>
      <c r="AK19" s="612"/>
      <c r="AL19" s="612"/>
      <c r="AM19" s="612"/>
      <c r="AN19" s="612"/>
      <c r="AO19" s="612"/>
      <c r="AP19" s="612"/>
      <c r="AQ19" s="612"/>
      <c r="AR19" s="612"/>
      <c r="AS19" s="612"/>
      <c r="AT19" s="612"/>
      <c r="AU19" s="612"/>
      <c r="AV19" s="612"/>
      <c r="AW19" s="612"/>
      <c r="AX19" s="637" t="s">
        <v>3014</v>
      </c>
      <c r="AY19" s="626"/>
    </row>
    <row r="20" spans="1:51" ht="114.75" x14ac:dyDescent="0.25">
      <c r="A20" s="588" t="s">
        <v>49</v>
      </c>
      <c r="B20" s="588" t="s">
        <v>1451</v>
      </c>
      <c r="C20" s="903"/>
      <c r="D20" s="903"/>
      <c r="E20" s="903"/>
      <c r="F20" s="595" t="s">
        <v>3009</v>
      </c>
      <c r="G20" s="896"/>
      <c r="H20" s="589" t="s">
        <v>3015</v>
      </c>
      <c r="I20" s="589" t="s">
        <v>3016</v>
      </c>
      <c r="J20" s="589">
        <v>4</v>
      </c>
      <c r="K20" s="611" t="s">
        <v>2985</v>
      </c>
      <c r="L20" s="611">
        <v>20</v>
      </c>
      <c r="M20" s="577">
        <v>5</v>
      </c>
      <c r="N20" s="589" t="s">
        <v>3016</v>
      </c>
      <c r="O20" s="589">
        <v>4</v>
      </c>
      <c r="P20" s="590">
        <v>75000</v>
      </c>
      <c r="Q20" s="591">
        <v>30000</v>
      </c>
      <c r="R20" s="591"/>
      <c r="S20" s="591"/>
      <c r="T20" s="591"/>
      <c r="U20" s="591"/>
      <c r="V20" s="591"/>
      <c r="W20" s="591"/>
      <c r="X20" s="591"/>
      <c r="Y20" s="591"/>
      <c r="Z20" s="591"/>
      <c r="AA20" s="591"/>
      <c r="AB20" s="591">
        <v>45000</v>
      </c>
      <c r="AC20" s="591">
        <f t="shared" si="0"/>
        <v>75000</v>
      </c>
      <c r="AD20" s="612"/>
      <c r="AE20" s="589" t="s">
        <v>3013</v>
      </c>
      <c r="AF20" s="612"/>
      <c r="AG20" s="612"/>
      <c r="AH20" s="612"/>
      <c r="AI20" s="612"/>
      <c r="AJ20" s="591">
        <f>SUM(Q20:AI20)</f>
        <v>150000</v>
      </c>
      <c r="AK20" s="612"/>
      <c r="AL20" s="612"/>
      <c r="AM20" s="612" t="s">
        <v>751</v>
      </c>
      <c r="AN20" s="612" t="s">
        <v>751</v>
      </c>
      <c r="AO20" s="612" t="s">
        <v>751</v>
      </c>
      <c r="AP20" s="612" t="s">
        <v>751</v>
      </c>
      <c r="AQ20" s="612" t="s">
        <v>751</v>
      </c>
      <c r="AR20" s="612" t="s">
        <v>751</v>
      </c>
      <c r="AS20" s="612" t="s">
        <v>751</v>
      </c>
      <c r="AT20" s="612" t="s">
        <v>751</v>
      </c>
      <c r="AU20" s="612" t="s">
        <v>751</v>
      </c>
      <c r="AV20" s="612" t="s">
        <v>751</v>
      </c>
      <c r="AW20" s="612" t="s">
        <v>751</v>
      </c>
      <c r="AX20" s="637" t="s">
        <v>3014</v>
      </c>
      <c r="AY20" s="626"/>
    </row>
    <row r="21" spans="1:51" ht="114.75" x14ac:dyDescent="0.25">
      <c r="A21" s="595" t="s">
        <v>201</v>
      </c>
      <c r="B21" s="595" t="s">
        <v>3017</v>
      </c>
      <c r="C21" s="897" t="s">
        <v>3018</v>
      </c>
      <c r="D21" s="897" t="s">
        <v>3019</v>
      </c>
      <c r="E21" s="897">
        <v>0</v>
      </c>
      <c r="F21" s="595" t="s">
        <v>3020</v>
      </c>
      <c r="G21" s="896" t="s">
        <v>3021</v>
      </c>
      <c r="H21" s="589" t="s">
        <v>3022</v>
      </c>
      <c r="I21" s="589" t="s">
        <v>3023</v>
      </c>
      <c r="J21" s="589">
        <v>7</v>
      </c>
      <c r="K21" s="611" t="s">
        <v>3024</v>
      </c>
      <c r="L21" s="611">
        <v>12</v>
      </c>
      <c r="M21" s="577">
        <v>3</v>
      </c>
      <c r="N21" s="589" t="s">
        <v>3023</v>
      </c>
      <c r="O21" s="589">
        <v>7</v>
      </c>
      <c r="P21" s="591">
        <v>31920000</v>
      </c>
      <c r="Q21" s="591">
        <v>120000</v>
      </c>
      <c r="R21" s="591"/>
      <c r="S21" s="591"/>
      <c r="T21" s="591"/>
      <c r="U21" s="591">
        <v>20000000</v>
      </c>
      <c r="V21" s="591">
        <v>10000000</v>
      </c>
      <c r="W21" s="591"/>
      <c r="X21" s="591"/>
      <c r="Y21" s="591">
        <v>1000000</v>
      </c>
      <c r="Z21" s="591"/>
      <c r="AA21" s="591">
        <v>560000</v>
      </c>
      <c r="AB21" s="591">
        <v>240000</v>
      </c>
      <c r="AC21" s="591">
        <f>SUM(Q21:AB21)</f>
        <v>31920000</v>
      </c>
      <c r="AD21" s="612"/>
      <c r="AE21" s="589" t="s">
        <v>3013</v>
      </c>
      <c r="AF21" s="612"/>
      <c r="AG21" s="612"/>
      <c r="AH21" s="612"/>
      <c r="AI21" s="612"/>
      <c r="AJ21" s="591">
        <f>SUM(Q21:AI21)</f>
        <v>63840000</v>
      </c>
      <c r="AK21" s="612"/>
      <c r="AL21" s="612"/>
      <c r="AM21" s="619" t="s">
        <v>751</v>
      </c>
      <c r="AN21" s="619" t="s">
        <v>751</v>
      </c>
      <c r="AO21" s="619" t="s">
        <v>751</v>
      </c>
      <c r="AP21" s="619" t="s">
        <v>751</v>
      </c>
      <c r="AQ21" s="619" t="s">
        <v>751</v>
      </c>
      <c r="AR21" s="619" t="s">
        <v>751</v>
      </c>
      <c r="AS21" s="619" t="s">
        <v>751</v>
      </c>
      <c r="AT21" s="619" t="s">
        <v>751</v>
      </c>
      <c r="AU21" s="619" t="s">
        <v>751</v>
      </c>
      <c r="AV21" s="619" t="s">
        <v>751</v>
      </c>
      <c r="AW21" s="619" t="s">
        <v>751</v>
      </c>
      <c r="AX21" s="637" t="s">
        <v>3025</v>
      </c>
      <c r="AY21" s="626"/>
    </row>
    <row r="22" spans="1:51" ht="114.75" x14ac:dyDescent="0.25">
      <c r="A22" s="595" t="s">
        <v>201</v>
      </c>
      <c r="B22" s="595" t="s">
        <v>3017</v>
      </c>
      <c r="C22" s="898"/>
      <c r="D22" s="898"/>
      <c r="E22" s="898"/>
      <c r="F22" s="595" t="s">
        <v>3020</v>
      </c>
      <c r="G22" s="896"/>
      <c r="H22" s="589" t="s">
        <v>3026</v>
      </c>
      <c r="I22" s="589" t="s">
        <v>3027</v>
      </c>
      <c r="J22" s="589">
        <v>3</v>
      </c>
      <c r="K22" s="611" t="s">
        <v>2985</v>
      </c>
      <c r="L22" s="611">
        <v>6</v>
      </c>
      <c r="M22" s="577">
        <v>2</v>
      </c>
      <c r="N22" s="589" t="s">
        <v>3027</v>
      </c>
      <c r="O22" s="589">
        <v>3</v>
      </c>
      <c r="P22" s="590">
        <v>4000</v>
      </c>
      <c r="Q22" s="591">
        <v>2000</v>
      </c>
      <c r="R22" s="591"/>
      <c r="S22" s="591"/>
      <c r="T22" s="591"/>
      <c r="U22" s="591"/>
      <c r="V22" s="591"/>
      <c r="W22" s="591"/>
      <c r="X22" s="591"/>
      <c r="Y22" s="591"/>
      <c r="Z22" s="591"/>
      <c r="AA22" s="591"/>
      <c r="AB22" s="591">
        <v>2000</v>
      </c>
      <c r="AC22" s="591">
        <f t="shared" si="0"/>
        <v>4000</v>
      </c>
      <c r="AD22" s="612"/>
      <c r="AE22" s="589" t="s">
        <v>3028</v>
      </c>
      <c r="AF22" s="612"/>
      <c r="AG22" s="612"/>
      <c r="AH22" s="612"/>
      <c r="AI22" s="612"/>
      <c r="AJ22" s="591">
        <f t="shared" ref="AJ22:AJ34" si="2">SUM(Q22:AI22)</f>
        <v>8000</v>
      </c>
      <c r="AK22" s="612"/>
      <c r="AL22" s="612"/>
      <c r="AM22" s="619" t="s">
        <v>751</v>
      </c>
      <c r="AN22" s="619" t="s">
        <v>751</v>
      </c>
      <c r="AO22" s="619" t="s">
        <v>751</v>
      </c>
      <c r="AP22" s="619" t="s">
        <v>751</v>
      </c>
      <c r="AQ22" s="619" t="s">
        <v>751</v>
      </c>
      <c r="AR22" s="619" t="s">
        <v>751</v>
      </c>
      <c r="AS22" s="619" t="s">
        <v>751</v>
      </c>
      <c r="AT22" s="619" t="s">
        <v>751</v>
      </c>
      <c r="AU22" s="619" t="s">
        <v>751</v>
      </c>
      <c r="AV22" s="619" t="s">
        <v>751</v>
      </c>
      <c r="AW22" s="619" t="s">
        <v>751</v>
      </c>
      <c r="AX22" s="637" t="s">
        <v>3025</v>
      </c>
      <c r="AY22" s="637" t="s">
        <v>3029</v>
      </c>
    </row>
    <row r="23" spans="1:51" ht="216.75" x14ac:dyDescent="0.25">
      <c r="A23" s="589" t="s">
        <v>201</v>
      </c>
      <c r="B23" s="589" t="s">
        <v>3017</v>
      </c>
      <c r="C23" s="903"/>
      <c r="D23" s="903"/>
      <c r="E23" s="903"/>
      <c r="F23" s="589" t="s">
        <v>3030</v>
      </c>
      <c r="G23" s="589" t="s">
        <v>3031</v>
      </c>
      <c r="H23" s="589" t="s">
        <v>3032</v>
      </c>
      <c r="I23" s="589" t="s">
        <v>3033</v>
      </c>
      <c r="J23" s="589" t="s">
        <v>3034</v>
      </c>
      <c r="K23" s="589" t="s">
        <v>2985</v>
      </c>
      <c r="L23" s="589">
        <v>10</v>
      </c>
      <c r="M23" s="576">
        <v>3</v>
      </c>
      <c r="N23" s="589" t="s">
        <v>3033</v>
      </c>
      <c r="O23" s="589" t="s">
        <v>3034</v>
      </c>
      <c r="P23" s="590">
        <v>2190000</v>
      </c>
      <c r="Q23" s="591">
        <v>100000</v>
      </c>
      <c r="R23" s="591"/>
      <c r="S23" s="591"/>
      <c r="T23" s="591"/>
      <c r="U23" s="591"/>
      <c r="V23" s="591"/>
      <c r="W23" s="591"/>
      <c r="X23" s="591"/>
      <c r="Y23" s="591"/>
      <c r="Z23" s="591">
        <v>1000000</v>
      </c>
      <c r="AA23" s="591">
        <v>550000</v>
      </c>
      <c r="AB23" s="591">
        <v>540000</v>
      </c>
      <c r="AC23" s="591">
        <f t="shared" si="0"/>
        <v>2190000</v>
      </c>
      <c r="AD23" s="612"/>
      <c r="AE23" s="589" t="s">
        <v>3035</v>
      </c>
      <c r="AF23" s="619" t="s">
        <v>3036</v>
      </c>
      <c r="AG23" s="589" t="s">
        <v>3037</v>
      </c>
      <c r="AH23" s="589" t="s">
        <v>1227</v>
      </c>
      <c r="AI23" s="591">
        <v>2400</v>
      </c>
      <c r="AJ23" s="591">
        <f t="shared" si="2"/>
        <v>4382400</v>
      </c>
      <c r="AK23" s="612"/>
      <c r="AL23" s="619"/>
      <c r="AM23" s="619" t="s">
        <v>751</v>
      </c>
      <c r="AN23" s="619" t="s">
        <v>751</v>
      </c>
      <c r="AO23" s="619" t="s">
        <v>751</v>
      </c>
      <c r="AP23" s="619" t="s">
        <v>751</v>
      </c>
      <c r="AQ23" s="619" t="s">
        <v>751</v>
      </c>
      <c r="AR23" s="619" t="s">
        <v>751</v>
      </c>
      <c r="AS23" s="619" t="s">
        <v>751</v>
      </c>
      <c r="AT23" s="619" t="s">
        <v>751</v>
      </c>
      <c r="AU23" s="619" t="s">
        <v>751</v>
      </c>
      <c r="AV23" s="619" t="s">
        <v>751</v>
      </c>
      <c r="AW23" s="619" t="s">
        <v>751</v>
      </c>
      <c r="AX23" s="637" t="s">
        <v>3025</v>
      </c>
      <c r="AY23" s="637" t="s">
        <v>3038</v>
      </c>
    </row>
    <row r="24" spans="1:51" ht="204" x14ac:dyDescent="0.25">
      <c r="A24" s="595" t="s">
        <v>201</v>
      </c>
      <c r="B24" s="595" t="s">
        <v>3017</v>
      </c>
      <c r="C24" s="904" t="s">
        <v>3039</v>
      </c>
      <c r="D24" s="904" t="s">
        <v>3040</v>
      </c>
      <c r="E24" s="904">
        <v>11</v>
      </c>
      <c r="F24" s="595" t="s">
        <v>3041</v>
      </c>
      <c r="G24" s="904" t="s">
        <v>3042</v>
      </c>
      <c r="H24" s="589" t="s">
        <v>3043</v>
      </c>
      <c r="I24" s="589" t="s">
        <v>3044</v>
      </c>
      <c r="J24" s="589">
        <v>1</v>
      </c>
      <c r="K24" s="611" t="s">
        <v>2985</v>
      </c>
      <c r="L24" s="611">
        <v>4</v>
      </c>
      <c r="M24" s="577">
        <v>1</v>
      </c>
      <c r="N24" s="589" t="s">
        <v>3044</v>
      </c>
      <c r="O24" s="589">
        <v>1</v>
      </c>
      <c r="P24" s="590">
        <v>30000</v>
      </c>
      <c r="Q24" s="591">
        <v>20000</v>
      </c>
      <c r="R24" s="591"/>
      <c r="S24" s="591"/>
      <c r="T24" s="591"/>
      <c r="U24" s="591"/>
      <c r="V24" s="591"/>
      <c r="W24" s="591"/>
      <c r="X24" s="591"/>
      <c r="Y24" s="591"/>
      <c r="Z24" s="591"/>
      <c r="AA24" s="591"/>
      <c r="AB24" s="591">
        <v>10000</v>
      </c>
      <c r="AC24" s="591">
        <f t="shared" si="0"/>
        <v>30000</v>
      </c>
      <c r="AD24" s="612"/>
      <c r="AE24" s="589" t="s">
        <v>3045</v>
      </c>
      <c r="AF24" s="589" t="s">
        <v>3046</v>
      </c>
      <c r="AG24" s="589" t="s">
        <v>1174</v>
      </c>
      <c r="AH24" s="612" t="s">
        <v>554</v>
      </c>
      <c r="AI24" s="612">
        <v>6000</v>
      </c>
      <c r="AJ24" s="591">
        <v>52980</v>
      </c>
      <c r="AK24" s="612"/>
      <c r="AL24" s="612"/>
      <c r="AM24" s="612"/>
      <c r="AN24" s="636" t="s">
        <v>751</v>
      </c>
      <c r="AO24" s="612"/>
      <c r="AP24" s="612"/>
      <c r="AQ24" s="612"/>
      <c r="AR24" s="612"/>
      <c r="AS24" s="612"/>
      <c r="AT24" s="612"/>
      <c r="AU24" s="612"/>
      <c r="AV24" s="612"/>
      <c r="AW24" s="612"/>
      <c r="AX24" s="637" t="s">
        <v>3014</v>
      </c>
      <c r="AY24" s="637" t="s">
        <v>3047</v>
      </c>
    </row>
    <row r="25" spans="1:51" ht="204" x14ac:dyDescent="0.25">
      <c r="A25" s="595" t="s">
        <v>201</v>
      </c>
      <c r="B25" s="595" t="s">
        <v>3017</v>
      </c>
      <c r="C25" s="904"/>
      <c r="D25" s="904"/>
      <c r="E25" s="904"/>
      <c r="F25" s="595" t="s">
        <v>3041</v>
      </c>
      <c r="G25" s="904"/>
      <c r="H25" s="589" t="s">
        <v>3048</v>
      </c>
      <c r="I25" s="589" t="s">
        <v>3049</v>
      </c>
      <c r="J25" s="589">
        <v>5</v>
      </c>
      <c r="K25" s="611" t="s">
        <v>2985</v>
      </c>
      <c r="L25" s="611">
        <v>4</v>
      </c>
      <c r="M25" s="577">
        <v>1</v>
      </c>
      <c r="N25" s="589" t="s">
        <v>3049</v>
      </c>
      <c r="O25" s="589">
        <v>5</v>
      </c>
      <c r="P25" s="590">
        <v>10000</v>
      </c>
      <c r="Q25" s="591">
        <v>5000</v>
      </c>
      <c r="R25" s="591"/>
      <c r="S25" s="591"/>
      <c r="T25" s="591"/>
      <c r="U25" s="591"/>
      <c r="V25" s="591"/>
      <c r="W25" s="591"/>
      <c r="X25" s="591"/>
      <c r="Y25" s="591"/>
      <c r="Z25" s="591"/>
      <c r="AA25" s="591"/>
      <c r="AB25" s="591">
        <v>5000</v>
      </c>
      <c r="AC25" s="591">
        <f t="shared" si="0"/>
        <v>10000</v>
      </c>
      <c r="AD25" s="612"/>
      <c r="AE25" s="589" t="s">
        <v>3045</v>
      </c>
      <c r="AF25" s="589" t="s">
        <v>3046</v>
      </c>
      <c r="AG25" s="589" t="s">
        <v>1174</v>
      </c>
      <c r="AH25" s="612" t="s">
        <v>554</v>
      </c>
      <c r="AI25" s="612">
        <v>6000</v>
      </c>
      <c r="AJ25" s="591">
        <v>52980</v>
      </c>
      <c r="AK25" s="612"/>
      <c r="AL25" s="612"/>
      <c r="AM25" s="612"/>
      <c r="AN25" s="636" t="s">
        <v>751</v>
      </c>
      <c r="AO25" s="612"/>
      <c r="AP25" s="612"/>
      <c r="AQ25" s="612"/>
      <c r="AR25" s="612"/>
      <c r="AS25" s="612"/>
      <c r="AT25" s="612"/>
      <c r="AU25" s="612"/>
      <c r="AV25" s="612"/>
      <c r="AW25" s="612"/>
      <c r="AX25" s="637" t="s">
        <v>3025</v>
      </c>
      <c r="AY25" s="626"/>
    </row>
    <row r="26" spans="1:51" ht="76.5" x14ac:dyDescent="0.25">
      <c r="A26" s="595" t="s">
        <v>201</v>
      </c>
      <c r="B26" s="595" t="s">
        <v>3017</v>
      </c>
      <c r="C26" s="904"/>
      <c r="D26" s="904"/>
      <c r="E26" s="904"/>
      <c r="F26" s="595" t="s">
        <v>3041</v>
      </c>
      <c r="G26" s="904"/>
      <c r="H26" s="589" t="s">
        <v>3050</v>
      </c>
      <c r="I26" s="589" t="s">
        <v>3051</v>
      </c>
      <c r="J26" s="621">
        <v>1</v>
      </c>
      <c r="K26" s="622" t="s">
        <v>2985</v>
      </c>
      <c r="L26" s="622">
        <v>3</v>
      </c>
      <c r="M26" s="592">
        <v>1</v>
      </c>
      <c r="N26" s="589" t="s">
        <v>3051</v>
      </c>
      <c r="O26" s="621">
        <v>1</v>
      </c>
      <c r="P26" s="590">
        <v>134000</v>
      </c>
      <c r="Q26" s="591">
        <v>134000</v>
      </c>
      <c r="R26" s="591"/>
      <c r="S26" s="591"/>
      <c r="T26" s="591"/>
      <c r="U26" s="591"/>
      <c r="V26" s="591"/>
      <c r="W26" s="591"/>
      <c r="X26" s="591"/>
      <c r="Y26" s="591"/>
      <c r="Z26" s="591"/>
      <c r="AA26" s="591"/>
      <c r="AB26" s="591"/>
      <c r="AC26" s="591">
        <f t="shared" si="0"/>
        <v>134000</v>
      </c>
      <c r="AD26" s="612"/>
      <c r="AE26" s="612" t="s">
        <v>3028</v>
      </c>
      <c r="AF26" s="612"/>
      <c r="AG26" s="612"/>
      <c r="AH26" s="612"/>
      <c r="AI26" s="612"/>
      <c r="AJ26" s="591">
        <f t="shared" si="2"/>
        <v>268000</v>
      </c>
      <c r="AK26" s="612"/>
      <c r="AL26" s="619"/>
      <c r="AM26" s="619"/>
      <c r="AN26" s="619"/>
      <c r="AO26" s="619"/>
      <c r="AP26" s="619" t="s">
        <v>751</v>
      </c>
      <c r="AQ26" s="619"/>
      <c r="AR26" s="619"/>
      <c r="AS26" s="619"/>
      <c r="AT26" s="619"/>
      <c r="AU26" s="619"/>
      <c r="AV26" s="619" t="s">
        <v>751</v>
      </c>
      <c r="AW26" s="612"/>
      <c r="AX26" s="626"/>
      <c r="AY26" s="626"/>
    </row>
    <row r="27" spans="1:51" ht="127.5" x14ac:dyDescent="0.25">
      <c r="A27" s="589" t="s">
        <v>3052</v>
      </c>
      <c r="B27" s="589" t="s">
        <v>3053</v>
      </c>
      <c r="C27" s="904"/>
      <c r="D27" s="904"/>
      <c r="E27" s="904"/>
      <c r="F27" s="589" t="s">
        <v>3054</v>
      </c>
      <c r="G27" s="589" t="s">
        <v>3055</v>
      </c>
      <c r="H27" s="589" t="s">
        <v>3056</v>
      </c>
      <c r="I27" s="589" t="s">
        <v>3057</v>
      </c>
      <c r="J27" s="589">
        <v>13</v>
      </c>
      <c r="K27" s="589" t="s">
        <v>2985</v>
      </c>
      <c r="L27" s="589">
        <v>4</v>
      </c>
      <c r="M27" s="576">
        <v>1</v>
      </c>
      <c r="N27" s="589" t="s">
        <v>3057</v>
      </c>
      <c r="O27" s="589">
        <v>13</v>
      </c>
      <c r="P27" s="590">
        <v>60000</v>
      </c>
      <c r="Q27" s="591">
        <v>50000</v>
      </c>
      <c r="R27" s="591"/>
      <c r="S27" s="591"/>
      <c r="T27" s="591"/>
      <c r="U27" s="591"/>
      <c r="V27" s="591"/>
      <c r="W27" s="591"/>
      <c r="X27" s="591"/>
      <c r="Y27" s="591"/>
      <c r="Z27" s="591"/>
      <c r="AA27" s="591">
        <v>10000</v>
      </c>
      <c r="AB27" s="591"/>
      <c r="AC27" s="591">
        <f t="shared" si="0"/>
        <v>60000</v>
      </c>
      <c r="AD27" s="612"/>
      <c r="AE27" s="626" t="s">
        <v>3058</v>
      </c>
      <c r="AF27" s="626"/>
      <c r="AG27" s="612"/>
      <c r="AH27" s="612"/>
      <c r="AI27" s="612"/>
      <c r="AJ27" s="591">
        <f t="shared" si="2"/>
        <v>120000</v>
      </c>
      <c r="AK27" s="612"/>
      <c r="AL27" s="619"/>
      <c r="AM27" s="619"/>
      <c r="AN27" s="619" t="s">
        <v>751</v>
      </c>
      <c r="AO27" s="619"/>
      <c r="AP27" s="619"/>
      <c r="AQ27" s="619" t="s">
        <v>751</v>
      </c>
      <c r="AR27" s="619"/>
      <c r="AS27" s="619"/>
      <c r="AT27" s="619" t="s">
        <v>751</v>
      </c>
      <c r="AU27" s="619"/>
      <c r="AV27" s="619"/>
      <c r="AW27" s="619" t="s">
        <v>751</v>
      </c>
      <c r="AX27" s="637" t="s">
        <v>3025</v>
      </c>
      <c r="AY27" s="626"/>
    </row>
    <row r="28" spans="1:51" ht="76.5" x14ac:dyDescent="0.25">
      <c r="A28" s="595" t="s">
        <v>201</v>
      </c>
      <c r="B28" s="595" t="s">
        <v>3017</v>
      </c>
      <c r="C28" s="904"/>
      <c r="D28" s="904"/>
      <c r="E28" s="904"/>
      <c r="F28" s="595" t="s">
        <v>3059</v>
      </c>
      <c r="G28" s="896" t="s">
        <v>3060</v>
      </c>
      <c r="H28" s="589" t="s">
        <v>3061</v>
      </c>
      <c r="I28" s="589" t="s">
        <v>3062</v>
      </c>
      <c r="J28" s="621">
        <v>6</v>
      </c>
      <c r="K28" s="621" t="s">
        <v>2985</v>
      </c>
      <c r="L28" s="621">
        <v>4</v>
      </c>
      <c r="M28" s="572">
        <v>1</v>
      </c>
      <c r="N28" s="589" t="s">
        <v>3062</v>
      </c>
      <c r="O28" s="621">
        <v>6</v>
      </c>
      <c r="P28" s="590">
        <v>67000</v>
      </c>
      <c r="Q28" s="591"/>
      <c r="R28" s="591"/>
      <c r="S28" s="591"/>
      <c r="T28" s="591"/>
      <c r="U28" s="591"/>
      <c r="V28" s="591"/>
      <c r="W28" s="591"/>
      <c r="X28" s="591"/>
      <c r="Y28" s="591"/>
      <c r="Z28" s="591"/>
      <c r="AA28" s="591"/>
      <c r="AB28" s="591"/>
      <c r="AC28" s="591">
        <f t="shared" si="0"/>
        <v>0</v>
      </c>
      <c r="AD28" s="612"/>
      <c r="AE28" s="612" t="s">
        <v>3028</v>
      </c>
      <c r="AF28" s="612"/>
      <c r="AG28" s="612"/>
      <c r="AH28" s="612"/>
      <c r="AI28" s="612"/>
      <c r="AJ28" s="591">
        <f t="shared" si="2"/>
        <v>0</v>
      </c>
      <c r="AK28" s="612"/>
      <c r="AL28" s="619"/>
      <c r="AM28" s="619"/>
      <c r="AN28" s="619" t="s">
        <v>751</v>
      </c>
      <c r="AO28" s="619"/>
      <c r="AP28" s="619"/>
      <c r="AQ28" s="619" t="s">
        <v>751</v>
      </c>
      <c r="AR28" s="619"/>
      <c r="AS28" s="619"/>
      <c r="AT28" s="619" t="s">
        <v>751</v>
      </c>
      <c r="AU28" s="619"/>
      <c r="AV28" s="619"/>
      <c r="AW28" s="619" t="s">
        <v>751</v>
      </c>
      <c r="AX28" s="626"/>
      <c r="AY28" s="626"/>
    </row>
    <row r="29" spans="1:51" ht="165.75" x14ac:dyDescent="0.25">
      <c r="A29" s="623" t="s">
        <v>201</v>
      </c>
      <c r="B29" s="588" t="s">
        <v>3017</v>
      </c>
      <c r="C29" s="904"/>
      <c r="D29" s="904"/>
      <c r="E29" s="904"/>
      <c r="F29" s="595" t="s">
        <v>3059</v>
      </c>
      <c r="G29" s="896"/>
      <c r="H29" s="624" t="s">
        <v>3063</v>
      </c>
      <c r="I29" s="589" t="s">
        <v>3064</v>
      </c>
      <c r="J29" s="621">
        <v>770</v>
      </c>
      <c r="K29" s="621" t="s">
        <v>3065</v>
      </c>
      <c r="L29" s="625">
        <v>2000</v>
      </c>
      <c r="M29" s="572">
        <v>500</v>
      </c>
      <c r="N29" s="589" t="s">
        <v>3064</v>
      </c>
      <c r="O29" s="621">
        <v>770</v>
      </c>
      <c r="P29" s="590">
        <v>20000</v>
      </c>
      <c r="Q29" s="591">
        <v>20000</v>
      </c>
      <c r="R29" s="591"/>
      <c r="S29" s="591"/>
      <c r="T29" s="591"/>
      <c r="U29" s="591"/>
      <c r="V29" s="591"/>
      <c r="W29" s="591"/>
      <c r="X29" s="591"/>
      <c r="Y29" s="591"/>
      <c r="Z29" s="591"/>
      <c r="AA29" s="591"/>
      <c r="AB29" s="591"/>
      <c r="AC29" s="591">
        <f t="shared" si="0"/>
        <v>20000</v>
      </c>
      <c r="AD29" s="612"/>
      <c r="AE29" s="626" t="s">
        <v>3066</v>
      </c>
      <c r="AF29" s="626" t="s">
        <v>3067</v>
      </c>
      <c r="AG29" s="612" t="s">
        <v>553</v>
      </c>
      <c r="AH29" s="612" t="s">
        <v>554</v>
      </c>
      <c r="AI29" s="591">
        <v>400</v>
      </c>
      <c r="AJ29" s="591">
        <f t="shared" si="2"/>
        <v>40400</v>
      </c>
      <c r="AK29" s="626" t="s">
        <v>3068</v>
      </c>
      <c r="AL29" s="619" t="s">
        <v>395</v>
      </c>
      <c r="AM29" s="619" t="s">
        <v>395</v>
      </c>
      <c r="AN29" s="619" t="s">
        <v>395</v>
      </c>
      <c r="AO29" s="619" t="s">
        <v>395</v>
      </c>
      <c r="AP29" s="619" t="s">
        <v>395</v>
      </c>
      <c r="AQ29" s="619" t="s">
        <v>395</v>
      </c>
      <c r="AR29" s="619" t="s">
        <v>395</v>
      </c>
      <c r="AS29" s="619" t="s">
        <v>395</v>
      </c>
      <c r="AT29" s="619" t="s">
        <v>395</v>
      </c>
      <c r="AU29" s="619" t="s">
        <v>395</v>
      </c>
      <c r="AV29" s="619" t="s">
        <v>395</v>
      </c>
      <c r="AW29" s="619" t="s">
        <v>395</v>
      </c>
      <c r="AX29" s="637" t="s">
        <v>3014</v>
      </c>
      <c r="AY29" s="626" t="s">
        <v>3069</v>
      </c>
    </row>
    <row r="30" spans="1:51" ht="127.5" x14ac:dyDescent="0.25">
      <c r="A30" s="605" t="s">
        <v>201</v>
      </c>
      <c r="B30" s="605" t="s">
        <v>3017</v>
      </c>
      <c r="C30" s="904"/>
      <c r="D30" s="904"/>
      <c r="E30" s="904"/>
      <c r="F30" s="595" t="s">
        <v>3059</v>
      </c>
      <c r="G30" s="896"/>
      <c r="H30" s="589" t="s">
        <v>3070</v>
      </c>
      <c r="I30" s="589" t="s">
        <v>3071</v>
      </c>
      <c r="J30" s="621">
        <v>1020</v>
      </c>
      <c r="K30" s="627" t="s">
        <v>2985</v>
      </c>
      <c r="L30" s="627">
        <v>500</v>
      </c>
      <c r="M30" s="593">
        <v>125</v>
      </c>
      <c r="N30" s="589" t="s">
        <v>3071</v>
      </c>
      <c r="O30" s="621">
        <v>1020</v>
      </c>
      <c r="P30" s="590">
        <v>537500</v>
      </c>
      <c r="Q30" s="591"/>
      <c r="R30" s="591"/>
      <c r="S30" s="591"/>
      <c r="T30" s="591"/>
      <c r="U30" s="591"/>
      <c r="V30" s="591"/>
      <c r="W30" s="591"/>
      <c r="X30" s="591"/>
      <c r="Y30" s="591">
        <v>50000</v>
      </c>
      <c r="Z30" s="591">
        <v>487500</v>
      </c>
      <c r="AA30" s="591"/>
      <c r="AB30" s="591"/>
      <c r="AC30" s="591">
        <f t="shared" si="0"/>
        <v>537500</v>
      </c>
      <c r="AD30" s="612"/>
      <c r="AE30" s="612" t="s">
        <v>3072</v>
      </c>
      <c r="AF30" s="612"/>
      <c r="AG30" s="612"/>
      <c r="AH30" s="612"/>
      <c r="AI30" s="612"/>
      <c r="AJ30" s="591">
        <f t="shared" si="2"/>
        <v>1075000</v>
      </c>
      <c r="AK30" s="612"/>
      <c r="AL30" s="612"/>
      <c r="AM30" s="619" t="s">
        <v>751</v>
      </c>
      <c r="AN30" s="619" t="s">
        <v>751</v>
      </c>
      <c r="AO30" s="619" t="s">
        <v>751</v>
      </c>
      <c r="AP30" s="619" t="s">
        <v>751</v>
      </c>
      <c r="AQ30" s="619" t="s">
        <v>751</v>
      </c>
      <c r="AR30" s="619" t="s">
        <v>751</v>
      </c>
      <c r="AS30" s="619" t="s">
        <v>751</v>
      </c>
      <c r="AT30" s="619" t="s">
        <v>751</v>
      </c>
      <c r="AU30" s="619" t="s">
        <v>751</v>
      </c>
      <c r="AV30" s="619" t="s">
        <v>751</v>
      </c>
      <c r="AW30" s="619" t="s">
        <v>751</v>
      </c>
      <c r="AX30" s="637" t="s">
        <v>3073</v>
      </c>
      <c r="AY30" s="626" t="s">
        <v>3074</v>
      </c>
    </row>
    <row r="31" spans="1:51" ht="216.75" x14ac:dyDescent="0.25">
      <c r="A31" s="595" t="s">
        <v>201</v>
      </c>
      <c r="B31" s="595" t="s">
        <v>3017</v>
      </c>
      <c r="C31" s="896" t="s">
        <v>3075</v>
      </c>
      <c r="D31" s="896" t="s">
        <v>3076</v>
      </c>
      <c r="E31" s="897">
        <v>0</v>
      </c>
      <c r="F31" s="595" t="s">
        <v>3077</v>
      </c>
      <c r="G31" s="896" t="s">
        <v>3078</v>
      </c>
      <c r="H31" s="589" t="s">
        <v>3079</v>
      </c>
      <c r="I31" s="589" t="s">
        <v>3080</v>
      </c>
      <c r="J31" s="621" t="s">
        <v>3081</v>
      </c>
      <c r="K31" s="621" t="s">
        <v>2985</v>
      </c>
      <c r="L31" s="628">
        <v>0.2</v>
      </c>
      <c r="M31" s="594">
        <v>0.04</v>
      </c>
      <c r="N31" s="589" t="s">
        <v>3080</v>
      </c>
      <c r="O31" s="621" t="s">
        <v>3081</v>
      </c>
      <c r="P31" s="590">
        <v>0</v>
      </c>
      <c r="Q31" s="591"/>
      <c r="R31" s="591"/>
      <c r="S31" s="591"/>
      <c r="T31" s="591">
        <v>1561.2</v>
      </c>
      <c r="U31" s="591">
        <v>700</v>
      </c>
      <c r="V31" s="591"/>
      <c r="W31" s="591"/>
      <c r="X31" s="591"/>
      <c r="Y31" s="591"/>
      <c r="Z31" s="591"/>
      <c r="AA31" s="591"/>
      <c r="AB31" s="591"/>
      <c r="AC31" s="591">
        <f t="shared" si="0"/>
        <v>2261.1999999999998</v>
      </c>
      <c r="AD31" s="612"/>
      <c r="AE31" s="626" t="s">
        <v>3082</v>
      </c>
      <c r="AF31" s="612">
        <v>2013000030058</v>
      </c>
      <c r="AG31" s="612">
        <v>42</v>
      </c>
      <c r="AH31" s="626" t="s">
        <v>3083</v>
      </c>
      <c r="AI31" s="612">
        <v>325136</v>
      </c>
      <c r="AJ31" s="591">
        <f t="shared" si="2"/>
        <v>2013000359758.3999</v>
      </c>
      <c r="AK31" s="626" t="s">
        <v>3084</v>
      </c>
      <c r="AL31" s="619" t="s">
        <v>395</v>
      </c>
      <c r="AM31" s="619" t="s">
        <v>395</v>
      </c>
      <c r="AN31" s="619" t="s">
        <v>395</v>
      </c>
      <c r="AO31" s="619" t="s">
        <v>395</v>
      </c>
      <c r="AP31" s="619" t="s">
        <v>395</v>
      </c>
      <c r="AQ31" s="619" t="s">
        <v>395</v>
      </c>
      <c r="AR31" s="619" t="s">
        <v>395</v>
      </c>
      <c r="AS31" s="619" t="s">
        <v>395</v>
      </c>
      <c r="AT31" s="619" t="s">
        <v>395</v>
      </c>
      <c r="AU31" s="619" t="s">
        <v>395</v>
      </c>
      <c r="AV31" s="619" t="s">
        <v>395</v>
      </c>
      <c r="AW31" s="619" t="s">
        <v>395</v>
      </c>
      <c r="AX31" s="637" t="s">
        <v>3085</v>
      </c>
      <c r="AY31" s="626" t="s">
        <v>3086</v>
      </c>
    </row>
    <row r="32" spans="1:51" ht="204" x14ac:dyDescent="0.25">
      <c r="A32" s="595" t="s">
        <v>201</v>
      </c>
      <c r="B32" s="595" t="s">
        <v>3017</v>
      </c>
      <c r="C32" s="896"/>
      <c r="D32" s="896"/>
      <c r="E32" s="898"/>
      <c r="F32" s="595" t="s">
        <v>3077</v>
      </c>
      <c r="G32" s="896"/>
      <c r="H32" s="589" t="s">
        <v>3087</v>
      </c>
      <c r="I32" s="589" t="s">
        <v>3088</v>
      </c>
      <c r="J32" s="621">
        <v>16</v>
      </c>
      <c r="K32" s="621" t="s">
        <v>2985</v>
      </c>
      <c r="L32" s="621">
        <v>1</v>
      </c>
      <c r="M32" s="572">
        <v>1</v>
      </c>
      <c r="N32" s="589" t="s">
        <v>3088</v>
      </c>
      <c r="O32" s="621">
        <v>16</v>
      </c>
      <c r="P32" s="590">
        <v>4000</v>
      </c>
      <c r="Q32" s="591">
        <v>4000</v>
      </c>
      <c r="R32" s="591"/>
      <c r="S32" s="591"/>
      <c r="T32" s="591"/>
      <c r="U32" s="591"/>
      <c r="V32" s="591"/>
      <c r="W32" s="591"/>
      <c r="X32" s="591"/>
      <c r="Y32" s="591"/>
      <c r="Z32" s="591"/>
      <c r="AA32" s="591"/>
      <c r="AB32" s="591"/>
      <c r="AC32" s="591">
        <f t="shared" si="0"/>
        <v>4000</v>
      </c>
      <c r="AD32" s="612"/>
      <c r="AE32" s="626" t="s">
        <v>3089</v>
      </c>
      <c r="AF32" s="612">
        <v>2013000030058</v>
      </c>
      <c r="AG32" s="612" t="s">
        <v>1174</v>
      </c>
      <c r="AH32" s="612" t="s">
        <v>3090</v>
      </c>
      <c r="AI32" s="612"/>
      <c r="AJ32" s="591">
        <f t="shared" si="2"/>
        <v>2013000038058</v>
      </c>
      <c r="AK32" s="612"/>
      <c r="AL32" s="619"/>
      <c r="AM32" s="619"/>
      <c r="AN32" s="619" t="s">
        <v>751</v>
      </c>
      <c r="AO32" s="619"/>
      <c r="AP32" s="619"/>
      <c r="AQ32" s="619" t="s">
        <v>751</v>
      </c>
      <c r="AR32" s="619"/>
      <c r="AS32" s="619"/>
      <c r="AT32" s="619" t="s">
        <v>751</v>
      </c>
      <c r="AU32" s="619"/>
      <c r="AV32" s="619"/>
      <c r="AW32" s="619" t="s">
        <v>751</v>
      </c>
      <c r="AX32" s="637" t="s">
        <v>3091</v>
      </c>
      <c r="AY32" s="626"/>
    </row>
    <row r="33" spans="1:51" ht="102" x14ac:dyDescent="0.25">
      <c r="A33" s="595" t="s">
        <v>201</v>
      </c>
      <c r="B33" s="595" t="s">
        <v>3017</v>
      </c>
      <c r="C33" s="896"/>
      <c r="D33" s="896"/>
      <c r="E33" s="898"/>
      <c r="F33" s="595" t="s">
        <v>3077</v>
      </c>
      <c r="G33" s="896"/>
      <c r="H33" s="589" t="s">
        <v>3092</v>
      </c>
      <c r="I33" s="589" t="s">
        <v>3093</v>
      </c>
      <c r="J33" s="621">
        <v>9367</v>
      </c>
      <c r="K33" s="621" t="s">
        <v>2985</v>
      </c>
      <c r="L33" s="625">
        <v>6000</v>
      </c>
      <c r="M33" s="572">
        <v>1500</v>
      </c>
      <c r="N33" s="589" t="s">
        <v>3093</v>
      </c>
      <c r="O33" s="621">
        <v>9367</v>
      </c>
      <c r="P33" s="590">
        <v>0</v>
      </c>
      <c r="Q33" s="591"/>
      <c r="R33" s="591"/>
      <c r="S33" s="591"/>
      <c r="T33" s="591"/>
      <c r="U33" s="591"/>
      <c r="V33" s="591"/>
      <c r="W33" s="591"/>
      <c r="X33" s="591"/>
      <c r="Y33" s="591"/>
      <c r="Z33" s="591"/>
      <c r="AA33" s="591"/>
      <c r="AB33" s="591"/>
      <c r="AC33" s="591">
        <f t="shared" si="0"/>
        <v>0</v>
      </c>
      <c r="AD33" s="612"/>
      <c r="AE33" s="612" t="s">
        <v>412</v>
      </c>
      <c r="AF33" s="612"/>
      <c r="AG33" s="612"/>
      <c r="AH33" s="612"/>
      <c r="AI33" s="612"/>
      <c r="AJ33" s="591">
        <f t="shared" si="2"/>
        <v>0</v>
      </c>
      <c r="AK33" s="612"/>
      <c r="AL33" s="612"/>
      <c r="AM33" s="619" t="s">
        <v>751</v>
      </c>
      <c r="AN33" s="619" t="s">
        <v>751</v>
      </c>
      <c r="AO33" s="619" t="s">
        <v>751</v>
      </c>
      <c r="AP33" s="619" t="s">
        <v>751</v>
      </c>
      <c r="AQ33" s="619" t="s">
        <v>751</v>
      </c>
      <c r="AR33" s="619" t="s">
        <v>751</v>
      </c>
      <c r="AS33" s="619" t="s">
        <v>751</v>
      </c>
      <c r="AT33" s="619" t="s">
        <v>751</v>
      </c>
      <c r="AU33" s="619" t="s">
        <v>751</v>
      </c>
      <c r="AV33" s="619" t="s">
        <v>751</v>
      </c>
      <c r="AW33" s="619" t="s">
        <v>751</v>
      </c>
      <c r="AX33" s="637" t="s">
        <v>3073</v>
      </c>
      <c r="AY33" s="626" t="s">
        <v>3094</v>
      </c>
    </row>
    <row r="34" spans="1:51" ht="102" x14ac:dyDescent="0.25">
      <c r="A34" s="595" t="s">
        <v>201</v>
      </c>
      <c r="B34" s="595" t="s">
        <v>3017</v>
      </c>
      <c r="C34" s="896"/>
      <c r="D34" s="896"/>
      <c r="E34" s="903"/>
      <c r="F34" s="595" t="s">
        <v>3077</v>
      </c>
      <c r="G34" s="896"/>
      <c r="H34" s="589" t="s">
        <v>3095</v>
      </c>
      <c r="I34" s="589" t="s">
        <v>3096</v>
      </c>
      <c r="J34" s="589">
        <v>46</v>
      </c>
      <c r="K34" s="589" t="s">
        <v>2985</v>
      </c>
      <c r="L34" s="589">
        <v>40</v>
      </c>
      <c r="M34" s="576">
        <v>10</v>
      </c>
      <c r="N34" s="589" t="s">
        <v>3096</v>
      </c>
      <c r="O34" s="589">
        <v>46</v>
      </c>
      <c r="P34" s="590">
        <v>0</v>
      </c>
      <c r="Q34" s="591"/>
      <c r="R34" s="591"/>
      <c r="S34" s="591"/>
      <c r="T34" s="591"/>
      <c r="U34" s="591"/>
      <c r="V34" s="591"/>
      <c r="W34" s="591"/>
      <c r="X34" s="591"/>
      <c r="Y34" s="591"/>
      <c r="Z34" s="591"/>
      <c r="AA34" s="591"/>
      <c r="AB34" s="591"/>
      <c r="AC34" s="591">
        <f t="shared" si="0"/>
        <v>0</v>
      </c>
      <c r="AD34" s="612"/>
      <c r="AE34" s="612" t="s">
        <v>412</v>
      </c>
      <c r="AF34" s="612"/>
      <c r="AG34" s="612"/>
      <c r="AH34" s="612"/>
      <c r="AI34" s="612"/>
      <c r="AJ34" s="591">
        <f t="shared" si="2"/>
        <v>0</v>
      </c>
      <c r="AK34" s="612"/>
      <c r="AL34" s="612"/>
      <c r="AM34" s="619" t="s">
        <v>751</v>
      </c>
      <c r="AN34" s="619" t="s">
        <v>751</v>
      </c>
      <c r="AO34" s="619" t="s">
        <v>751</v>
      </c>
      <c r="AP34" s="619" t="s">
        <v>751</v>
      </c>
      <c r="AQ34" s="619" t="s">
        <v>751</v>
      </c>
      <c r="AR34" s="619" t="s">
        <v>751</v>
      </c>
      <c r="AS34" s="619" t="s">
        <v>751</v>
      </c>
      <c r="AT34" s="619" t="s">
        <v>751</v>
      </c>
      <c r="AU34" s="619" t="s">
        <v>751</v>
      </c>
      <c r="AV34" s="619" t="s">
        <v>751</v>
      </c>
      <c r="AW34" s="619" t="s">
        <v>751</v>
      </c>
      <c r="AX34" s="637" t="s">
        <v>3073</v>
      </c>
      <c r="AY34" s="626" t="s">
        <v>3094</v>
      </c>
    </row>
    <row r="35" spans="1:51" ht="255.75" x14ac:dyDescent="0.25">
      <c r="A35" s="595" t="s">
        <v>201</v>
      </c>
      <c r="B35" s="595" t="s">
        <v>3017</v>
      </c>
      <c r="C35" s="897" t="s">
        <v>3097</v>
      </c>
      <c r="D35" s="897" t="s">
        <v>3098</v>
      </c>
      <c r="E35" s="897">
        <v>6</v>
      </c>
      <c r="F35" s="595" t="s">
        <v>3077</v>
      </c>
      <c r="G35" s="896"/>
      <c r="H35" s="589" t="s">
        <v>3099</v>
      </c>
      <c r="I35" s="589" t="s">
        <v>3100</v>
      </c>
      <c r="J35" s="589">
        <v>0</v>
      </c>
      <c r="K35" s="589" t="s">
        <v>2985</v>
      </c>
      <c r="L35" s="589">
        <v>1</v>
      </c>
      <c r="M35" s="576">
        <v>1</v>
      </c>
      <c r="N35" s="589" t="s">
        <v>3100</v>
      </c>
      <c r="O35" s="589">
        <v>0</v>
      </c>
      <c r="P35" s="590">
        <v>55000</v>
      </c>
      <c r="Q35" s="591"/>
      <c r="R35" s="591"/>
      <c r="S35" s="591"/>
      <c r="T35" s="591">
        <v>55000</v>
      </c>
      <c r="U35" s="591"/>
      <c r="V35" s="591"/>
      <c r="W35" s="591"/>
      <c r="X35" s="591"/>
      <c r="Y35" s="591"/>
      <c r="Z35" s="591"/>
      <c r="AA35" s="591"/>
      <c r="AB35" s="591"/>
      <c r="AC35" s="591">
        <f t="shared" si="0"/>
        <v>55000</v>
      </c>
      <c r="AD35" s="612"/>
      <c r="AE35" s="603" t="s">
        <v>3101</v>
      </c>
      <c r="AF35" s="613" t="s">
        <v>2977</v>
      </c>
      <c r="AG35" s="604" t="s">
        <v>3102</v>
      </c>
      <c r="AH35" s="604" t="s">
        <v>3103</v>
      </c>
      <c r="AI35" s="604" t="s">
        <v>2980</v>
      </c>
      <c r="AJ35" s="614">
        <f t="shared" ref="AJ35:AJ39" si="3">Q35</f>
        <v>0</v>
      </c>
      <c r="AK35" s="620" t="s">
        <v>3104</v>
      </c>
      <c r="AL35" s="599"/>
      <c r="AM35" s="599"/>
      <c r="AN35" s="599"/>
      <c r="AO35" s="599"/>
      <c r="AP35" s="599"/>
      <c r="AQ35" s="599"/>
      <c r="AR35" s="599"/>
      <c r="AS35" s="599"/>
      <c r="AT35" s="599"/>
      <c r="AU35" s="599"/>
      <c r="AV35" s="599"/>
      <c r="AW35" s="600" t="s">
        <v>751</v>
      </c>
      <c r="AX35" s="613" t="s">
        <v>3105</v>
      </c>
      <c r="AY35" s="603"/>
    </row>
    <row r="36" spans="1:51" ht="102" x14ac:dyDescent="0.25">
      <c r="A36" s="595" t="s">
        <v>201</v>
      </c>
      <c r="B36" s="595" t="s">
        <v>3017</v>
      </c>
      <c r="C36" s="898"/>
      <c r="D36" s="898"/>
      <c r="E36" s="898"/>
      <c r="F36" s="595" t="s">
        <v>3077</v>
      </c>
      <c r="G36" s="896"/>
      <c r="H36" s="589" t="s">
        <v>3106</v>
      </c>
      <c r="I36" s="589" t="s">
        <v>3107</v>
      </c>
      <c r="J36" s="589">
        <v>0</v>
      </c>
      <c r="K36" s="589" t="s">
        <v>2985</v>
      </c>
      <c r="L36" s="589">
        <v>7</v>
      </c>
      <c r="M36" s="576">
        <v>2</v>
      </c>
      <c r="N36" s="589" t="s">
        <v>3107</v>
      </c>
      <c r="O36" s="589">
        <v>0</v>
      </c>
      <c r="P36" s="590">
        <v>50000</v>
      </c>
      <c r="Q36" s="617">
        <v>50000</v>
      </c>
      <c r="R36" s="591"/>
      <c r="S36" s="591"/>
      <c r="T36" s="591"/>
      <c r="U36" s="591"/>
      <c r="V36" s="591"/>
      <c r="W36" s="591"/>
      <c r="X36" s="591"/>
      <c r="Y36" s="591"/>
      <c r="Z36" s="591"/>
      <c r="AA36" s="591"/>
      <c r="AB36" s="591"/>
      <c r="AC36" s="591">
        <f t="shared" si="0"/>
        <v>50000</v>
      </c>
      <c r="AD36" s="612"/>
      <c r="AE36" s="603" t="s">
        <v>412</v>
      </c>
      <c r="AF36" s="613"/>
      <c r="AG36" s="604"/>
      <c r="AH36" s="604" t="s">
        <v>3103</v>
      </c>
      <c r="AI36" s="604" t="s">
        <v>2980</v>
      </c>
      <c r="AJ36" s="614">
        <f t="shared" si="3"/>
        <v>50000</v>
      </c>
      <c r="AK36" s="620" t="s">
        <v>3108</v>
      </c>
      <c r="AL36" s="599"/>
      <c r="AM36" s="599"/>
      <c r="AN36" s="600" t="s">
        <v>751</v>
      </c>
      <c r="AO36" s="600" t="s">
        <v>751</v>
      </c>
      <c r="AP36" s="600" t="s">
        <v>751</v>
      </c>
      <c r="AQ36" s="600"/>
      <c r="AR36" s="600" t="s">
        <v>751</v>
      </c>
      <c r="AS36" s="600"/>
      <c r="AT36" s="600" t="s">
        <v>751</v>
      </c>
      <c r="AU36" s="600" t="s">
        <v>751</v>
      </c>
      <c r="AV36" s="600" t="s">
        <v>751</v>
      </c>
      <c r="AW36" s="599"/>
      <c r="AX36" s="603"/>
      <c r="AY36" s="603"/>
    </row>
    <row r="37" spans="1:51" ht="255.75" x14ac:dyDescent="0.25">
      <c r="A37" s="595" t="s">
        <v>2873</v>
      </c>
      <c r="B37" s="588" t="s">
        <v>3109</v>
      </c>
      <c r="C37" s="898"/>
      <c r="D37" s="898"/>
      <c r="E37" s="898"/>
      <c r="F37" s="595" t="s">
        <v>3077</v>
      </c>
      <c r="G37" s="896"/>
      <c r="H37" s="606" t="s">
        <v>3110</v>
      </c>
      <c r="I37" s="606" t="s">
        <v>3111</v>
      </c>
      <c r="J37" s="589">
        <v>25</v>
      </c>
      <c r="K37" s="589" t="s">
        <v>2985</v>
      </c>
      <c r="L37" s="589">
        <v>8</v>
      </c>
      <c r="M37" s="576">
        <v>2</v>
      </c>
      <c r="N37" s="606" t="s">
        <v>3111</v>
      </c>
      <c r="O37" s="589">
        <v>25</v>
      </c>
      <c r="P37" s="590">
        <v>40000</v>
      </c>
      <c r="Q37" s="591"/>
      <c r="R37" s="591"/>
      <c r="S37" s="591"/>
      <c r="T37" s="591">
        <v>40000</v>
      </c>
      <c r="U37" s="591"/>
      <c r="V37" s="591"/>
      <c r="W37" s="591"/>
      <c r="X37" s="591"/>
      <c r="Y37" s="591"/>
      <c r="Z37" s="591"/>
      <c r="AA37" s="591"/>
      <c r="AB37" s="591"/>
      <c r="AC37" s="591">
        <f t="shared" si="0"/>
        <v>40000</v>
      </c>
      <c r="AD37" s="612"/>
      <c r="AE37" s="603" t="s">
        <v>3112</v>
      </c>
      <c r="AF37" s="613" t="s">
        <v>2977</v>
      </c>
      <c r="AG37" s="604" t="s">
        <v>3102</v>
      </c>
      <c r="AH37" s="604" t="s">
        <v>3103</v>
      </c>
      <c r="AI37" s="604" t="s">
        <v>2980</v>
      </c>
      <c r="AJ37" s="614">
        <f t="shared" si="3"/>
        <v>0</v>
      </c>
      <c r="AK37" s="629" t="s">
        <v>3113</v>
      </c>
      <c r="AL37" s="599"/>
      <c r="AM37" s="599"/>
      <c r="AN37" s="599"/>
      <c r="AO37" s="599"/>
      <c r="AP37" s="599"/>
      <c r="AQ37" s="599"/>
      <c r="AR37" s="599"/>
      <c r="AS37" s="599"/>
      <c r="AT37" s="599"/>
      <c r="AU37" s="599"/>
      <c r="AV37" s="599"/>
      <c r="AW37" s="600" t="s">
        <v>751</v>
      </c>
      <c r="AX37" s="604" t="s">
        <v>3114</v>
      </c>
      <c r="AY37" s="603"/>
    </row>
    <row r="38" spans="1:51" ht="255.75" x14ac:dyDescent="0.25">
      <c r="A38" s="595" t="s">
        <v>201</v>
      </c>
      <c r="B38" s="595" t="s">
        <v>3017</v>
      </c>
      <c r="C38" s="898"/>
      <c r="D38" s="898"/>
      <c r="E38" s="898"/>
      <c r="F38" s="595" t="s">
        <v>3077</v>
      </c>
      <c r="G38" s="896"/>
      <c r="H38" s="589" t="s">
        <v>3115</v>
      </c>
      <c r="I38" s="589" t="s">
        <v>3116</v>
      </c>
      <c r="J38" s="589">
        <v>25</v>
      </c>
      <c r="K38" s="589" t="s">
        <v>2985</v>
      </c>
      <c r="L38" s="589">
        <v>6</v>
      </c>
      <c r="M38" s="576">
        <v>1</v>
      </c>
      <c r="N38" s="589" t="s">
        <v>3116</v>
      </c>
      <c r="O38" s="589">
        <v>25</v>
      </c>
      <c r="P38" s="590">
        <v>35000</v>
      </c>
      <c r="Q38" s="591">
        <v>35000</v>
      </c>
      <c r="R38" s="591"/>
      <c r="S38" s="591"/>
      <c r="T38" s="591"/>
      <c r="U38" s="591"/>
      <c r="V38" s="591"/>
      <c r="W38" s="591"/>
      <c r="X38" s="591"/>
      <c r="Y38" s="591"/>
      <c r="Z38" s="591"/>
      <c r="AA38" s="591"/>
      <c r="AB38" s="591"/>
      <c r="AC38" s="591">
        <f t="shared" si="0"/>
        <v>35000</v>
      </c>
      <c r="AD38" s="612"/>
      <c r="AE38" s="603" t="s">
        <v>3117</v>
      </c>
      <c r="AF38" s="613" t="s">
        <v>2977</v>
      </c>
      <c r="AG38" s="604" t="s">
        <v>3102</v>
      </c>
      <c r="AH38" s="604" t="s">
        <v>3103</v>
      </c>
      <c r="AI38" s="604" t="s">
        <v>2980</v>
      </c>
      <c r="AJ38" s="614">
        <f t="shared" si="3"/>
        <v>35000</v>
      </c>
      <c r="AK38" s="620" t="s">
        <v>3118</v>
      </c>
      <c r="AL38" s="599"/>
      <c r="AM38" s="599"/>
      <c r="AN38" s="599"/>
      <c r="AO38" s="599"/>
      <c r="AP38" s="599"/>
      <c r="AQ38" s="599"/>
      <c r="AR38" s="599"/>
      <c r="AS38" s="599"/>
      <c r="AT38" s="599"/>
      <c r="AU38" s="599"/>
      <c r="AV38" s="599"/>
      <c r="AW38" s="600" t="s">
        <v>751</v>
      </c>
      <c r="AX38" s="613" t="s">
        <v>3119</v>
      </c>
      <c r="AY38" s="603"/>
    </row>
    <row r="39" spans="1:51" ht="255.75" x14ac:dyDescent="0.25">
      <c r="A39" s="595" t="s">
        <v>201</v>
      </c>
      <c r="B39" s="595" t="s">
        <v>3017</v>
      </c>
      <c r="C39" s="903"/>
      <c r="D39" s="903"/>
      <c r="E39" s="903"/>
      <c r="F39" s="595" t="s">
        <v>3077</v>
      </c>
      <c r="G39" s="896"/>
      <c r="H39" s="589" t="s">
        <v>3120</v>
      </c>
      <c r="I39" s="589" t="s">
        <v>3121</v>
      </c>
      <c r="J39" s="589">
        <v>3</v>
      </c>
      <c r="K39" s="589" t="s">
        <v>2985</v>
      </c>
      <c r="L39" s="589">
        <v>12</v>
      </c>
      <c r="M39" s="576">
        <v>3</v>
      </c>
      <c r="N39" s="589" t="s">
        <v>3121</v>
      </c>
      <c r="O39" s="589">
        <v>3</v>
      </c>
      <c r="P39" s="590">
        <v>3</v>
      </c>
      <c r="Q39" s="591">
        <v>3</v>
      </c>
      <c r="R39" s="591"/>
      <c r="S39" s="591"/>
      <c r="T39" s="591"/>
      <c r="U39" s="591"/>
      <c r="V39" s="591"/>
      <c r="W39" s="591"/>
      <c r="X39" s="591"/>
      <c r="Y39" s="591"/>
      <c r="Z39" s="591"/>
      <c r="AA39" s="591"/>
      <c r="AB39" s="591"/>
      <c r="AC39" s="591">
        <f t="shared" si="0"/>
        <v>3</v>
      </c>
      <c r="AD39" s="612"/>
      <c r="AE39" s="603" t="s">
        <v>3122</v>
      </c>
      <c r="AF39" s="613" t="s">
        <v>2977</v>
      </c>
      <c r="AG39" s="604" t="s">
        <v>3102</v>
      </c>
      <c r="AH39" s="604" t="s">
        <v>3103</v>
      </c>
      <c r="AI39" s="604" t="s">
        <v>2980</v>
      </c>
      <c r="AJ39" s="614">
        <f t="shared" si="3"/>
        <v>3</v>
      </c>
      <c r="AK39" s="620" t="s">
        <v>3123</v>
      </c>
      <c r="AL39" s="599"/>
      <c r="AM39" s="599"/>
      <c r="AN39" s="599"/>
      <c r="AO39" s="599"/>
      <c r="AP39" s="599"/>
      <c r="AQ39" s="599"/>
      <c r="AR39" s="600" t="s">
        <v>751</v>
      </c>
      <c r="AS39" s="600"/>
      <c r="AT39" s="600" t="s">
        <v>751</v>
      </c>
      <c r="AU39" s="600"/>
      <c r="AV39" s="600" t="s">
        <v>751</v>
      </c>
      <c r="AW39" s="599"/>
      <c r="AX39" s="603" t="s">
        <v>3124</v>
      </c>
      <c r="AY39" s="603"/>
    </row>
    <row r="40" spans="1:51" ht="140.25" x14ac:dyDescent="0.25">
      <c r="A40" s="595" t="s">
        <v>2873</v>
      </c>
      <c r="B40" s="588" t="s">
        <v>3109</v>
      </c>
      <c r="C40" s="897" t="s">
        <v>3125</v>
      </c>
      <c r="D40" s="897" t="s">
        <v>3126</v>
      </c>
      <c r="E40" s="897" t="s">
        <v>3127</v>
      </c>
      <c r="F40" s="595" t="s">
        <v>3128</v>
      </c>
      <c r="G40" s="897" t="s">
        <v>3129</v>
      </c>
      <c r="H40" s="609" t="s">
        <v>3130</v>
      </c>
      <c r="I40" s="589" t="s">
        <v>3131</v>
      </c>
      <c r="J40" s="589">
        <v>30000</v>
      </c>
      <c r="K40" s="589" t="s">
        <v>323</v>
      </c>
      <c r="L40" s="596">
        <v>1100</v>
      </c>
      <c r="M40" s="576"/>
      <c r="N40" s="609" t="s">
        <v>3131</v>
      </c>
      <c r="O40" s="596">
        <v>30000</v>
      </c>
      <c r="P40" s="590">
        <v>1300000</v>
      </c>
      <c r="Q40" s="597">
        <v>1300000</v>
      </c>
      <c r="R40" s="598"/>
      <c r="S40" s="598"/>
      <c r="T40" s="598"/>
      <c r="U40" s="598"/>
      <c r="V40" s="598"/>
      <c r="W40" s="598"/>
      <c r="X40" s="598"/>
      <c r="Y40" s="598"/>
      <c r="Z40" s="598"/>
      <c r="AA40" s="598"/>
      <c r="AB40" s="598"/>
      <c r="AC40" s="591">
        <f t="shared" si="0"/>
        <v>1300000</v>
      </c>
      <c r="AD40" s="599"/>
      <c r="AE40" s="599"/>
      <c r="AF40" s="599"/>
      <c r="AG40" s="599"/>
      <c r="AH40" s="599"/>
      <c r="AI40" s="599"/>
      <c r="AJ40" s="599"/>
      <c r="AK40" s="599"/>
      <c r="AL40" s="599"/>
      <c r="AM40" s="599"/>
      <c r="AN40" s="599"/>
      <c r="AO40" s="599"/>
      <c r="AP40" s="599"/>
      <c r="AQ40" s="599"/>
      <c r="AR40" s="599"/>
      <c r="AS40" s="599"/>
      <c r="AT40" s="600" t="s">
        <v>751</v>
      </c>
      <c r="AU40" s="600" t="s">
        <v>751</v>
      </c>
      <c r="AV40" s="600" t="s">
        <v>751</v>
      </c>
      <c r="AW40" s="600" t="s">
        <v>751</v>
      </c>
      <c r="AX40" s="604" t="s">
        <v>3132</v>
      </c>
      <c r="AY40" s="603"/>
    </row>
    <row r="41" spans="1:51" ht="280.5" x14ac:dyDescent="0.25">
      <c r="A41" s="595" t="s">
        <v>2873</v>
      </c>
      <c r="B41" s="588" t="s">
        <v>3109</v>
      </c>
      <c r="C41" s="898"/>
      <c r="D41" s="898"/>
      <c r="E41" s="898"/>
      <c r="F41" s="588" t="s">
        <v>3128</v>
      </c>
      <c r="G41" s="898"/>
      <c r="H41" s="609" t="s">
        <v>3133</v>
      </c>
      <c r="I41" s="589" t="s">
        <v>3134</v>
      </c>
      <c r="J41" s="596">
        <v>0</v>
      </c>
      <c r="K41" s="596"/>
      <c r="L41" s="596">
        <v>1</v>
      </c>
      <c r="M41" s="177"/>
      <c r="N41" s="609" t="s">
        <v>3135</v>
      </c>
      <c r="O41" s="602">
        <v>0</v>
      </c>
      <c r="P41" s="590">
        <v>2605590</v>
      </c>
      <c r="Q41" s="598"/>
      <c r="R41" s="598"/>
      <c r="S41" s="598"/>
      <c r="T41" s="598"/>
      <c r="U41" s="598"/>
      <c r="V41" s="598"/>
      <c r="W41" s="597">
        <v>2605590</v>
      </c>
      <c r="X41" s="598"/>
      <c r="Y41" s="598"/>
      <c r="Z41" s="598"/>
      <c r="AA41" s="598"/>
      <c r="AB41" s="598"/>
      <c r="AC41" s="591">
        <f t="shared" si="0"/>
        <v>2605590</v>
      </c>
      <c r="AD41" s="599"/>
      <c r="AE41" s="603" t="s">
        <v>3136</v>
      </c>
      <c r="AF41" s="599"/>
      <c r="AG41" s="603" t="s">
        <v>3137</v>
      </c>
      <c r="AH41" s="599"/>
      <c r="AI41" s="599"/>
      <c r="AJ41" s="599">
        <v>924000</v>
      </c>
      <c r="AK41" s="599"/>
      <c r="AL41" s="599"/>
      <c r="AM41" s="599"/>
      <c r="AN41" s="599"/>
      <c r="AO41" s="599"/>
      <c r="AP41" s="599"/>
      <c r="AQ41" s="599"/>
      <c r="AR41" s="599"/>
      <c r="AS41" s="600" t="s">
        <v>751</v>
      </c>
      <c r="AT41" s="600" t="s">
        <v>751</v>
      </c>
      <c r="AU41" s="600" t="s">
        <v>751</v>
      </c>
      <c r="AV41" s="600" t="s">
        <v>751</v>
      </c>
      <c r="AW41" s="600" t="s">
        <v>751</v>
      </c>
      <c r="AX41" s="604" t="s">
        <v>3138</v>
      </c>
      <c r="AY41" s="604" t="s">
        <v>3139</v>
      </c>
    </row>
    <row r="42" spans="1:51" ht="267.75" x14ac:dyDescent="0.25">
      <c r="A42" s="595" t="s">
        <v>2873</v>
      </c>
      <c r="B42" s="588" t="s">
        <v>3109</v>
      </c>
      <c r="C42" s="898"/>
      <c r="D42" s="898"/>
      <c r="E42" s="898"/>
      <c r="F42" s="605" t="s">
        <v>3128</v>
      </c>
      <c r="G42" s="903"/>
      <c r="H42" s="609" t="s">
        <v>3140</v>
      </c>
      <c r="I42" s="589" t="s">
        <v>3141</v>
      </c>
      <c r="J42" s="589">
        <v>0</v>
      </c>
      <c r="K42" s="589"/>
      <c r="L42" s="589">
        <v>1</v>
      </c>
      <c r="M42" s="576"/>
      <c r="N42" s="609" t="s">
        <v>3142</v>
      </c>
      <c r="O42" s="602">
        <v>0</v>
      </c>
      <c r="P42" s="590">
        <v>250000</v>
      </c>
      <c r="Q42" s="597">
        <v>250000</v>
      </c>
      <c r="R42" s="598"/>
      <c r="S42" s="598"/>
      <c r="T42" s="598"/>
      <c r="U42" s="598"/>
      <c r="V42" s="598"/>
      <c r="W42" s="598"/>
      <c r="X42" s="598"/>
      <c r="Y42" s="598"/>
      <c r="Z42" s="598"/>
      <c r="AA42" s="598"/>
      <c r="AB42" s="598"/>
      <c r="AC42" s="591">
        <f t="shared" si="0"/>
        <v>250000</v>
      </c>
      <c r="AD42" s="599"/>
      <c r="AE42" s="599"/>
      <c r="AF42" s="599"/>
      <c r="AG42" s="599"/>
      <c r="AH42" s="599"/>
      <c r="AI42" s="599"/>
      <c r="AJ42" s="599"/>
      <c r="AK42" s="599"/>
      <c r="AL42" s="599"/>
      <c r="AM42" s="599"/>
      <c r="AN42" s="599"/>
      <c r="AO42" s="599"/>
      <c r="AP42" s="599"/>
      <c r="AQ42" s="599"/>
      <c r="AR42" s="599"/>
      <c r="AS42" s="600" t="s">
        <v>751</v>
      </c>
      <c r="AT42" s="600" t="s">
        <v>751</v>
      </c>
      <c r="AU42" s="600" t="s">
        <v>751</v>
      </c>
      <c r="AV42" s="600" t="s">
        <v>751</v>
      </c>
      <c r="AW42" s="600" t="s">
        <v>751</v>
      </c>
      <c r="AX42" s="604" t="s">
        <v>3143</v>
      </c>
      <c r="AY42" s="604"/>
    </row>
    <row r="43" spans="1:51" ht="242.25" x14ac:dyDescent="0.25">
      <c r="A43" s="595" t="s">
        <v>2873</v>
      </c>
      <c r="B43" s="588" t="s">
        <v>3109</v>
      </c>
      <c r="C43" s="903"/>
      <c r="D43" s="903"/>
      <c r="E43" s="903"/>
      <c r="F43" s="606" t="s">
        <v>3144</v>
      </c>
      <c r="G43" s="609" t="s">
        <v>3145</v>
      </c>
      <c r="H43" s="609" t="s">
        <v>3146</v>
      </c>
      <c r="I43" s="609" t="s">
        <v>3147</v>
      </c>
      <c r="J43" s="596">
        <v>14</v>
      </c>
      <c r="K43" s="596"/>
      <c r="L43" s="596">
        <v>2</v>
      </c>
      <c r="M43" s="177"/>
      <c r="N43" s="609" t="s">
        <v>3145</v>
      </c>
      <c r="O43" s="602">
        <v>14</v>
      </c>
      <c r="P43" s="590">
        <v>2000000</v>
      </c>
      <c r="Q43" s="598"/>
      <c r="R43" s="598"/>
      <c r="S43" s="598"/>
      <c r="T43" s="598"/>
      <c r="U43" s="598"/>
      <c r="V43" s="598"/>
      <c r="W43" s="598"/>
      <c r="X43" s="598"/>
      <c r="Y43" s="598"/>
      <c r="Z43" s="598"/>
      <c r="AA43" s="598"/>
      <c r="AB43" s="597">
        <v>2000000</v>
      </c>
      <c r="AC43" s="591">
        <f t="shared" si="0"/>
        <v>2000000</v>
      </c>
      <c r="AD43" s="599"/>
      <c r="AE43" s="599"/>
      <c r="AF43" s="599"/>
      <c r="AG43" s="599"/>
      <c r="AH43" s="599"/>
      <c r="AI43" s="599"/>
      <c r="AJ43" s="599"/>
      <c r="AK43" s="599"/>
      <c r="AL43" s="599"/>
      <c r="AM43" s="599"/>
      <c r="AN43" s="599"/>
      <c r="AO43" s="599"/>
      <c r="AP43" s="599"/>
      <c r="AQ43" s="599"/>
      <c r="AR43" s="599"/>
      <c r="AS43" s="600" t="s">
        <v>751</v>
      </c>
      <c r="AT43" s="600" t="s">
        <v>751</v>
      </c>
      <c r="AU43" s="600" t="s">
        <v>751</v>
      </c>
      <c r="AV43" s="600" t="s">
        <v>751</v>
      </c>
      <c r="AW43" s="600" t="s">
        <v>751</v>
      </c>
      <c r="AX43" s="604" t="s">
        <v>3148</v>
      </c>
      <c r="AY43" s="604" t="s">
        <v>3149</v>
      </c>
    </row>
    <row r="44" spans="1:51" ht="140.25" x14ac:dyDescent="0.25">
      <c r="A44" s="595" t="s">
        <v>2873</v>
      </c>
      <c r="B44" s="588" t="s">
        <v>3109</v>
      </c>
      <c r="C44" s="897" t="s">
        <v>3150</v>
      </c>
      <c r="D44" s="897" t="s">
        <v>3151</v>
      </c>
      <c r="E44" s="897">
        <v>0.55000000000000004</v>
      </c>
      <c r="F44" s="595" t="s">
        <v>3152</v>
      </c>
      <c r="G44" s="897" t="s">
        <v>3153</v>
      </c>
      <c r="H44" s="609" t="s">
        <v>3154</v>
      </c>
      <c r="I44" s="589" t="s">
        <v>3155</v>
      </c>
      <c r="J44" s="596">
        <v>89</v>
      </c>
      <c r="K44" s="596"/>
      <c r="L44" s="596">
        <v>700</v>
      </c>
      <c r="M44" s="177"/>
      <c r="N44" s="609" t="s">
        <v>3153</v>
      </c>
      <c r="O44" s="602">
        <v>89</v>
      </c>
      <c r="P44" s="590">
        <v>1500000</v>
      </c>
      <c r="Q44" s="597">
        <v>1500000</v>
      </c>
      <c r="R44" s="598"/>
      <c r="S44" s="598"/>
      <c r="T44" s="598"/>
      <c r="U44" s="598"/>
      <c r="V44" s="598"/>
      <c r="W44" s="598"/>
      <c r="X44" s="598"/>
      <c r="Y44" s="598"/>
      <c r="Z44" s="598"/>
      <c r="AA44" s="598"/>
      <c r="AB44" s="598"/>
      <c r="AC44" s="591">
        <f t="shared" si="0"/>
        <v>1500000</v>
      </c>
      <c r="AD44" s="599"/>
      <c r="AE44" s="599"/>
      <c r="AF44" s="599"/>
      <c r="AG44" s="599"/>
      <c r="AH44" s="599"/>
      <c r="AI44" s="599"/>
      <c r="AJ44" s="599"/>
      <c r="AK44" s="599"/>
      <c r="AL44" s="599"/>
      <c r="AM44" s="599"/>
      <c r="AN44" s="599"/>
      <c r="AO44" s="599"/>
      <c r="AP44" s="599"/>
      <c r="AQ44" s="599"/>
      <c r="AR44" s="599"/>
      <c r="AS44" s="600" t="s">
        <v>751</v>
      </c>
      <c r="AT44" s="600" t="s">
        <v>751</v>
      </c>
      <c r="AU44" s="600" t="s">
        <v>751</v>
      </c>
      <c r="AV44" s="600" t="s">
        <v>751</v>
      </c>
      <c r="AW44" s="600" t="s">
        <v>751</v>
      </c>
      <c r="AX44" s="604" t="s">
        <v>3156</v>
      </c>
      <c r="AY44" s="603"/>
    </row>
    <row r="45" spans="1:51" ht="140.25" x14ac:dyDescent="0.25">
      <c r="A45" s="595" t="s">
        <v>2873</v>
      </c>
      <c r="B45" s="588" t="s">
        <v>3109</v>
      </c>
      <c r="C45" s="898"/>
      <c r="D45" s="898"/>
      <c r="E45" s="898"/>
      <c r="F45" s="588" t="s">
        <v>3152</v>
      </c>
      <c r="G45" s="898"/>
      <c r="H45" s="609" t="s">
        <v>3157</v>
      </c>
      <c r="I45" s="589" t="s">
        <v>3158</v>
      </c>
      <c r="J45" s="596">
        <v>0</v>
      </c>
      <c r="K45" s="596"/>
      <c r="L45" s="596">
        <v>1</v>
      </c>
      <c r="M45" s="177"/>
      <c r="N45" s="607"/>
      <c r="O45" s="607"/>
      <c r="P45" s="590">
        <v>0</v>
      </c>
      <c r="Q45" s="598"/>
      <c r="R45" s="598"/>
      <c r="S45" s="598"/>
      <c r="T45" s="598"/>
      <c r="U45" s="598"/>
      <c r="V45" s="598"/>
      <c r="W45" s="598"/>
      <c r="X45" s="598"/>
      <c r="Y45" s="598"/>
      <c r="Z45" s="598"/>
      <c r="AA45" s="598"/>
      <c r="AB45" s="598"/>
      <c r="AC45" s="591">
        <f t="shared" si="0"/>
        <v>0</v>
      </c>
      <c r="AD45" s="599"/>
      <c r="AE45" s="599"/>
      <c r="AF45" s="599"/>
      <c r="AG45" s="599"/>
      <c r="AH45" s="599"/>
      <c r="AI45" s="599"/>
      <c r="AJ45" s="599"/>
      <c r="AK45" s="599"/>
      <c r="AL45" s="599"/>
      <c r="AM45" s="599"/>
      <c r="AN45" s="599"/>
      <c r="AO45" s="599"/>
      <c r="AP45" s="599"/>
      <c r="AQ45" s="599"/>
      <c r="AR45" s="599"/>
      <c r="AS45" s="599"/>
      <c r="AT45" s="599"/>
      <c r="AU45" s="599"/>
      <c r="AV45" s="599"/>
      <c r="AW45" s="599"/>
      <c r="AX45" s="604" t="s">
        <v>3148</v>
      </c>
      <c r="AY45" s="604" t="s">
        <v>3159</v>
      </c>
    </row>
    <row r="46" spans="1:51" ht="216.75" x14ac:dyDescent="0.25">
      <c r="A46" s="595" t="s">
        <v>2873</v>
      </c>
      <c r="B46" s="588" t="s">
        <v>3109</v>
      </c>
      <c r="C46" s="903"/>
      <c r="D46" s="903"/>
      <c r="E46" s="903"/>
      <c r="F46" s="605" t="s">
        <v>3152</v>
      </c>
      <c r="G46" s="903"/>
      <c r="H46" s="609" t="s">
        <v>3160</v>
      </c>
      <c r="I46" s="589" t="s">
        <v>3161</v>
      </c>
      <c r="J46" s="596">
        <v>0</v>
      </c>
      <c r="K46" s="596"/>
      <c r="L46" s="596">
        <v>1</v>
      </c>
      <c r="M46" s="177"/>
      <c r="N46" s="609" t="s">
        <v>3160</v>
      </c>
      <c r="O46" s="602">
        <v>0</v>
      </c>
      <c r="P46" s="590">
        <v>2600000</v>
      </c>
      <c r="Q46" s="598"/>
      <c r="R46" s="598"/>
      <c r="S46" s="598"/>
      <c r="T46" s="598"/>
      <c r="U46" s="598"/>
      <c r="V46" s="598"/>
      <c r="W46" s="597">
        <v>2600000</v>
      </c>
      <c r="X46" s="598"/>
      <c r="Y46" s="598"/>
      <c r="Z46" s="598"/>
      <c r="AA46" s="598"/>
      <c r="AB46" s="598"/>
      <c r="AC46" s="591">
        <f t="shared" si="0"/>
        <v>2600000</v>
      </c>
      <c r="AD46" s="599"/>
      <c r="AE46" s="599"/>
      <c r="AF46" s="604" t="s">
        <v>3162</v>
      </c>
      <c r="AG46" s="604" t="s">
        <v>3163</v>
      </c>
      <c r="AH46" s="599"/>
      <c r="AI46" s="608">
        <v>1268937</v>
      </c>
      <c r="AJ46" s="604" t="s">
        <v>3164</v>
      </c>
      <c r="AK46" s="599"/>
      <c r="AL46" s="599"/>
      <c r="AM46" s="599"/>
      <c r="AN46" s="599"/>
      <c r="AO46" s="599"/>
      <c r="AP46" s="599"/>
      <c r="AQ46" s="599"/>
      <c r="AR46" s="601"/>
      <c r="AS46" s="600" t="s">
        <v>751</v>
      </c>
      <c r="AT46" s="600" t="s">
        <v>751</v>
      </c>
      <c r="AU46" s="600" t="s">
        <v>751</v>
      </c>
      <c r="AV46" s="600" t="s">
        <v>751</v>
      </c>
      <c r="AW46" s="600" t="s">
        <v>751</v>
      </c>
      <c r="AX46" s="604" t="s">
        <v>3165</v>
      </c>
      <c r="AY46" s="603"/>
    </row>
    <row r="47" spans="1:51" ht="127.5" x14ac:dyDescent="0.25">
      <c r="A47" s="595" t="s">
        <v>2873</v>
      </c>
      <c r="B47" s="588" t="s">
        <v>3109</v>
      </c>
      <c r="C47" s="897" t="s">
        <v>3166</v>
      </c>
      <c r="D47" s="897" t="s">
        <v>3167</v>
      </c>
      <c r="E47" s="905" t="s">
        <v>3168</v>
      </c>
      <c r="F47" s="589" t="s">
        <v>3169</v>
      </c>
      <c r="G47" s="907" t="s">
        <v>3170</v>
      </c>
      <c r="H47" s="609" t="s">
        <v>3171</v>
      </c>
      <c r="I47" s="609" t="s">
        <v>3172</v>
      </c>
      <c r="J47" s="589">
        <v>0</v>
      </c>
      <c r="K47" s="589"/>
      <c r="L47" s="610">
        <v>1</v>
      </c>
      <c r="M47" s="576"/>
      <c r="N47" s="609" t="s">
        <v>3171</v>
      </c>
      <c r="O47" s="602">
        <v>25</v>
      </c>
      <c r="P47" s="590">
        <v>700000</v>
      </c>
      <c r="Q47" s="598"/>
      <c r="R47" s="598"/>
      <c r="S47" s="598"/>
      <c r="T47" s="598"/>
      <c r="U47" s="598"/>
      <c r="V47" s="597">
        <v>700000</v>
      </c>
      <c r="W47" s="598"/>
      <c r="X47" s="598"/>
      <c r="Y47" s="598"/>
      <c r="Z47" s="598"/>
      <c r="AA47" s="598"/>
      <c r="AB47" s="598"/>
      <c r="AC47" s="591">
        <f t="shared" si="0"/>
        <v>700000</v>
      </c>
      <c r="AD47" s="599"/>
      <c r="AE47" s="599"/>
      <c r="AF47" s="599"/>
      <c r="AG47" s="599"/>
      <c r="AH47" s="599"/>
      <c r="AI47" s="599"/>
      <c r="AJ47" s="599"/>
      <c r="AK47" s="599"/>
      <c r="AL47" s="599"/>
      <c r="AM47" s="599"/>
      <c r="AN47" s="599"/>
      <c r="AO47" s="599"/>
      <c r="AP47" s="599"/>
      <c r="AQ47" s="599"/>
      <c r="AR47" s="599"/>
      <c r="AS47" s="600" t="s">
        <v>751</v>
      </c>
      <c r="AT47" s="600" t="s">
        <v>751</v>
      </c>
      <c r="AU47" s="600" t="s">
        <v>751</v>
      </c>
      <c r="AV47" s="600" t="s">
        <v>751</v>
      </c>
      <c r="AW47" s="600" t="s">
        <v>751</v>
      </c>
      <c r="AX47" s="604" t="s">
        <v>3148</v>
      </c>
      <c r="AY47" s="603"/>
    </row>
    <row r="48" spans="1:51" ht="140.25" x14ac:dyDescent="0.25">
      <c r="A48" s="588" t="s">
        <v>2873</v>
      </c>
      <c r="B48" s="588" t="s">
        <v>3109</v>
      </c>
      <c r="C48" s="903"/>
      <c r="D48" s="903"/>
      <c r="E48" s="906"/>
      <c r="F48" s="589" t="s">
        <v>3169</v>
      </c>
      <c r="G48" s="907"/>
      <c r="H48" s="609" t="s">
        <v>3173</v>
      </c>
      <c r="I48" s="609" t="s">
        <v>3174</v>
      </c>
      <c r="J48" s="589">
        <v>25</v>
      </c>
      <c r="K48" s="589"/>
      <c r="L48" s="610">
        <v>1</v>
      </c>
      <c r="M48" s="576"/>
      <c r="N48" s="609" t="s">
        <v>3174</v>
      </c>
      <c r="O48" s="602">
        <v>25</v>
      </c>
      <c r="P48" s="590">
        <v>700000</v>
      </c>
      <c r="Q48" s="598"/>
      <c r="R48" s="598"/>
      <c r="S48" s="598"/>
      <c r="T48" s="598"/>
      <c r="U48" s="598"/>
      <c r="V48" s="597">
        <v>700000</v>
      </c>
      <c r="W48" s="598"/>
      <c r="X48" s="598"/>
      <c r="Y48" s="598"/>
      <c r="Z48" s="598"/>
      <c r="AA48" s="598"/>
      <c r="AB48" s="598"/>
      <c r="AC48" s="591">
        <f t="shared" si="0"/>
        <v>700000</v>
      </c>
      <c r="AD48" s="599"/>
      <c r="AE48" s="599"/>
      <c r="AF48" s="599"/>
      <c r="AG48" s="599"/>
      <c r="AH48" s="599"/>
      <c r="AI48" s="599"/>
      <c r="AJ48" s="599"/>
      <c r="AK48" s="599"/>
      <c r="AL48" s="599"/>
      <c r="AM48" s="599"/>
      <c r="AN48" s="599"/>
      <c r="AO48" s="599"/>
      <c r="AP48" s="599"/>
      <c r="AQ48" s="599"/>
      <c r="AR48" s="599"/>
      <c r="AS48" s="600" t="s">
        <v>751</v>
      </c>
      <c r="AT48" s="600" t="s">
        <v>751</v>
      </c>
      <c r="AU48" s="600" t="s">
        <v>751</v>
      </c>
      <c r="AV48" s="600" t="s">
        <v>751</v>
      </c>
      <c r="AW48" s="600" t="s">
        <v>751</v>
      </c>
      <c r="AX48" s="604" t="s">
        <v>3148</v>
      </c>
      <c r="AY48" s="604" t="s">
        <v>3175</v>
      </c>
    </row>
  </sheetData>
  <sheetProtection password="C71C" sheet="1" objects="1" scenarios="1"/>
  <mergeCells count="69">
    <mergeCell ref="C44:C46"/>
    <mergeCell ref="D44:D46"/>
    <mergeCell ref="E44:E46"/>
    <mergeCell ref="G44:G46"/>
    <mergeCell ref="C47:C48"/>
    <mergeCell ref="D47:D48"/>
    <mergeCell ref="E47:E48"/>
    <mergeCell ref="G47:G48"/>
    <mergeCell ref="G40:G42"/>
    <mergeCell ref="C24:C30"/>
    <mergeCell ref="D24:D30"/>
    <mergeCell ref="E24:E30"/>
    <mergeCell ref="G24:G26"/>
    <mergeCell ref="G28:G30"/>
    <mergeCell ref="C31:C34"/>
    <mergeCell ref="D31:D34"/>
    <mergeCell ref="E31:E34"/>
    <mergeCell ref="G31:G39"/>
    <mergeCell ref="C35:C39"/>
    <mergeCell ref="D35:D39"/>
    <mergeCell ref="E35:E39"/>
    <mergeCell ref="C40:C43"/>
    <mergeCell ref="D40:D43"/>
    <mergeCell ref="E40:E43"/>
    <mergeCell ref="C19:C20"/>
    <mergeCell ref="D19:D20"/>
    <mergeCell ref="E19:E20"/>
    <mergeCell ref="G19:G20"/>
    <mergeCell ref="C21:C23"/>
    <mergeCell ref="D21:D23"/>
    <mergeCell ref="E21:E23"/>
    <mergeCell ref="G21:G22"/>
    <mergeCell ref="AX11:AX12"/>
    <mergeCell ref="AY11:AY12"/>
    <mergeCell ref="C13:C15"/>
    <mergeCell ref="D13:D15"/>
    <mergeCell ref="E13:E15"/>
    <mergeCell ref="G13:G18"/>
    <mergeCell ref="C16:C18"/>
    <mergeCell ref="D16:D18"/>
    <mergeCell ref="E16:E18"/>
    <mergeCell ref="AG11:AG12"/>
    <mergeCell ref="AH11:AH12"/>
    <mergeCell ref="AI11:AI12"/>
    <mergeCell ref="AJ11:AJ12"/>
    <mergeCell ref="AK11:AK12"/>
    <mergeCell ref="AL11:AW11"/>
    <mergeCell ref="M11:M12"/>
    <mergeCell ref="N11:O11"/>
    <mergeCell ref="P11:P12"/>
    <mergeCell ref="Q11:AD11"/>
    <mergeCell ref="AE11:AE12"/>
    <mergeCell ref="AF11:AF12"/>
    <mergeCell ref="L11:L12"/>
    <mergeCell ref="A2:L2"/>
    <mergeCell ref="A3:L3"/>
    <mergeCell ref="A6:M6"/>
    <mergeCell ref="A8:M8"/>
    <mergeCell ref="A11:A12"/>
    <mergeCell ref="B11:B12"/>
    <mergeCell ref="C11:C12"/>
    <mergeCell ref="D11:D12"/>
    <mergeCell ref="E11:E12"/>
    <mergeCell ref="F11:F12"/>
    <mergeCell ref="G11:G12"/>
    <mergeCell ref="H11:H12"/>
    <mergeCell ref="I11:I12"/>
    <mergeCell ref="J11:J12"/>
    <mergeCell ref="K11:K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
  <sheetViews>
    <sheetView zoomScale="70" zoomScaleNormal="70" workbookViewId="0">
      <selection activeCell="N16" sqref="N16"/>
    </sheetView>
  </sheetViews>
  <sheetFormatPr baseColWidth="10" defaultRowHeight="15" x14ac:dyDescent="0.25"/>
  <cols>
    <col min="38" max="49" width="4.7109375" customWidth="1"/>
  </cols>
  <sheetData>
    <row r="1" spans="1:51" x14ac:dyDescent="0.25">
      <c r="A1" s="126"/>
      <c r="B1" s="126"/>
      <c r="C1" s="126"/>
      <c r="D1" s="126"/>
      <c r="E1" s="126"/>
      <c r="F1" s="126"/>
      <c r="G1" s="126"/>
      <c r="H1" s="127"/>
      <c r="I1" s="126"/>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ht="18" x14ac:dyDescent="0.25">
      <c r="A2" s="910" t="s">
        <v>0</v>
      </c>
      <c r="B2" s="910"/>
      <c r="C2" s="910"/>
      <c r="D2" s="910"/>
      <c r="E2" s="910"/>
      <c r="F2" s="910"/>
      <c r="G2" s="910"/>
      <c r="H2" s="910"/>
      <c r="I2" s="910"/>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ht="18" x14ac:dyDescent="0.25">
      <c r="A3" s="911" t="s">
        <v>1</v>
      </c>
      <c r="B3" s="911"/>
      <c r="C3" s="911"/>
      <c r="D3" s="911"/>
      <c r="E3" s="911"/>
      <c r="F3" s="911"/>
      <c r="G3" s="911"/>
      <c r="H3" s="911"/>
      <c r="I3" s="911"/>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x14ac:dyDescent="0.25">
      <c r="A4" s="131"/>
      <c r="B4" s="126"/>
      <c r="C4" s="126"/>
      <c r="D4" s="126"/>
      <c r="E4" s="126"/>
      <c r="F4" s="126"/>
      <c r="G4" s="126"/>
      <c r="H4" s="127"/>
      <c r="I4" s="126"/>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ht="18" x14ac:dyDescent="0.25">
      <c r="A5" s="912" t="s">
        <v>2</v>
      </c>
      <c r="B5" s="912"/>
      <c r="C5" s="912"/>
      <c r="D5" s="912"/>
      <c r="E5" s="912"/>
      <c r="F5" s="912"/>
      <c r="G5" s="912"/>
      <c r="H5" s="912"/>
      <c r="I5" s="912"/>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ht="18" x14ac:dyDescent="0.25">
      <c r="A6" s="910" t="s">
        <v>321</v>
      </c>
      <c r="B6" s="910"/>
      <c r="C6" s="910"/>
      <c r="D6" s="910"/>
      <c r="E6" s="910"/>
      <c r="F6" s="910"/>
      <c r="G6" s="910"/>
      <c r="H6" s="910"/>
      <c r="I6" s="910"/>
      <c r="J6" s="910"/>
      <c r="K6" s="910"/>
      <c r="L6" s="910"/>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1" ht="18" x14ac:dyDescent="0.25">
      <c r="A7" s="133"/>
      <c r="B7" s="133"/>
      <c r="C7" s="133"/>
      <c r="D7" s="133"/>
      <c r="E7" s="133"/>
      <c r="F7" s="133"/>
      <c r="G7" s="133"/>
      <c r="H7" s="133"/>
      <c r="I7" s="133"/>
      <c r="J7" s="133"/>
      <c r="K7" s="133"/>
      <c r="L7" s="133"/>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1" ht="18" x14ac:dyDescent="0.25">
      <c r="A8" s="133"/>
      <c r="B8" s="133"/>
      <c r="C8" s="133"/>
      <c r="D8" s="133"/>
      <c r="E8" s="133"/>
      <c r="F8" s="133"/>
      <c r="G8" s="133"/>
      <c r="H8" s="133"/>
      <c r="I8" s="133"/>
      <c r="J8" s="133"/>
      <c r="K8" s="133"/>
      <c r="L8" s="133"/>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1" x14ac:dyDescent="0.25">
      <c r="A9" s="861" t="s">
        <v>2772</v>
      </c>
      <c r="B9" s="861"/>
      <c r="C9" s="861"/>
      <c r="D9" s="861"/>
      <c r="E9" s="861"/>
      <c r="F9" s="861"/>
      <c r="G9" s="861"/>
      <c r="H9" s="861"/>
      <c r="I9" s="861"/>
      <c r="J9" s="861"/>
      <c r="K9" s="861"/>
      <c r="L9" s="861"/>
      <c r="M9" s="861"/>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1" ht="18" x14ac:dyDescent="0.25">
      <c r="A10" s="135"/>
      <c r="B10" s="135"/>
      <c r="C10" s="135"/>
      <c r="D10" s="135"/>
      <c r="E10" s="135"/>
      <c r="F10" s="133"/>
      <c r="G10" s="133"/>
      <c r="H10" s="133"/>
      <c r="I10" s="133"/>
      <c r="J10" s="133"/>
      <c r="K10" s="133"/>
      <c r="L10" s="133"/>
      <c r="M10" s="133"/>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1" x14ac:dyDescent="0.25">
      <c r="A11" s="861" t="s">
        <v>1448</v>
      </c>
      <c r="B11" s="861"/>
      <c r="C11" s="861"/>
      <c r="D11" s="861"/>
      <c r="E11" s="861"/>
      <c r="F11" s="861"/>
      <c r="G11" s="861"/>
      <c r="H11" s="861"/>
      <c r="I11" s="861"/>
      <c r="J11" s="861"/>
      <c r="K11" s="861"/>
      <c r="L11" s="861"/>
      <c r="M11" s="861"/>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row>
    <row r="12" spans="1:51" ht="18" x14ac:dyDescent="0.25">
      <c r="A12" s="133"/>
      <c r="B12" s="133"/>
      <c r="C12" s="133"/>
      <c r="D12" s="133"/>
      <c r="E12" s="133"/>
      <c r="F12" s="133"/>
      <c r="G12" s="133"/>
      <c r="H12" s="133"/>
      <c r="I12" s="133"/>
      <c r="J12" s="133"/>
      <c r="K12" s="133"/>
      <c r="L12" s="133"/>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1" x14ac:dyDescent="0.25">
      <c r="A13" s="126"/>
      <c r="B13" s="126"/>
      <c r="C13" s="126"/>
      <c r="D13" s="126"/>
      <c r="E13" s="126"/>
      <c r="F13" s="126"/>
      <c r="G13" s="126"/>
      <c r="H13" s="127"/>
      <c r="I13" s="126"/>
      <c r="J13" s="126"/>
      <c r="K13" s="126"/>
      <c r="L13" s="126"/>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row>
    <row r="14" spans="1:51" ht="38.25" customHeight="1" x14ac:dyDescent="0.25">
      <c r="A14" s="913" t="s">
        <v>3</v>
      </c>
      <c r="B14" s="913" t="s">
        <v>4</v>
      </c>
      <c r="C14" s="908" t="s">
        <v>5</v>
      </c>
      <c r="D14" s="908" t="s">
        <v>6</v>
      </c>
      <c r="E14" s="908" t="s">
        <v>7</v>
      </c>
      <c r="F14" s="908" t="s">
        <v>8</v>
      </c>
      <c r="G14" s="908" t="s">
        <v>9</v>
      </c>
      <c r="H14" s="908" t="s">
        <v>10</v>
      </c>
      <c r="I14" s="908" t="s">
        <v>11</v>
      </c>
      <c r="J14" s="908" t="s">
        <v>12</v>
      </c>
      <c r="K14" s="908" t="s">
        <v>13</v>
      </c>
      <c r="L14" s="908" t="s">
        <v>14</v>
      </c>
      <c r="M14" s="869" t="s">
        <v>2773</v>
      </c>
      <c r="N14" s="853" t="s">
        <v>11</v>
      </c>
      <c r="O14" s="853"/>
      <c r="P14" s="853" t="s">
        <v>326</v>
      </c>
      <c r="Q14" s="915" t="s">
        <v>15</v>
      </c>
      <c r="R14" s="915"/>
      <c r="S14" s="915"/>
      <c r="T14" s="915"/>
      <c r="U14" s="915"/>
      <c r="V14" s="915"/>
      <c r="W14" s="915"/>
      <c r="X14" s="915"/>
      <c r="Y14" s="915"/>
      <c r="Z14" s="915"/>
      <c r="AA14" s="915"/>
      <c r="AB14" s="915"/>
      <c r="AC14" s="915"/>
      <c r="AD14" s="915"/>
      <c r="AE14" s="915" t="s">
        <v>16</v>
      </c>
      <c r="AF14" s="915" t="s">
        <v>17</v>
      </c>
      <c r="AG14" s="915" t="s">
        <v>618</v>
      </c>
      <c r="AH14" s="921" t="s">
        <v>19</v>
      </c>
      <c r="AI14" s="915" t="s">
        <v>619</v>
      </c>
      <c r="AJ14" s="915" t="s">
        <v>2774</v>
      </c>
      <c r="AK14" s="915" t="s">
        <v>21</v>
      </c>
      <c r="AL14" s="916" t="s">
        <v>22</v>
      </c>
      <c r="AM14" s="916"/>
      <c r="AN14" s="916"/>
      <c r="AO14" s="916"/>
      <c r="AP14" s="916"/>
      <c r="AQ14" s="916"/>
      <c r="AR14" s="916"/>
      <c r="AS14" s="916"/>
      <c r="AT14" s="916"/>
      <c r="AU14" s="916"/>
      <c r="AV14" s="916"/>
      <c r="AW14" s="916"/>
      <c r="AX14" s="916" t="s">
        <v>23</v>
      </c>
      <c r="AY14" s="917" t="s">
        <v>24</v>
      </c>
    </row>
    <row r="15" spans="1:51" ht="63.75" x14ac:dyDescent="0.25">
      <c r="A15" s="914"/>
      <c r="B15" s="914"/>
      <c r="C15" s="909"/>
      <c r="D15" s="909"/>
      <c r="E15" s="909"/>
      <c r="F15" s="909"/>
      <c r="G15" s="909"/>
      <c r="H15" s="909"/>
      <c r="I15" s="909"/>
      <c r="J15" s="909"/>
      <c r="K15" s="909"/>
      <c r="L15" s="909"/>
      <c r="M15" s="902"/>
      <c r="N15" s="136" t="s">
        <v>25</v>
      </c>
      <c r="O15" s="136" t="s">
        <v>26</v>
      </c>
      <c r="P15" s="853"/>
      <c r="Q15" s="137" t="s">
        <v>27</v>
      </c>
      <c r="R15" s="137" t="s">
        <v>28</v>
      </c>
      <c r="S15" s="137" t="s">
        <v>29</v>
      </c>
      <c r="T15" s="137" t="s">
        <v>623</v>
      </c>
      <c r="U15" s="137" t="s">
        <v>30</v>
      </c>
      <c r="V15" s="137" t="s">
        <v>1449</v>
      </c>
      <c r="W15" s="137" t="s">
        <v>1450</v>
      </c>
      <c r="X15" s="137" t="s">
        <v>33</v>
      </c>
      <c r="Y15" s="137" t="s">
        <v>34</v>
      </c>
      <c r="Z15" s="137" t="s">
        <v>624</v>
      </c>
      <c r="AA15" s="137" t="s">
        <v>36</v>
      </c>
      <c r="AB15" s="137" t="s">
        <v>37</v>
      </c>
      <c r="AC15" s="137" t="s">
        <v>38</v>
      </c>
      <c r="AD15" s="137" t="s">
        <v>39</v>
      </c>
      <c r="AE15" s="915"/>
      <c r="AF15" s="915"/>
      <c r="AG15" s="915"/>
      <c r="AH15" s="922"/>
      <c r="AI15" s="915"/>
      <c r="AJ15" s="915"/>
      <c r="AK15" s="923"/>
      <c r="AL15" s="138" t="s">
        <v>40</v>
      </c>
      <c r="AM15" s="138" t="s">
        <v>41</v>
      </c>
      <c r="AN15" s="138" t="s">
        <v>42</v>
      </c>
      <c r="AO15" s="138" t="s">
        <v>43</v>
      </c>
      <c r="AP15" s="138" t="s">
        <v>42</v>
      </c>
      <c r="AQ15" s="138" t="s">
        <v>44</v>
      </c>
      <c r="AR15" s="138" t="s">
        <v>44</v>
      </c>
      <c r="AS15" s="138" t="s">
        <v>43</v>
      </c>
      <c r="AT15" s="138" t="s">
        <v>45</v>
      </c>
      <c r="AU15" s="138" t="s">
        <v>46</v>
      </c>
      <c r="AV15" s="138" t="s">
        <v>47</v>
      </c>
      <c r="AW15" s="138" t="s">
        <v>48</v>
      </c>
      <c r="AX15" s="916"/>
      <c r="AY15" s="918"/>
    </row>
    <row r="16" spans="1:51" ht="409.5" x14ac:dyDescent="0.25">
      <c r="A16" s="139" t="s">
        <v>49</v>
      </c>
      <c r="B16" s="139" t="s">
        <v>50</v>
      </c>
      <c r="C16" s="919" t="s">
        <v>2775</v>
      </c>
      <c r="D16" s="919" t="s">
        <v>2776</v>
      </c>
      <c r="E16" s="919" t="s">
        <v>553</v>
      </c>
      <c r="F16" s="139" t="s">
        <v>2777</v>
      </c>
      <c r="G16" s="920" t="s">
        <v>2778</v>
      </c>
      <c r="H16" s="16" t="s">
        <v>2779</v>
      </c>
      <c r="I16" s="16" t="s">
        <v>2780</v>
      </c>
      <c r="J16" s="218" t="s">
        <v>2781</v>
      </c>
      <c r="K16" s="218" t="s">
        <v>2782</v>
      </c>
      <c r="L16" s="541">
        <v>20</v>
      </c>
      <c r="M16" s="218">
        <v>5</v>
      </c>
      <c r="N16" s="16" t="s">
        <v>2780</v>
      </c>
      <c r="O16" s="211">
        <v>22</v>
      </c>
      <c r="P16" s="542">
        <v>353757</v>
      </c>
      <c r="Q16" s="183"/>
      <c r="R16" s="183"/>
      <c r="S16" s="183">
        <v>353757</v>
      </c>
      <c r="T16" s="183"/>
      <c r="U16" s="183"/>
      <c r="V16" s="183"/>
      <c r="W16" s="183"/>
      <c r="X16" s="183"/>
      <c r="Y16" s="183"/>
      <c r="Z16" s="183"/>
      <c r="AA16" s="183"/>
      <c r="AB16" s="183"/>
      <c r="AC16" s="183"/>
      <c r="AD16" s="183"/>
      <c r="AE16" s="158" t="s">
        <v>2783</v>
      </c>
      <c r="AF16" s="158"/>
      <c r="AG16" s="158" t="s">
        <v>2784</v>
      </c>
      <c r="AH16" s="158" t="s">
        <v>2785</v>
      </c>
      <c r="AI16" s="158">
        <v>894751</v>
      </c>
      <c r="AJ16" s="543">
        <f>P16</f>
        <v>353757</v>
      </c>
      <c r="AK16" s="158" t="s">
        <v>2786</v>
      </c>
      <c r="AL16" s="158"/>
      <c r="AM16" s="158" t="s">
        <v>395</v>
      </c>
      <c r="AN16" s="158" t="s">
        <v>395</v>
      </c>
      <c r="AO16" s="158" t="s">
        <v>395</v>
      </c>
      <c r="AP16" s="158" t="s">
        <v>395</v>
      </c>
      <c r="AQ16" s="158" t="s">
        <v>395</v>
      </c>
      <c r="AR16" s="158" t="s">
        <v>395</v>
      </c>
      <c r="AS16" s="158" t="s">
        <v>395</v>
      </c>
      <c r="AT16" s="158" t="s">
        <v>395</v>
      </c>
      <c r="AU16" s="158" t="s">
        <v>395</v>
      </c>
      <c r="AV16" s="158" t="s">
        <v>395</v>
      </c>
      <c r="AW16" s="158" t="s">
        <v>395</v>
      </c>
      <c r="AX16" s="158" t="s">
        <v>2787</v>
      </c>
      <c r="AY16" s="158" t="s">
        <v>2788</v>
      </c>
    </row>
    <row r="17" spans="1:51" ht="180" x14ac:dyDescent="0.25">
      <c r="A17" s="139" t="s">
        <v>49</v>
      </c>
      <c r="B17" s="139" t="s">
        <v>50</v>
      </c>
      <c r="C17" s="919"/>
      <c r="D17" s="919"/>
      <c r="E17" s="919"/>
      <c r="F17" s="139" t="s">
        <v>2777</v>
      </c>
      <c r="G17" s="920"/>
      <c r="H17" s="16" t="s">
        <v>2789</v>
      </c>
      <c r="I17" s="16" t="s">
        <v>2790</v>
      </c>
      <c r="J17" s="218" t="s">
        <v>1634</v>
      </c>
      <c r="K17" s="218" t="s">
        <v>2791</v>
      </c>
      <c r="L17" s="541">
        <v>42</v>
      </c>
      <c r="M17" s="218">
        <v>42</v>
      </c>
      <c r="N17" s="16" t="s">
        <v>2790</v>
      </c>
      <c r="O17" s="211">
        <v>42</v>
      </c>
      <c r="P17" s="542">
        <v>353757</v>
      </c>
      <c r="Q17" s="183"/>
      <c r="R17" s="183"/>
      <c r="S17" s="183">
        <v>353757</v>
      </c>
      <c r="T17" s="183"/>
      <c r="U17" s="183"/>
      <c r="V17" s="183"/>
      <c r="W17" s="183"/>
      <c r="X17" s="183"/>
      <c r="Y17" s="183"/>
      <c r="Z17" s="183"/>
      <c r="AA17" s="183"/>
      <c r="AB17" s="183"/>
      <c r="AC17" s="183"/>
      <c r="AD17" s="183"/>
      <c r="AE17" s="158" t="s">
        <v>2783</v>
      </c>
      <c r="AF17" s="158"/>
      <c r="AG17" s="158" t="s">
        <v>2792</v>
      </c>
      <c r="AH17" s="158" t="s">
        <v>2785</v>
      </c>
      <c r="AI17" s="158">
        <v>500</v>
      </c>
      <c r="AJ17" s="543">
        <f t="shared" ref="AJ17:AJ29" si="0">P17</f>
        <v>353757</v>
      </c>
      <c r="AK17" s="158" t="s">
        <v>2793</v>
      </c>
      <c r="AL17" s="158"/>
      <c r="AM17" s="158"/>
      <c r="AN17" s="158"/>
      <c r="AO17" s="158"/>
      <c r="AP17" s="158"/>
      <c r="AQ17" s="158" t="s">
        <v>395</v>
      </c>
      <c r="AR17" s="158" t="s">
        <v>395</v>
      </c>
      <c r="AS17" s="158" t="s">
        <v>395</v>
      </c>
      <c r="AT17" s="158" t="s">
        <v>395</v>
      </c>
      <c r="AU17" s="158" t="s">
        <v>395</v>
      </c>
      <c r="AV17" s="158" t="s">
        <v>395</v>
      </c>
      <c r="AW17" s="158" t="s">
        <v>395</v>
      </c>
      <c r="AX17" s="158" t="s">
        <v>2787</v>
      </c>
      <c r="AY17" s="158" t="s">
        <v>2788</v>
      </c>
    </row>
    <row r="18" spans="1:51" ht="270" x14ac:dyDescent="0.25">
      <c r="A18" s="139" t="s">
        <v>49</v>
      </c>
      <c r="B18" s="139" t="s">
        <v>50</v>
      </c>
      <c r="C18" s="919" t="s">
        <v>2794</v>
      </c>
      <c r="D18" s="919" t="s">
        <v>2795</v>
      </c>
      <c r="E18" s="919" t="s">
        <v>2796</v>
      </c>
      <c r="F18" s="139" t="s">
        <v>2797</v>
      </c>
      <c r="G18" s="920" t="s">
        <v>2798</v>
      </c>
      <c r="H18" s="16" t="s">
        <v>2799</v>
      </c>
      <c r="I18" s="16" t="s">
        <v>2800</v>
      </c>
      <c r="J18" s="218" t="s">
        <v>2801</v>
      </c>
      <c r="K18" s="218" t="s">
        <v>2782</v>
      </c>
      <c r="L18" s="541">
        <v>1587</v>
      </c>
      <c r="M18" s="218">
        <v>500</v>
      </c>
      <c r="N18" s="16" t="s">
        <v>2800</v>
      </c>
      <c r="O18" s="211">
        <v>5046</v>
      </c>
      <c r="P18" s="542">
        <v>144778</v>
      </c>
      <c r="Q18" s="183">
        <v>43433</v>
      </c>
      <c r="R18" s="183"/>
      <c r="S18" s="183"/>
      <c r="T18" s="183"/>
      <c r="U18" s="183"/>
      <c r="V18" s="183"/>
      <c r="W18" s="183"/>
      <c r="X18" s="183"/>
      <c r="Y18" s="183"/>
      <c r="Z18" s="183"/>
      <c r="AA18" s="183"/>
      <c r="AB18" s="226">
        <f>+P18-Q18</f>
        <v>101345</v>
      </c>
      <c r="AC18" s="183"/>
      <c r="AD18" s="183"/>
      <c r="AE18" s="158" t="s">
        <v>2802</v>
      </c>
      <c r="AF18" s="544"/>
      <c r="AG18" s="545" t="s">
        <v>2803</v>
      </c>
      <c r="AH18" s="545" t="s">
        <v>2804</v>
      </c>
      <c r="AI18" s="158">
        <v>5046</v>
      </c>
      <c r="AJ18" s="543">
        <f t="shared" si="0"/>
        <v>144778</v>
      </c>
      <c r="AK18" s="158" t="s">
        <v>2805</v>
      </c>
      <c r="AL18" s="158"/>
      <c r="AM18" s="158"/>
      <c r="AN18" s="158"/>
      <c r="AO18" s="158"/>
      <c r="AP18" s="158"/>
      <c r="AQ18" s="158" t="s">
        <v>395</v>
      </c>
      <c r="AR18" s="158" t="s">
        <v>395</v>
      </c>
      <c r="AS18" s="158" t="s">
        <v>395</v>
      </c>
      <c r="AT18" s="158" t="s">
        <v>395</v>
      </c>
      <c r="AU18" s="158" t="s">
        <v>395</v>
      </c>
      <c r="AV18" s="158" t="s">
        <v>395</v>
      </c>
      <c r="AW18" s="158" t="s">
        <v>395</v>
      </c>
      <c r="AX18" s="158" t="s">
        <v>2787</v>
      </c>
      <c r="AY18" s="158" t="s">
        <v>2806</v>
      </c>
    </row>
    <row r="19" spans="1:51" ht="345" x14ac:dyDescent="0.25">
      <c r="A19" s="139" t="s">
        <v>49</v>
      </c>
      <c r="B19" s="139" t="s">
        <v>50</v>
      </c>
      <c r="C19" s="919"/>
      <c r="D19" s="919"/>
      <c r="E19" s="919"/>
      <c r="F19" s="139" t="s">
        <v>2797</v>
      </c>
      <c r="G19" s="920"/>
      <c r="H19" s="16" t="s">
        <v>2807</v>
      </c>
      <c r="I19" s="16" t="s">
        <v>2808</v>
      </c>
      <c r="J19" s="218" t="s">
        <v>2809</v>
      </c>
      <c r="K19" s="218" t="s">
        <v>2782</v>
      </c>
      <c r="L19" s="541">
        <v>25596</v>
      </c>
      <c r="M19" s="218">
        <v>6399</v>
      </c>
      <c r="N19" s="16" t="s">
        <v>2808</v>
      </c>
      <c r="O19" s="211">
        <v>86386</v>
      </c>
      <c r="P19" s="542">
        <v>275810</v>
      </c>
      <c r="Q19" s="183">
        <f>+P19*0.3</f>
        <v>82743</v>
      </c>
      <c r="R19" s="183"/>
      <c r="S19" s="183"/>
      <c r="T19" s="183"/>
      <c r="U19" s="183"/>
      <c r="V19" s="183"/>
      <c r="W19" s="183"/>
      <c r="X19" s="183"/>
      <c r="Y19" s="183"/>
      <c r="Z19" s="183"/>
      <c r="AA19" s="183"/>
      <c r="AB19" s="226">
        <f>+P19-Q19</f>
        <v>193067</v>
      </c>
      <c r="AC19" s="183"/>
      <c r="AD19" s="183"/>
      <c r="AE19" s="158" t="s">
        <v>2802</v>
      </c>
      <c r="AF19" s="544"/>
      <c r="AG19" s="545" t="s">
        <v>2810</v>
      </c>
      <c r="AH19" s="545" t="s">
        <v>2811</v>
      </c>
      <c r="AI19" s="158">
        <v>86386</v>
      </c>
      <c r="AJ19" s="543">
        <f t="shared" si="0"/>
        <v>275810</v>
      </c>
      <c r="AK19" s="158" t="s">
        <v>2812</v>
      </c>
      <c r="AL19" s="158"/>
      <c r="AM19" s="158"/>
      <c r="AN19" s="158" t="s">
        <v>395</v>
      </c>
      <c r="AO19" s="158" t="s">
        <v>395</v>
      </c>
      <c r="AP19" s="158" t="s">
        <v>395</v>
      </c>
      <c r="AQ19" s="158" t="s">
        <v>395</v>
      </c>
      <c r="AR19" s="158" t="s">
        <v>395</v>
      </c>
      <c r="AS19" s="158" t="s">
        <v>395</v>
      </c>
      <c r="AT19" s="158" t="s">
        <v>395</v>
      </c>
      <c r="AU19" s="158" t="s">
        <v>395</v>
      </c>
      <c r="AV19" s="158" t="s">
        <v>395</v>
      </c>
      <c r="AW19" s="158" t="s">
        <v>395</v>
      </c>
      <c r="AX19" s="158" t="s">
        <v>2787</v>
      </c>
      <c r="AY19" s="158" t="s">
        <v>2806</v>
      </c>
    </row>
    <row r="20" spans="1:51" ht="315" x14ac:dyDescent="0.25">
      <c r="A20" s="139" t="s">
        <v>49</v>
      </c>
      <c r="B20" s="139" t="s">
        <v>50</v>
      </c>
      <c r="C20" s="919"/>
      <c r="D20" s="919"/>
      <c r="E20" s="919"/>
      <c r="F20" s="139" t="s">
        <v>2797</v>
      </c>
      <c r="G20" s="920"/>
      <c r="H20" s="16" t="s">
        <v>2813</v>
      </c>
      <c r="I20" s="16" t="s">
        <v>2814</v>
      </c>
      <c r="J20" s="218" t="s">
        <v>2815</v>
      </c>
      <c r="K20" s="218" t="s">
        <v>2782</v>
      </c>
      <c r="L20" s="541">
        <v>976</v>
      </c>
      <c r="M20" s="218">
        <v>300</v>
      </c>
      <c r="N20" s="16" t="s">
        <v>2814</v>
      </c>
      <c r="O20" s="211">
        <v>3126</v>
      </c>
      <c r="P20" s="542">
        <v>145936</v>
      </c>
      <c r="Q20" s="183">
        <f>+P20*0.3</f>
        <v>43780.799999999996</v>
      </c>
      <c r="R20" s="183"/>
      <c r="S20" s="183"/>
      <c r="T20" s="183"/>
      <c r="U20" s="183"/>
      <c r="V20" s="183"/>
      <c r="W20" s="183"/>
      <c r="X20" s="183"/>
      <c r="Y20" s="183"/>
      <c r="Z20" s="183"/>
      <c r="AA20" s="183"/>
      <c r="AB20" s="183">
        <f>+P20*0.7</f>
        <v>102155.2</v>
      </c>
      <c r="AC20" s="183"/>
      <c r="AD20" s="183"/>
      <c r="AE20" s="158" t="s">
        <v>2802</v>
      </c>
      <c r="AF20" s="544"/>
      <c r="AG20" s="545" t="s">
        <v>2816</v>
      </c>
      <c r="AH20" s="545" t="s">
        <v>2817</v>
      </c>
      <c r="AI20" s="158">
        <v>3126</v>
      </c>
      <c r="AJ20" s="543">
        <f t="shared" si="0"/>
        <v>145936</v>
      </c>
      <c r="AK20" s="158" t="s">
        <v>2818</v>
      </c>
      <c r="AL20" s="158"/>
      <c r="AM20" s="158"/>
      <c r="AN20" s="158"/>
      <c r="AO20" s="158"/>
      <c r="AP20" s="158"/>
      <c r="AQ20" s="158"/>
      <c r="AR20" s="158" t="s">
        <v>395</v>
      </c>
      <c r="AS20" s="158" t="s">
        <v>395</v>
      </c>
      <c r="AT20" s="158" t="s">
        <v>395</v>
      </c>
      <c r="AU20" s="158" t="s">
        <v>395</v>
      </c>
      <c r="AV20" s="158" t="s">
        <v>395</v>
      </c>
      <c r="AW20" s="158" t="s">
        <v>395</v>
      </c>
      <c r="AX20" s="158" t="s">
        <v>2787</v>
      </c>
      <c r="AY20" s="158" t="s">
        <v>2806</v>
      </c>
    </row>
    <row r="21" spans="1:51" ht="135" x14ac:dyDescent="0.25">
      <c r="A21" s="139" t="s">
        <v>49</v>
      </c>
      <c r="B21" s="139" t="s">
        <v>50</v>
      </c>
      <c r="C21" s="919"/>
      <c r="D21" s="919"/>
      <c r="E21" s="919"/>
      <c r="F21" s="139" t="s">
        <v>2797</v>
      </c>
      <c r="G21" s="920"/>
      <c r="H21" s="16" t="s">
        <v>2819</v>
      </c>
      <c r="I21" s="16" t="s">
        <v>2820</v>
      </c>
      <c r="J21" s="218" t="s">
        <v>2821</v>
      </c>
      <c r="K21" s="218" t="s">
        <v>2782</v>
      </c>
      <c r="L21" s="541">
        <v>3608</v>
      </c>
      <c r="M21" s="218">
        <v>1136</v>
      </c>
      <c r="N21" s="16" t="s">
        <v>2820</v>
      </c>
      <c r="O21" s="211">
        <v>11476</v>
      </c>
      <c r="P21" s="542">
        <v>268460</v>
      </c>
      <c r="Q21" s="226">
        <f>+P21</f>
        <v>268460</v>
      </c>
      <c r="R21" s="183"/>
      <c r="S21" s="183"/>
      <c r="T21" s="183"/>
      <c r="U21" s="183"/>
      <c r="V21" s="183"/>
      <c r="W21" s="183"/>
      <c r="X21" s="183"/>
      <c r="Y21" s="183"/>
      <c r="Z21" s="183"/>
      <c r="AA21" s="183"/>
      <c r="AB21" s="183"/>
      <c r="AC21" s="183"/>
      <c r="AD21" s="183"/>
      <c r="AE21" s="158" t="s">
        <v>2802</v>
      </c>
      <c r="AF21" s="544"/>
      <c r="AG21" s="158" t="s">
        <v>2822</v>
      </c>
      <c r="AH21" s="158" t="s">
        <v>2785</v>
      </c>
      <c r="AI21" s="158">
        <v>11476</v>
      </c>
      <c r="AJ21" s="543">
        <f t="shared" si="0"/>
        <v>268460</v>
      </c>
      <c r="AK21" s="158" t="s">
        <v>2823</v>
      </c>
      <c r="AL21" s="158"/>
      <c r="AM21" s="158"/>
      <c r="AN21" s="158"/>
      <c r="AO21" s="158"/>
      <c r="AP21" s="158"/>
      <c r="AQ21" s="158"/>
      <c r="AR21" s="158" t="s">
        <v>395</v>
      </c>
      <c r="AS21" s="158" t="s">
        <v>395</v>
      </c>
      <c r="AT21" s="158" t="s">
        <v>395</v>
      </c>
      <c r="AU21" s="158" t="s">
        <v>395</v>
      </c>
      <c r="AV21" s="158" t="s">
        <v>395</v>
      </c>
      <c r="AW21" s="158" t="s">
        <v>395</v>
      </c>
      <c r="AX21" s="158" t="s">
        <v>2787</v>
      </c>
      <c r="AY21" s="158" t="s">
        <v>2806</v>
      </c>
    </row>
    <row r="22" spans="1:51" ht="255" x14ac:dyDescent="0.25">
      <c r="A22" s="139" t="s">
        <v>49</v>
      </c>
      <c r="B22" s="139" t="s">
        <v>50</v>
      </c>
      <c r="C22" s="919"/>
      <c r="D22" s="919"/>
      <c r="E22" s="919"/>
      <c r="F22" s="139" t="s">
        <v>2797</v>
      </c>
      <c r="G22" s="920"/>
      <c r="H22" s="16" t="s">
        <v>2824</v>
      </c>
      <c r="I22" s="16" t="s">
        <v>2825</v>
      </c>
      <c r="J22" s="218" t="s">
        <v>2826</v>
      </c>
      <c r="K22" s="218" t="s">
        <v>2782</v>
      </c>
      <c r="L22" s="541">
        <v>1216</v>
      </c>
      <c r="M22" s="218">
        <v>200</v>
      </c>
      <c r="N22" s="16" t="s">
        <v>2825</v>
      </c>
      <c r="O22" s="211">
        <v>370</v>
      </c>
      <c r="P22" s="542">
        <v>150000</v>
      </c>
      <c r="Q22" s="183">
        <f>+P22*0.3</f>
        <v>45000</v>
      </c>
      <c r="R22" s="183"/>
      <c r="S22" s="183"/>
      <c r="T22" s="183"/>
      <c r="U22" s="183"/>
      <c r="V22" s="183"/>
      <c r="W22" s="183"/>
      <c r="X22" s="183"/>
      <c r="Y22" s="183"/>
      <c r="Z22" s="183"/>
      <c r="AA22" s="183"/>
      <c r="AB22" s="183">
        <f>+P22*0.7</f>
        <v>105000</v>
      </c>
      <c r="AC22" s="183"/>
      <c r="AD22" s="183"/>
      <c r="AE22" s="158" t="s">
        <v>2802</v>
      </c>
      <c r="AF22" s="544"/>
      <c r="AG22" s="158" t="s">
        <v>2827</v>
      </c>
      <c r="AH22" s="158" t="s">
        <v>2828</v>
      </c>
      <c r="AI22" s="158">
        <v>370</v>
      </c>
      <c r="AJ22" s="543">
        <f t="shared" si="0"/>
        <v>150000</v>
      </c>
      <c r="AK22" s="158" t="s">
        <v>2829</v>
      </c>
      <c r="AL22" s="158"/>
      <c r="AM22" s="158"/>
      <c r="AN22" s="158"/>
      <c r="AO22" s="158"/>
      <c r="AP22" s="158"/>
      <c r="AQ22" s="158"/>
      <c r="AR22" s="158" t="s">
        <v>395</v>
      </c>
      <c r="AS22" s="158" t="s">
        <v>395</v>
      </c>
      <c r="AT22" s="158" t="s">
        <v>395</v>
      </c>
      <c r="AU22" s="158" t="s">
        <v>395</v>
      </c>
      <c r="AV22" s="158" t="s">
        <v>395</v>
      </c>
      <c r="AW22" s="158" t="s">
        <v>395</v>
      </c>
      <c r="AX22" s="158" t="s">
        <v>2787</v>
      </c>
      <c r="AY22" s="158" t="s">
        <v>2830</v>
      </c>
    </row>
    <row r="23" spans="1:51" ht="345" x14ac:dyDescent="0.25">
      <c r="A23" s="139" t="s">
        <v>49</v>
      </c>
      <c r="B23" s="139" t="s">
        <v>50</v>
      </c>
      <c r="C23" s="919"/>
      <c r="D23" s="919"/>
      <c r="E23" s="919"/>
      <c r="F23" s="139" t="s">
        <v>2797</v>
      </c>
      <c r="G23" s="920"/>
      <c r="H23" s="16" t="s">
        <v>2831</v>
      </c>
      <c r="I23" s="16" t="s">
        <v>2832</v>
      </c>
      <c r="J23" s="218" t="s">
        <v>2833</v>
      </c>
      <c r="K23" s="218" t="s">
        <v>2791</v>
      </c>
      <c r="L23" s="218">
        <v>72</v>
      </c>
      <c r="M23" s="218">
        <v>25</v>
      </c>
      <c r="N23" s="16" t="s">
        <v>2832</v>
      </c>
      <c r="O23" s="211">
        <v>225</v>
      </c>
      <c r="P23" s="542">
        <v>150000</v>
      </c>
      <c r="Q23" s="183">
        <f>+P23*0.3</f>
        <v>45000</v>
      </c>
      <c r="R23" s="183"/>
      <c r="S23" s="183"/>
      <c r="T23" s="183"/>
      <c r="U23" s="183"/>
      <c r="V23" s="183"/>
      <c r="W23" s="183"/>
      <c r="X23" s="183"/>
      <c r="Y23" s="183"/>
      <c r="Z23" s="183"/>
      <c r="AA23" s="183"/>
      <c r="AB23" s="183">
        <f>+P23*0.7</f>
        <v>105000</v>
      </c>
      <c r="AC23" s="183"/>
      <c r="AD23" s="183"/>
      <c r="AE23" s="158" t="s">
        <v>2802</v>
      </c>
      <c r="AF23" s="544"/>
      <c r="AG23" s="158" t="s">
        <v>2834</v>
      </c>
      <c r="AH23" s="158" t="s">
        <v>2835</v>
      </c>
      <c r="AI23" s="158">
        <v>225</v>
      </c>
      <c r="AJ23" s="543">
        <f t="shared" si="0"/>
        <v>150000</v>
      </c>
      <c r="AK23" s="158" t="s">
        <v>2836</v>
      </c>
      <c r="AL23" s="158"/>
      <c r="AM23" s="158"/>
      <c r="AN23" s="158"/>
      <c r="AO23" s="158"/>
      <c r="AP23" s="158"/>
      <c r="AQ23" s="158"/>
      <c r="AR23" s="158" t="s">
        <v>395</v>
      </c>
      <c r="AS23" s="158" t="s">
        <v>395</v>
      </c>
      <c r="AT23" s="158" t="s">
        <v>395</v>
      </c>
      <c r="AU23" s="158" t="s">
        <v>395</v>
      </c>
      <c r="AV23" s="158" t="s">
        <v>395</v>
      </c>
      <c r="AW23" s="158" t="s">
        <v>395</v>
      </c>
      <c r="AX23" s="158" t="s">
        <v>2787</v>
      </c>
      <c r="AY23" s="158" t="s">
        <v>2837</v>
      </c>
    </row>
    <row r="24" spans="1:51" ht="210" x14ac:dyDescent="0.25">
      <c r="A24" s="139" t="s">
        <v>49</v>
      </c>
      <c r="B24" s="139" t="s">
        <v>50</v>
      </c>
      <c r="C24" s="919"/>
      <c r="D24" s="919"/>
      <c r="E24" s="919"/>
      <c r="F24" s="139" t="s">
        <v>2797</v>
      </c>
      <c r="G24" s="920"/>
      <c r="H24" s="16" t="s">
        <v>2838</v>
      </c>
      <c r="I24" s="16" t="s">
        <v>2839</v>
      </c>
      <c r="J24" s="218" t="s">
        <v>2840</v>
      </c>
      <c r="K24" s="218" t="s">
        <v>2791</v>
      </c>
      <c r="L24" s="218">
        <v>70</v>
      </c>
      <c r="M24" s="218">
        <v>30</v>
      </c>
      <c r="N24" s="16" t="s">
        <v>2839</v>
      </c>
      <c r="O24" s="211">
        <v>150</v>
      </c>
      <c r="P24" s="542">
        <v>33976</v>
      </c>
      <c r="Q24" s="183">
        <f>+P24*0.3</f>
        <v>10192.799999999999</v>
      </c>
      <c r="R24" s="183"/>
      <c r="S24" s="183"/>
      <c r="T24" s="183"/>
      <c r="U24" s="183"/>
      <c r="V24" s="183"/>
      <c r="W24" s="183"/>
      <c r="X24" s="183"/>
      <c r="Y24" s="183"/>
      <c r="Z24" s="183"/>
      <c r="AA24" s="183"/>
      <c r="AB24" s="183">
        <f>+P24*0.7</f>
        <v>23783.199999999997</v>
      </c>
      <c r="AC24" s="183"/>
      <c r="AD24" s="183"/>
      <c r="AE24" s="158" t="s">
        <v>2802</v>
      </c>
      <c r="AF24" s="544"/>
      <c r="AG24" s="158" t="s">
        <v>579</v>
      </c>
      <c r="AH24" s="158" t="s">
        <v>2841</v>
      </c>
      <c r="AI24" s="158">
        <v>150</v>
      </c>
      <c r="AJ24" s="543">
        <f t="shared" si="0"/>
        <v>33976</v>
      </c>
      <c r="AK24" s="158" t="s">
        <v>2842</v>
      </c>
      <c r="AL24" s="158"/>
      <c r="AM24" s="158"/>
      <c r="AN24" s="158"/>
      <c r="AO24" s="158"/>
      <c r="AP24" s="158"/>
      <c r="AQ24" s="158"/>
      <c r="AR24" s="158" t="s">
        <v>395</v>
      </c>
      <c r="AS24" s="158" t="s">
        <v>395</v>
      </c>
      <c r="AT24" s="158" t="s">
        <v>395</v>
      </c>
      <c r="AU24" s="158" t="s">
        <v>395</v>
      </c>
      <c r="AV24" s="158" t="s">
        <v>395</v>
      </c>
      <c r="AW24" s="158" t="s">
        <v>395</v>
      </c>
      <c r="AX24" s="158" t="s">
        <v>2787</v>
      </c>
      <c r="AY24" s="158" t="s">
        <v>2806</v>
      </c>
    </row>
    <row r="25" spans="1:51" ht="240" x14ac:dyDescent="0.25">
      <c r="A25" s="139" t="s">
        <v>49</v>
      </c>
      <c r="B25" s="139" t="s">
        <v>50</v>
      </c>
      <c r="C25" s="919" t="s">
        <v>2843</v>
      </c>
      <c r="D25" s="919" t="s">
        <v>2844</v>
      </c>
      <c r="E25" s="919">
        <v>96800</v>
      </c>
      <c r="F25" s="139" t="s">
        <v>2845</v>
      </c>
      <c r="G25" s="920" t="s">
        <v>2846</v>
      </c>
      <c r="H25" s="16" t="s">
        <v>2847</v>
      </c>
      <c r="I25" s="16" t="s">
        <v>2848</v>
      </c>
      <c r="J25" s="218" t="s">
        <v>2849</v>
      </c>
      <c r="K25" s="218" t="s">
        <v>2782</v>
      </c>
      <c r="L25" s="218">
        <v>400</v>
      </c>
      <c r="M25" s="218">
        <v>120</v>
      </c>
      <c r="N25" s="16" t="s">
        <v>2848</v>
      </c>
      <c r="O25" s="211">
        <v>940</v>
      </c>
      <c r="P25" s="542">
        <v>1625000</v>
      </c>
      <c r="Q25" s="226">
        <f>+P25</f>
        <v>1625000</v>
      </c>
      <c r="R25" s="183"/>
      <c r="S25" s="183"/>
      <c r="T25" s="183"/>
      <c r="U25" s="183"/>
      <c r="V25" s="183"/>
      <c r="W25" s="183"/>
      <c r="X25" s="183"/>
      <c r="Y25" s="183"/>
      <c r="Z25" s="183"/>
      <c r="AA25" s="183"/>
      <c r="AB25" s="183"/>
      <c r="AC25" s="183"/>
      <c r="AD25" s="183"/>
      <c r="AE25" s="158" t="s">
        <v>2850</v>
      </c>
      <c r="AF25" s="158"/>
      <c r="AG25" s="158" t="s">
        <v>2851</v>
      </c>
      <c r="AH25" s="158" t="s">
        <v>2817</v>
      </c>
      <c r="AI25" s="158">
        <v>940</v>
      </c>
      <c r="AJ25" s="543">
        <f t="shared" si="0"/>
        <v>1625000</v>
      </c>
      <c r="AK25" s="158" t="s">
        <v>2852</v>
      </c>
      <c r="AL25" s="158"/>
      <c r="AM25" s="158"/>
      <c r="AN25" s="158"/>
      <c r="AO25" s="158"/>
      <c r="AP25" s="158"/>
      <c r="AQ25" s="158" t="s">
        <v>395</v>
      </c>
      <c r="AR25" s="158" t="s">
        <v>395</v>
      </c>
      <c r="AS25" s="158" t="s">
        <v>395</v>
      </c>
      <c r="AT25" s="158" t="s">
        <v>395</v>
      </c>
      <c r="AU25" s="158" t="s">
        <v>395</v>
      </c>
      <c r="AV25" s="158" t="s">
        <v>395</v>
      </c>
      <c r="AW25" s="158" t="s">
        <v>395</v>
      </c>
      <c r="AX25" s="158" t="s">
        <v>2787</v>
      </c>
      <c r="AY25" s="158" t="s">
        <v>2806</v>
      </c>
    </row>
    <row r="26" spans="1:51" ht="285" x14ac:dyDescent="0.25">
      <c r="A26" s="139" t="s">
        <v>49</v>
      </c>
      <c r="B26" s="139" t="s">
        <v>50</v>
      </c>
      <c r="C26" s="919"/>
      <c r="D26" s="919"/>
      <c r="E26" s="919"/>
      <c r="F26" s="139" t="s">
        <v>2845</v>
      </c>
      <c r="G26" s="920"/>
      <c r="H26" s="16" t="s">
        <v>2853</v>
      </c>
      <c r="I26" s="16" t="s">
        <v>2854</v>
      </c>
      <c r="J26" s="218" t="s">
        <v>2855</v>
      </c>
      <c r="K26" s="218" t="s">
        <v>2791</v>
      </c>
      <c r="L26" s="218">
        <v>100</v>
      </c>
      <c r="M26" s="218">
        <v>25</v>
      </c>
      <c r="N26" s="16" t="s">
        <v>2854</v>
      </c>
      <c r="O26" s="211">
        <v>125</v>
      </c>
      <c r="P26" s="542">
        <v>185000</v>
      </c>
      <c r="Q26" s="226">
        <f>+P26</f>
        <v>185000</v>
      </c>
      <c r="R26" s="183"/>
      <c r="S26" s="183"/>
      <c r="T26" s="183"/>
      <c r="U26" s="183"/>
      <c r="V26" s="183"/>
      <c r="W26" s="183"/>
      <c r="X26" s="183"/>
      <c r="Y26" s="183"/>
      <c r="Z26" s="183"/>
      <c r="AA26" s="183"/>
      <c r="AB26" s="183"/>
      <c r="AC26" s="183"/>
      <c r="AD26" s="183"/>
      <c r="AE26" s="158" t="s">
        <v>2850</v>
      </c>
      <c r="AF26" s="158"/>
      <c r="AG26" s="158" t="s">
        <v>2856</v>
      </c>
      <c r="AH26" s="158" t="s">
        <v>2841</v>
      </c>
      <c r="AI26" s="158">
        <v>125</v>
      </c>
      <c r="AJ26" s="543">
        <f t="shared" si="0"/>
        <v>185000</v>
      </c>
      <c r="AK26" s="158" t="s">
        <v>2857</v>
      </c>
      <c r="AL26" s="158"/>
      <c r="AM26" s="158"/>
      <c r="AN26" s="158"/>
      <c r="AO26" s="158"/>
      <c r="AP26" s="158"/>
      <c r="AQ26" s="158" t="s">
        <v>395</v>
      </c>
      <c r="AR26" s="158" t="s">
        <v>395</v>
      </c>
      <c r="AS26" s="158" t="s">
        <v>395</v>
      </c>
      <c r="AT26" s="158" t="s">
        <v>395</v>
      </c>
      <c r="AU26" s="158" t="s">
        <v>395</v>
      </c>
      <c r="AV26" s="158" t="s">
        <v>395</v>
      </c>
      <c r="AW26" s="158" t="s">
        <v>395</v>
      </c>
      <c r="AX26" s="158" t="s">
        <v>2787</v>
      </c>
      <c r="AY26" s="158" t="s">
        <v>2806</v>
      </c>
    </row>
    <row r="27" spans="1:51" ht="270" x14ac:dyDescent="0.25">
      <c r="A27" s="139" t="s">
        <v>49</v>
      </c>
      <c r="B27" s="139" t="s">
        <v>50</v>
      </c>
      <c r="C27" s="919"/>
      <c r="D27" s="919"/>
      <c r="E27" s="919"/>
      <c r="F27" s="139" t="s">
        <v>2845</v>
      </c>
      <c r="G27" s="920"/>
      <c r="H27" s="16" t="s">
        <v>2858</v>
      </c>
      <c r="I27" s="16" t="s">
        <v>2859</v>
      </c>
      <c r="J27" s="218">
        <v>0</v>
      </c>
      <c r="K27" s="218" t="s">
        <v>2782</v>
      </c>
      <c r="L27" s="218">
        <v>1</v>
      </c>
      <c r="M27" s="218">
        <v>0.25</v>
      </c>
      <c r="N27" s="16" t="s">
        <v>2859</v>
      </c>
      <c r="O27" s="211">
        <v>0</v>
      </c>
      <c r="P27" s="542">
        <v>10000</v>
      </c>
      <c r="Q27" s="183">
        <v>10000</v>
      </c>
      <c r="R27" s="183"/>
      <c r="S27" s="183"/>
      <c r="T27" s="183"/>
      <c r="U27" s="183"/>
      <c r="V27" s="183"/>
      <c r="W27" s="183"/>
      <c r="X27" s="183"/>
      <c r="Y27" s="183"/>
      <c r="Z27" s="183"/>
      <c r="AA27" s="183"/>
      <c r="AB27" s="183"/>
      <c r="AC27" s="183"/>
      <c r="AD27" s="183"/>
      <c r="AE27" s="158" t="s">
        <v>2850</v>
      </c>
      <c r="AF27" s="158"/>
      <c r="AG27" s="158" t="s">
        <v>2851</v>
      </c>
      <c r="AH27" s="545" t="s">
        <v>2817</v>
      </c>
      <c r="AI27" s="158">
        <v>940</v>
      </c>
      <c r="AJ27" s="543">
        <f t="shared" si="0"/>
        <v>10000</v>
      </c>
      <c r="AK27" s="158" t="s">
        <v>2860</v>
      </c>
      <c r="AL27" s="158"/>
      <c r="AM27" s="158"/>
      <c r="AN27" s="158"/>
      <c r="AO27" s="158"/>
      <c r="AP27" s="158"/>
      <c r="AQ27" s="158"/>
      <c r="AR27" s="158"/>
      <c r="AS27" s="158" t="s">
        <v>395</v>
      </c>
      <c r="AT27" s="158" t="s">
        <v>395</v>
      </c>
      <c r="AU27" s="158" t="s">
        <v>395</v>
      </c>
      <c r="AV27" s="158" t="s">
        <v>395</v>
      </c>
      <c r="AW27" s="158"/>
      <c r="AX27" s="158" t="s">
        <v>2787</v>
      </c>
      <c r="AY27" s="158" t="s">
        <v>2806</v>
      </c>
    </row>
    <row r="28" spans="1:51" ht="315" x14ac:dyDescent="0.25">
      <c r="A28" s="139" t="s">
        <v>49</v>
      </c>
      <c r="B28" s="139" t="s">
        <v>50</v>
      </c>
      <c r="C28" s="919"/>
      <c r="D28" s="919"/>
      <c r="E28" s="919"/>
      <c r="F28" s="139" t="s">
        <v>2845</v>
      </c>
      <c r="G28" s="920"/>
      <c r="H28" s="16" t="s">
        <v>2861</v>
      </c>
      <c r="I28" s="16" t="s">
        <v>2862</v>
      </c>
      <c r="J28" s="218" t="s">
        <v>2863</v>
      </c>
      <c r="K28" s="218" t="s">
        <v>2791</v>
      </c>
      <c r="L28" s="541">
        <v>1000</v>
      </c>
      <c r="M28" s="218">
        <v>300</v>
      </c>
      <c r="N28" s="16" t="s">
        <v>2862</v>
      </c>
      <c r="O28" s="211">
        <v>2250</v>
      </c>
      <c r="P28" s="542">
        <f>3108069+1028000</f>
        <v>4136069</v>
      </c>
      <c r="Q28" s="183"/>
      <c r="R28" s="183">
        <v>1028000</v>
      </c>
      <c r="S28" s="183"/>
      <c r="T28" s="183"/>
      <c r="U28" s="183"/>
      <c r="V28" s="183"/>
      <c r="W28" s="183"/>
      <c r="X28" s="183">
        <v>3108069</v>
      </c>
      <c r="Y28" s="183"/>
      <c r="Z28" s="183"/>
      <c r="AA28" s="183"/>
      <c r="AB28" s="183"/>
      <c r="AC28" s="183"/>
      <c r="AD28" s="183"/>
      <c r="AE28" s="158" t="s">
        <v>2850</v>
      </c>
      <c r="AF28" s="158"/>
      <c r="AG28" s="158" t="s">
        <v>2822</v>
      </c>
      <c r="AH28" s="158" t="s">
        <v>2785</v>
      </c>
      <c r="AI28" s="158">
        <v>3000</v>
      </c>
      <c r="AJ28" s="543">
        <f t="shared" si="0"/>
        <v>4136069</v>
      </c>
      <c r="AK28" s="158" t="s">
        <v>2864</v>
      </c>
      <c r="AL28" s="158"/>
      <c r="AM28" s="158"/>
      <c r="AN28" s="158"/>
      <c r="AO28" s="158"/>
      <c r="AP28" s="158"/>
      <c r="AQ28" s="158"/>
      <c r="AR28" s="158" t="s">
        <v>395</v>
      </c>
      <c r="AS28" s="158" t="s">
        <v>395</v>
      </c>
      <c r="AT28" s="158" t="s">
        <v>395</v>
      </c>
      <c r="AU28" s="158" t="s">
        <v>395</v>
      </c>
      <c r="AV28" s="158" t="s">
        <v>395</v>
      </c>
      <c r="AW28" s="158" t="s">
        <v>395</v>
      </c>
      <c r="AX28" s="158" t="s">
        <v>2787</v>
      </c>
      <c r="AY28" s="158" t="s">
        <v>2865</v>
      </c>
    </row>
    <row r="29" spans="1:51" ht="135" x14ac:dyDescent="0.25">
      <c r="A29" s="139" t="s">
        <v>49</v>
      </c>
      <c r="B29" s="139" t="s">
        <v>50</v>
      </c>
      <c r="C29" s="919"/>
      <c r="D29" s="919"/>
      <c r="E29" s="919"/>
      <c r="F29" s="139" t="s">
        <v>2845</v>
      </c>
      <c r="G29" s="920"/>
      <c r="H29" s="16" t="s">
        <v>2866</v>
      </c>
      <c r="I29" s="16" t="s">
        <v>2867</v>
      </c>
      <c r="J29" s="218" t="s">
        <v>2868</v>
      </c>
      <c r="K29" s="218" t="s">
        <v>2782</v>
      </c>
      <c r="L29" s="541">
        <v>4185</v>
      </c>
      <c r="M29" s="218">
        <v>1000</v>
      </c>
      <c r="N29" s="16" t="s">
        <v>2867</v>
      </c>
      <c r="O29" s="211">
        <v>22110</v>
      </c>
      <c r="P29" s="542">
        <v>898526</v>
      </c>
      <c r="Q29" s="183">
        <v>350000</v>
      </c>
      <c r="R29" s="183"/>
      <c r="S29" s="183">
        <v>303734</v>
      </c>
      <c r="T29" s="183"/>
      <c r="U29" s="183"/>
      <c r="V29" s="183"/>
      <c r="W29" s="183"/>
      <c r="X29" s="183"/>
      <c r="Y29" s="183"/>
      <c r="Z29" s="183"/>
      <c r="AA29" s="183"/>
      <c r="AB29" s="183">
        <v>244792</v>
      </c>
      <c r="AC29" s="183"/>
      <c r="AD29" s="183"/>
      <c r="AE29" s="158" t="s">
        <v>2850</v>
      </c>
      <c r="AF29" s="158"/>
      <c r="AG29" s="158" t="s">
        <v>2822</v>
      </c>
      <c r="AH29" s="158" t="s">
        <v>2785</v>
      </c>
      <c r="AI29" s="158">
        <v>25000</v>
      </c>
      <c r="AJ29" s="543">
        <f t="shared" si="0"/>
        <v>898526</v>
      </c>
      <c r="AK29" s="158" t="s">
        <v>2869</v>
      </c>
      <c r="AL29" s="158"/>
      <c r="AM29" s="158"/>
      <c r="AN29" s="158"/>
      <c r="AO29" s="158"/>
      <c r="AP29" s="158"/>
      <c r="AQ29" s="158"/>
      <c r="AR29" s="158" t="s">
        <v>395</v>
      </c>
      <c r="AS29" s="158" t="s">
        <v>395</v>
      </c>
      <c r="AT29" s="158" t="s">
        <v>395</v>
      </c>
      <c r="AU29" s="158" t="s">
        <v>395</v>
      </c>
      <c r="AV29" s="158"/>
      <c r="AW29" s="158"/>
      <c r="AX29" s="158" t="s">
        <v>2787</v>
      </c>
      <c r="AY29" s="158" t="s">
        <v>2870</v>
      </c>
    </row>
  </sheetData>
  <sheetProtection password="C71C" sheet="1" objects="1" scenarios="1"/>
  <mergeCells count="44">
    <mergeCell ref="C18:C24"/>
    <mergeCell ref="D18:D24"/>
    <mergeCell ref="E18:E24"/>
    <mergeCell ref="G18:G24"/>
    <mergeCell ref="C25:C29"/>
    <mergeCell ref="D25:D29"/>
    <mergeCell ref="E25:E29"/>
    <mergeCell ref="G25:G29"/>
    <mergeCell ref="AX14:AX15"/>
    <mergeCell ref="AY14:AY15"/>
    <mergeCell ref="C16:C17"/>
    <mergeCell ref="D16:D17"/>
    <mergeCell ref="E16:E17"/>
    <mergeCell ref="G16:G17"/>
    <mergeCell ref="AG14:AG15"/>
    <mergeCell ref="AH14:AH15"/>
    <mergeCell ref="AI14:AI15"/>
    <mergeCell ref="AJ14:AJ15"/>
    <mergeCell ref="AK14:AK15"/>
    <mergeCell ref="AL14:AW14"/>
    <mergeCell ref="M14:M15"/>
    <mergeCell ref="N14:O14"/>
    <mergeCell ref="P14:P15"/>
    <mergeCell ref="Q14:AD14"/>
    <mergeCell ref="AE14:AE15"/>
    <mergeCell ref="AF14:AF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75"/>
  <sheetViews>
    <sheetView topLeftCell="A7" workbookViewId="0">
      <selection activeCell="I16" sqref="I16"/>
    </sheetView>
  </sheetViews>
  <sheetFormatPr baseColWidth="10" defaultRowHeight="15" x14ac:dyDescent="0.25"/>
  <cols>
    <col min="2" max="2" width="14.5703125" customWidth="1"/>
    <col min="38" max="49" width="4.7109375" customWidth="1"/>
  </cols>
  <sheetData>
    <row r="1" spans="1:51" x14ac:dyDescent="0.25">
      <c r="A1" s="126"/>
      <c r="B1" s="126"/>
      <c r="C1" s="126"/>
      <c r="D1" s="126"/>
      <c r="E1" s="126"/>
      <c r="F1" s="126"/>
      <c r="G1" s="126"/>
      <c r="H1" s="127"/>
      <c r="I1" s="128"/>
      <c r="J1" s="126"/>
      <c r="K1" s="126"/>
      <c r="L1" s="126"/>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30"/>
      <c r="AL1" s="129"/>
      <c r="AM1" s="129"/>
      <c r="AN1" s="129"/>
      <c r="AO1" s="129"/>
      <c r="AP1" s="129"/>
      <c r="AQ1" s="129"/>
      <c r="AR1" s="129"/>
      <c r="AS1" s="129"/>
      <c r="AT1" s="129"/>
      <c r="AU1" s="129"/>
      <c r="AV1" s="129"/>
      <c r="AW1" s="129"/>
      <c r="AX1" s="129"/>
      <c r="AY1" s="129"/>
    </row>
    <row r="2" spans="1:51" ht="18" x14ac:dyDescent="0.25">
      <c r="A2" s="910" t="s">
        <v>0</v>
      </c>
      <c r="B2" s="910"/>
      <c r="C2" s="910"/>
      <c r="D2" s="910"/>
      <c r="E2" s="910"/>
      <c r="F2" s="910"/>
      <c r="G2" s="910"/>
      <c r="H2" s="910"/>
      <c r="I2" s="862"/>
      <c r="J2" s="910"/>
      <c r="K2" s="910"/>
      <c r="L2" s="910"/>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30"/>
      <c r="AL2" s="129"/>
      <c r="AM2" s="129"/>
      <c r="AN2" s="129"/>
      <c r="AO2" s="129"/>
      <c r="AP2" s="129"/>
      <c r="AQ2" s="129"/>
      <c r="AR2" s="129"/>
      <c r="AS2" s="129"/>
      <c r="AT2" s="129"/>
      <c r="AU2" s="129"/>
      <c r="AV2" s="129"/>
      <c r="AW2" s="129"/>
      <c r="AX2" s="129"/>
      <c r="AY2" s="129"/>
    </row>
    <row r="3" spans="1:51" ht="18" x14ac:dyDescent="0.25">
      <c r="A3" s="911" t="s">
        <v>1</v>
      </c>
      <c r="B3" s="911"/>
      <c r="C3" s="911"/>
      <c r="D3" s="911"/>
      <c r="E3" s="911"/>
      <c r="F3" s="911"/>
      <c r="G3" s="911"/>
      <c r="H3" s="911"/>
      <c r="I3" s="863"/>
      <c r="J3" s="911"/>
      <c r="K3" s="911"/>
      <c r="L3" s="911"/>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30"/>
      <c r="AL3" s="129"/>
      <c r="AM3" s="129"/>
      <c r="AN3" s="129"/>
      <c r="AO3" s="129"/>
      <c r="AP3" s="129"/>
      <c r="AQ3" s="129"/>
      <c r="AR3" s="129"/>
      <c r="AS3" s="129"/>
      <c r="AT3" s="129"/>
      <c r="AU3" s="129"/>
      <c r="AV3" s="129"/>
      <c r="AW3" s="129"/>
      <c r="AX3" s="129"/>
      <c r="AY3" s="129"/>
    </row>
    <row r="4" spans="1:51" x14ac:dyDescent="0.25">
      <c r="A4" s="131"/>
      <c r="B4" s="126"/>
      <c r="C4" s="126"/>
      <c r="D4" s="126"/>
      <c r="E4" s="126"/>
      <c r="F4" s="126"/>
      <c r="G4" s="126"/>
      <c r="H4" s="127"/>
      <c r="I4" s="128"/>
      <c r="J4" s="126"/>
      <c r="K4" s="126"/>
      <c r="L4" s="126"/>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30"/>
      <c r="AL4" s="129"/>
      <c r="AM4" s="129"/>
      <c r="AN4" s="129"/>
      <c r="AO4" s="129"/>
      <c r="AP4" s="129"/>
      <c r="AQ4" s="129"/>
      <c r="AR4" s="129"/>
      <c r="AS4" s="129"/>
      <c r="AT4" s="129"/>
      <c r="AU4" s="129"/>
      <c r="AV4" s="129"/>
      <c r="AW4" s="129"/>
      <c r="AX4" s="129"/>
      <c r="AY4" s="129"/>
    </row>
    <row r="5" spans="1:51" ht="18" x14ac:dyDescent="0.25">
      <c r="A5" s="912" t="s">
        <v>2</v>
      </c>
      <c r="B5" s="912"/>
      <c r="C5" s="912"/>
      <c r="D5" s="912"/>
      <c r="E5" s="912"/>
      <c r="F5" s="912"/>
      <c r="G5" s="912"/>
      <c r="H5" s="912"/>
      <c r="I5" s="830"/>
      <c r="J5" s="912"/>
      <c r="K5" s="912"/>
      <c r="L5" s="912"/>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30"/>
      <c r="AL5" s="129"/>
      <c r="AM5" s="129"/>
      <c r="AN5" s="129"/>
      <c r="AO5" s="129"/>
      <c r="AP5" s="129"/>
      <c r="AQ5" s="129"/>
      <c r="AR5" s="129"/>
      <c r="AS5" s="129"/>
      <c r="AT5" s="129"/>
      <c r="AU5" s="129"/>
      <c r="AV5" s="129"/>
      <c r="AW5" s="129"/>
      <c r="AX5" s="129"/>
      <c r="AY5" s="129"/>
    </row>
    <row r="6" spans="1:51" ht="18" x14ac:dyDescent="0.25">
      <c r="A6" s="910" t="s">
        <v>1446</v>
      </c>
      <c r="B6" s="910"/>
      <c r="C6" s="910"/>
      <c r="D6" s="910"/>
      <c r="E6" s="910"/>
      <c r="F6" s="910"/>
      <c r="G6" s="910"/>
      <c r="H6" s="910"/>
      <c r="I6" s="862"/>
      <c r="J6" s="910"/>
      <c r="K6" s="910"/>
      <c r="L6" s="910"/>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30"/>
      <c r="AL6" s="129"/>
      <c r="AM6" s="129"/>
      <c r="AN6" s="129"/>
      <c r="AO6" s="129"/>
      <c r="AP6" s="129"/>
      <c r="AQ6" s="129"/>
      <c r="AR6" s="129"/>
      <c r="AS6" s="129"/>
      <c r="AT6" s="129"/>
      <c r="AU6" s="129"/>
      <c r="AV6" s="129"/>
      <c r="AW6" s="129"/>
      <c r="AX6" s="129"/>
      <c r="AY6" s="129"/>
    </row>
    <row r="7" spans="1:51" ht="18" x14ac:dyDescent="0.25">
      <c r="A7" s="133"/>
      <c r="B7" s="133"/>
      <c r="C7" s="133"/>
      <c r="D7" s="133"/>
      <c r="E7" s="133"/>
      <c r="F7" s="133"/>
      <c r="G7" s="133"/>
      <c r="H7" s="133"/>
      <c r="I7" s="134"/>
      <c r="J7" s="133"/>
      <c r="K7" s="133"/>
      <c r="L7" s="133"/>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c r="AL7" s="129"/>
      <c r="AM7" s="129"/>
      <c r="AN7" s="129"/>
      <c r="AO7" s="129"/>
      <c r="AP7" s="129"/>
      <c r="AQ7" s="129"/>
      <c r="AR7" s="129"/>
      <c r="AS7" s="129"/>
      <c r="AT7" s="129"/>
      <c r="AU7" s="129"/>
      <c r="AV7" s="129"/>
      <c r="AW7" s="129"/>
      <c r="AX7" s="129"/>
      <c r="AY7" s="129"/>
    </row>
    <row r="8" spans="1:51" ht="18" x14ac:dyDescent="0.25">
      <c r="A8" s="133"/>
      <c r="B8" s="133"/>
      <c r="C8" s="133"/>
      <c r="D8" s="133"/>
      <c r="E8" s="133"/>
      <c r="F8" s="133"/>
      <c r="G8" s="133"/>
      <c r="H8" s="133"/>
      <c r="I8" s="134"/>
      <c r="J8" s="133"/>
      <c r="K8" s="133"/>
      <c r="L8" s="133"/>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0"/>
      <c r="AL8" s="129"/>
      <c r="AM8" s="129"/>
      <c r="AN8" s="129"/>
      <c r="AO8" s="129"/>
      <c r="AP8" s="129"/>
      <c r="AQ8" s="129"/>
      <c r="AR8" s="129"/>
      <c r="AS8" s="129"/>
      <c r="AT8" s="129"/>
      <c r="AU8" s="129"/>
      <c r="AV8" s="129"/>
      <c r="AW8" s="129"/>
      <c r="AX8" s="129"/>
      <c r="AY8" s="129"/>
    </row>
    <row r="9" spans="1:51" x14ac:dyDescent="0.25">
      <c r="A9" s="861" t="s">
        <v>1447</v>
      </c>
      <c r="B9" s="861"/>
      <c r="C9" s="861"/>
      <c r="D9" s="861"/>
      <c r="E9" s="861"/>
      <c r="F9" s="861"/>
      <c r="G9" s="861"/>
      <c r="H9" s="861"/>
      <c r="I9" s="931"/>
      <c r="J9" s="861"/>
      <c r="K9" s="861"/>
      <c r="L9" s="861"/>
      <c r="M9" s="861"/>
      <c r="N9" s="129"/>
      <c r="O9" s="129"/>
      <c r="P9" s="129"/>
      <c r="Q9" s="129"/>
      <c r="R9" s="129"/>
      <c r="S9" s="129"/>
      <c r="T9" s="129"/>
      <c r="U9" s="129"/>
      <c r="V9" s="129"/>
      <c r="W9" s="129"/>
      <c r="X9" s="129"/>
      <c r="Y9" s="129"/>
      <c r="Z9" s="129"/>
      <c r="AA9" s="129"/>
      <c r="AB9" s="129"/>
      <c r="AC9" s="129"/>
      <c r="AD9" s="129"/>
      <c r="AE9" s="129"/>
      <c r="AF9" s="129"/>
      <c r="AG9" s="129"/>
      <c r="AH9" s="129"/>
      <c r="AI9" s="129"/>
      <c r="AJ9" s="129"/>
      <c r="AK9" s="130"/>
      <c r="AL9" s="129"/>
      <c r="AM9" s="129"/>
      <c r="AN9" s="129"/>
      <c r="AO9" s="129"/>
      <c r="AP9" s="129"/>
      <c r="AQ9" s="129"/>
      <c r="AR9" s="129"/>
      <c r="AS9" s="129"/>
      <c r="AT9" s="129"/>
      <c r="AU9" s="129"/>
      <c r="AV9" s="129"/>
      <c r="AW9" s="129"/>
      <c r="AX9" s="129"/>
      <c r="AY9" s="129"/>
    </row>
    <row r="10" spans="1:51" ht="18" x14ac:dyDescent="0.25">
      <c r="A10" s="135"/>
      <c r="B10" s="135"/>
      <c r="C10" s="135"/>
      <c r="D10" s="135"/>
      <c r="E10" s="135"/>
      <c r="F10" s="133"/>
      <c r="G10" s="133"/>
      <c r="H10" s="133"/>
      <c r="I10" s="134"/>
      <c r="J10" s="133"/>
      <c r="K10" s="133"/>
      <c r="L10" s="133"/>
      <c r="M10" s="133"/>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30"/>
      <c r="AL10" s="129"/>
      <c r="AM10" s="129"/>
      <c r="AN10" s="129"/>
      <c r="AO10" s="129"/>
      <c r="AP10" s="129"/>
      <c r="AQ10" s="129"/>
      <c r="AR10" s="129"/>
      <c r="AS10" s="129"/>
      <c r="AT10" s="129"/>
      <c r="AU10" s="129"/>
      <c r="AV10" s="129"/>
      <c r="AW10" s="129"/>
      <c r="AX10" s="129"/>
      <c r="AY10" s="129"/>
    </row>
    <row r="11" spans="1:51" x14ac:dyDescent="0.25">
      <c r="A11" s="861" t="s">
        <v>1448</v>
      </c>
      <c r="B11" s="861"/>
      <c r="C11" s="861"/>
      <c r="D11" s="861"/>
      <c r="E11" s="861"/>
      <c r="F11" s="861"/>
      <c r="G11" s="861"/>
      <c r="H11" s="861"/>
      <c r="I11" s="931"/>
      <c r="J11" s="861"/>
      <c r="K11" s="861"/>
      <c r="L11" s="861"/>
      <c r="M11" s="861"/>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30"/>
      <c r="AL11" s="129"/>
      <c r="AM11" s="129"/>
      <c r="AN11" s="129"/>
      <c r="AO11" s="129"/>
      <c r="AP11" s="129"/>
      <c r="AQ11" s="129"/>
      <c r="AR11" s="129"/>
      <c r="AS11" s="129"/>
      <c r="AT11" s="129"/>
      <c r="AU11" s="129"/>
      <c r="AV11" s="129"/>
      <c r="AW11" s="129"/>
      <c r="AX11" s="129"/>
      <c r="AY11" s="129"/>
    </row>
    <row r="12" spans="1:51" ht="18" x14ac:dyDescent="0.25">
      <c r="A12" s="133"/>
      <c r="B12" s="133"/>
      <c r="C12" s="133"/>
      <c r="D12" s="133"/>
      <c r="E12" s="133"/>
      <c r="F12" s="133"/>
      <c r="G12" s="133"/>
      <c r="H12" s="133"/>
      <c r="I12" s="134"/>
      <c r="J12" s="133"/>
      <c r="K12" s="133"/>
      <c r="L12" s="133"/>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c r="AL12" s="129"/>
      <c r="AM12" s="129"/>
      <c r="AN12" s="129"/>
      <c r="AO12" s="129"/>
      <c r="AP12" s="129"/>
      <c r="AQ12" s="129"/>
      <c r="AR12" s="129"/>
      <c r="AS12" s="129"/>
      <c r="AT12" s="129"/>
      <c r="AU12" s="129"/>
      <c r="AV12" s="129"/>
      <c r="AW12" s="129"/>
      <c r="AX12" s="129"/>
      <c r="AY12" s="129"/>
    </row>
    <row r="13" spans="1:51" x14ac:dyDescent="0.25">
      <c r="A13" s="126"/>
      <c r="B13" s="126"/>
      <c r="C13" s="126"/>
      <c r="D13" s="126"/>
      <c r="E13" s="126"/>
      <c r="F13" s="126"/>
      <c r="G13" s="126"/>
      <c r="H13" s="127"/>
      <c r="I13" s="128"/>
      <c r="J13" s="126"/>
      <c r="K13" s="126"/>
      <c r="L13" s="126"/>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c r="AL13" s="129"/>
      <c r="AM13" s="129"/>
      <c r="AN13" s="129"/>
      <c r="AO13" s="129"/>
      <c r="AP13" s="129"/>
      <c r="AQ13" s="129"/>
      <c r="AR13" s="129"/>
      <c r="AS13" s="129"/>
      <c r="AT13" s="129"/>
      <c r="AU13" s="129"/>
      <c r="AV13" s="129"/>
      <c r="AW13" s="129"/>
      <c r="AX13" s="129"/>
      <c r="AY13" s="129"/>
    </row>
    <row r="14" spans="1:51" ht="24.75" customHeight="1" x14ac:dyDescent="0.25">
      <c r="A14" s="847" t="s">
        <v>3</v>
      </c>
      <c r="B14" s="847" t="s">
        <v>4</v>
      </c>
      <c r="C14" s="850" t="s">
        <v>5</v>
      </c>
      <c r="D14" s="850" t="s">
        <v>6</v>
      </c>
      <c r="E14" s="850" t="s">
        <v>7</v>
      </c>
      <c r="F14" s="850" t="s">
        <v>8</v>
      </c>
      <c r="G14" s="850" t="s">
        <v>9</v>
      </c>
      <c r="H14" s="850" t="s">
        <v>10</v>
      </c>
      <c r="I14" s="850" t="s">
        <v>11</v>
      </c>
      <c r="J14" s="850" t="s">
        <v>12</v>
      </c>
      <c r="K14" s="850" t="s">
        <v>13</v>
      </c>
      <c r="L14" s="850" t="s">
        <v>14</v>
      </c>
      <c r="M14" s="869" t="s">
        <v>325</v>
      </c>
      <c r="N14" s="853" t="s">
        <v>11</v>
      </c>
      <c r="O14" s="853"/>
      <c r="P14" s="853" t="s">
        <v>326</v>
      </c>
      <c r="Q14" s="915" t="s">
        <v>15</v>
      </c>
      <c r="R14" s="915"/>
      <c r="S14" s="915"/>
      <c r="T14" s="915"/>
      <c r="U14" s="915"/>
      <c r="V14" s="915"/>
      <c r="W14" s="915"/>
      <c r="X14" s="915"/>
      <c r="Y14" s="915"/>
      <c r="Z14" s="915"/>
      <c r="AA14" s="915"/>
      <c r="AB14" s="915"/>
      <c r="AC14" s="915"/>
      <c r="AD14" s="915"/>
      <c r="AE14" s="915" t="s">
        <v>16</v>
      </c>
      <c r="AF14" s="915" t="s">
        <v>17</v>
      </c>
      <c r="AG14" s="915" t="s">
        <v>618</v>
      </c>
      <c r="AH14" s="921" t="s">
        <v>19</v>
      </c>
      <c r="AI14" s="915" t="s">
        <v>619</v>
      </c>
      <c r="AJ14" s="915" t="s">
        <v>568</v>
      </c>
      <c r="AK14" s="915" t="s">
        <v>21</v>
      </c>
      <c r="AL14" s="916" t="s">
        <v>22</v>
      </c>
      <c r="AM14" s="916"/>
      <c r="AN14" s="916"/>
      <c r="AO14" s="916"/>
      <c r="AP14" s="916"/>
      <c r="AQ14" s="916"/>
      <c r="AR14" s="916"/>
      <c r="AS14" s="916"/>
      <c r="AT14" s="916"/>
      <c r="AU14" s="916"/>
      <c r="AV14" s="916"/>
      <c r="AW14" s="916"/>
      <c r="AX14" s="916" t="s">
        <v>23</v>
      </c>
      <c r="AY14" s="917" t="s">
        <v>24</v>
      </c>
    </row>
    <row r="15" spans="1:51" ht="63.75" x14ac:dyDescent="0.25">
      <c r="A15" s="849"/>
      <c r="B15" s="849"/>
      <c r="C15" s="852"/>
      <c r="D15" s="852"/>
      <c r="E15" s="852"/>
      <c r="F15" s="852"/>
      <c r="G15" s="852"/>
      <c r="H15" s="852"/>
      <c r="I15" s="852"/>
      <c r="J15" s="852"/>
      <c r="K15" s="852"/>
      <c r="L15" s="852"/>
      <c r="M15" s="902"/>
      <c r="N15" s="136" t="s">
        <v>25</v>
      </c>
      <c r="O15" s="136" t="s">
        <v>26</v>
      </c>
      <c r="P15" s="853"/>
      <c r="Q15" s="137" t="s">
        <v>27</v>
      </c>
      <c r="R15" s="137" t="s">
        <v>28</v>
      </c>
      <c r="S15" s="137" t="s">
        <v>29</v>
      </c>
      <c r="T15" s="137" t="s">
        <v>623</v>
      </c>
      <c r="U15" s="137" t="s">
        <v>30</v>
      </c>
      <c r="V15" s="137" t="s">
        <v>1449</v>
      </c>
      <c r="W15" s="137" t="s">
        <v>1450</v>
      </c>
      <c r="X15" s="137" t="s">
        <v>33</v>
      </c>
      <c r="Y15" s="137" t="s">
        <v>34</v>
      </c>
      <c r="Z15" s="137" t="s">
        <v>624</v>
      </c>
      <c r="AA15" s="137" t="s">
        <v>36</v>
      </c>
      <c r="AB15" s="137" t="s">
        <v>37</v>
      </c>
      <c r="AC15" s="137" t="s">
        <v>38</v>
      </c>
      <c r="AD15" s="137" t="s">
        <v>39</v>
      </c>
      <c r="AE15" s="915"/>
      <c r="AF15" s="915"/>
      <c r="AG15" s="915"/>
      <c r="AH15" s="922"/>
      <c r="AI15" s="915"/>
      <c r="AJ15" s="915"/>
      <c r="AK15" s="923"/>
      <c r="AL15" s="138" t="s">
        <v>40</v>
      </c>
      <c r="AM15" s="138" t="s">
        <v>41</v>
      </c>
      <c r="AN15" s="138" t="s">
        <v>42</v>
      </c>
      <c r="AO15" s="138" t="s">
        <v>43</v>
      </c>
      <c r="AP15" s="138" t="s">
        <v>42</v>
      </c>
      <c r="AQ15" s="138" t="s">
        <v>44</v>
      </c>
      <c r="AR15" s="138" t="s">
        <v>44</v>
      </c>
      <c r="AS15" s="138" t="s">
        <v>43</v>
      </c>
      <c r="AT15" s="138" t="s">
        <v>45</v>
      </c>
      <c r="AU15" s="138" t="s">
        <v>46</v>
      </c>
      <c r="AV15" s="138" t="s">
        <v>47</v>
      </c>
      <c r="AW15" s="138" t="s">
        <v>48</v>
      </c>
      <c r="AX15" s="916"/>
      <c r="AY15" s="918"/>
    </row>
    <row r="16" spans="1:51" ht="180" x14ac:dyDescent="0.25">
      <c r="A16" s="139" t="s">
        <v>49</v>
      </c>
      <c r="B16" s="139" t="s">
        <v>1451</v>
      </c>
      <c r="C16" s="919" t="s">
        <v>1452</v>
      </c>
      <c r="D16" s="919" t="s">
        <v>1453</v>
      </c>
      <c r="E16" s="919">
        <v>0</v>
      </c>
      <c r="F16" s="139" t="s">
        <v>1454</v>
      </c>
      <c r="G16" s="919" t="s">
        <v>1455</v>
      </c>
      <c r="H16" s="140" t="s">
        <v>1456</v>
      </c>
      <c r="I16" s="140" t="s">
        <v>1457</v>
      </c>
      <c r="J16" s="141">
        <v>0</v>
      </c>
      <c r="K16" s="141" t="s">
        <v>323</v>
      </c>
      <c r="L16" s="141">
        <v>1</v>
      </c>
      <c r="M16" s="142">
        <v>0.75</v>
      </c>
      <c r="N16" s="143" t="s">
        <v>1457</v>
      </c>
      <c r="O16" s="142">
        <v>0.25</v>
      </c>
      <c r="P16" s="144">
        <v>37500</v>
      </c>
      <c r="Q16" s="144">
        <v>0</v>
      </c>
      <c r="R16" s="142">
        <v>0</v>
      </c>
      <c r="S16" s="142">
        <v>0</v>
      </c>
      <c r="T16" s="142">
        <v>0</v>
      </c>
      <c r="U16" s="142">
        <v>0</v>
      </c>
      <c r="V16" s="142">
        <v>0</v>
      </c>
      <c r="W16" s="142">
        <v>0</v>
      </c>
      <c r="X16" s="142">
        <v>0</v>
      </c>
      <c r="Y16" s="142">
        <v>0</v>
      </c>
      <c r="Z16" s="142">
        <v>0</v>
      </c>
      <c r="AA16" s="142">
        <v>0</v>
      </c>
      <c r="AB16" s="144">
        <v>37500</v>
      </c>
      <c r="AC16" s="142">
        <v>0</v>
      </c>
      <c r="AD16" s="142">
        <v>0</v>
      </c>
      <c r="AE16" s="143" t="s">
        <v>1458</v>
      </c>
      <c r="AF16" s="145" t="s">
        <v>1459</v>
      </c>
      <c r="AG16" s="146">
        <v>42</v>
      </c>
      <c r="AH16" s="143">
        <v>7</v>
      </c>
      <c r="AI16" s="147">
        <v>1346932</v>
      </c>
      <c r="AJ16" s="148">
        <v>50000</v>
      </c>
      <c r="AK16" s="143" t="s">
        <v>1460</v>
      </c>
      <c r="AL16" s="142" t="s">
        <v>751</v>
      </c>
      <c r="AM16" s="142" t="s">
        <v>751</v>
      </c>
      <c r="AN16" s="142" t="s">
        <v>751</v>
      </c>
      <c r="AO16" s="142" t="s">
        <v>751</v>
      </c>
      <c r="AP16" s="142" t="s">
        <v>751</v>
      </c>
      <c r="AQ16" s="142" t="s">
        <v>751</v>
      </c>
      <c r="AR16" s="142" t="s">
        <v>751</v>
      </c>
      <c r="AS16" s="142" t="s">
        <v>751</v>
      </c>
      <c r="AT16" s="142" t="s">
        <v>751</v>
      </c>
      <c r="AU16" s="142" t="s">
        <v>751</v>
      </c>
      <c r="AV16" s="142" t="s">
        <v>751</v>
      </c>
      <c r="AW16" s="142" t="s">
        <v>751</v>
      </c>
      <c r="AX16" s="149" t="s">
        <v>1461</v>
      </c>
      <c r="AY16" s="149" t="s">
        <v>1462</v>
      </c>
    </row>
    <row r="17" spans="1:51" ht="210" x14ac:dyDescent="0.25">
      <c r="A17" s="139" t="s">
        <v>49</v>
      </c>
      <c r="B17" s="139" t="s">
        <v>1451</v>
      </c>
      <c r="C17" s="919"/>
      <c r="D17" s="919"/>
      <c r="E17" s="919"/>
      <c r="F17" s="139" t="s">
        <v>1454</v>
      </c>
      <c r="G17" s="919"/>
      <c r="H17" s="150" t="s">
        <v>1463</v>
      </c>
      <c r="I17" s="150" t="s">
        <v>1464</v>
      </c>
      <c r="J17" s="151">
        <v>0</v>
      </c>
      <c r="K17" s="141" t="s">
        <v>323</v>
      </c>
      <c r="L17" s="151">
        <v>1</v>
      </c>
      <c r="M17" s="142">
        <v>0.25</v>
      </c>
      <c r="N17" s="143" t="s">
        <v>1464</v>
      </c>
      <c r="O17" s="142">
        <v>0</v>
      </c>
      <c r="P17" s="144">
        <v>22500</v>
      </c>
      <c r="Q17" s="144">
        <v>19500</v>
      </c>
      <c r="R17" s="142">
        <v>0</v>
      </c>
      <c r="S17" s="142">
        <v>0</v>
      </c>
      <c r="T17" s="142">
        <v>0</v>
      </c>
      <c r="U17" s="142">
        <v>0</v>
      </c>
      <c r="V17" s="142">
        <v>0</v>
      </c>
      <c r="W17" s="142">
        <v>0</v>
      </c>
      <c r="X17" s="142">
        <v>0</v>
      </c>
      <c r="Y17" s="142">
        <v>0</v>
      </c>
      <c r="Z17" s="142">
        <v>0</v>
      </c>
      <c r="AA17" s="142">
        <v>0</v>
      </c>
      <c r="AB17" s="144">
        <v>3000</v>
      </c>
      <c r="AC17" s="142">
        <v>0</v>
      </c>
      <c r="AD17" s="142">
        <v>0</v>
      </c>
      <c r="AE17" s="143" t="s">
        <v>1465</v>
      </c>
      <c r="AF17" s="142" t="s">
        <v>1466</v>
      </c>
      <c r="AG17" s="142">
        <v>42</v>
      </c>
      <c r="AH17" s="142">
        <v>7</v>
      </c>
      <c r="AI17" s="147">
        <v>1346932</v>
      </c>
      <c r="AJ17" s="148">
        <v>397240</v>
      </c>
      <c r="AK17" s="143" t="s">
        <v>1460</v>
      </c>
      <c r="AL17" s="142"/>
      <c r="AM17" s="142"/>
      <c r="AN17" s="142" t="s">
        <v>751</v>
      </c>
      <c r="AO17" s="142" t="s">
        <v>751</v>
      </c>
      <c r="AP17" s="142" t="s">
        <v>751</v>
      </c>
      <c r="AQ17" s="142" t="s">
        <v>751</v>
      </c>
      <c r="AR17" s="142" t="s">
        <v>751</v>
      </c>
      <c r="AS17" s="142" t="s">
        <v>751</v>
      </c>
      <c r="AT17" s="142" t="s">
        <v>751</v>
      </c>
      <c r="AU17" s="142" t="s">
        <v>751</v>
      </c>
      <c r="AV17" s="142" t="s">
        <v>751</v>
      </c>
      <c r="AW17" s="142" t="s">
        <v>751</v>
      </c>
      <c r="AX17" s="149" t="s">
        <v>1461</v>
      </c>
      <c r="AY17" s="142"/>
    </row>
    <row r="18" spans="1:51" ht="210" x14ac:dyDescent="0.25">
      <c r="A18" s="139" t="s">
        <v>49</v>
      </c>
      <c r="B18" s="139" t="s">
        <v>1451</v>
      </c>
      <c r="C18" s="919"/>
      <c r="D18" s="919"/>
      <c r="E18" s="919"/>
      <c r="F18" s="139" t="s">
        <v>1454</v>
      </c>
      <c r="G18" s="919"/>
      <c r="H18" s="150" t="s">
        <v>1467</v>
      </c>
      <c r="I18" s="150" t="s">
        <v>1468</v>
      </c>
      <c r="J18" s="151">
        <v>0</v>
      </c>
      <c r="K18" s="141" t="s">
        <v>323</v>
      </c>
      <c r="L18" s="151">
        <v>1</v>
      </c>
      <c r="M18" s="142">
        <v>0.9</v>
      </c>
      <c r="N18" s="143" t="s">
        <v>1468</v>
      </c>
      <c r="O18" s="142">
        <v>0.1</v>
      </c>
      <c r="P18" s="144">
        <v>50000</v>
      </c>
      <c r="Q18" s="144">
        <v>21668</v>
      </c>
      <c r="R18" s="142">
        <v>0</v>
      </c>
      <c r="S18" s="142">
        <v>0</v>
      </c>
      <c r="T18" s="142">
        <v>0</v>
      </c>
      <c r="U18" s="142">
        <v>0</v>
      </c>
      <c r="V18" s="142">
        <v>0</v>
      </c>
      <c r="W18" s="142">
        <v>0</v>
      </c>
      <c r="X18" s="142">
        <v>0</v>
      </c>
      <c r="Y18" s="142">
        <v>0</v>
      </c>
      <c r="Z18" s="142">
        <v>0</v>
      </c>
      <c r="AA18" s="142">
        <v>0</v>
      </c>
      <c r="AB18" s="144">
        <v>28332</v>
      </c>
      <c r="AC18" s="142">
        <v>0</v>
      </c>
      <c r="AD18" s="142">
        <v>0</v>
      </c>
      <c r="AE18" s="143" t="s">
        <v>1469</v>
      </c>
      <c r="AF18" s="143" t="s">
        <v>1470</v>
      </c>
      <c r="AG18" s="146">
        <v>42</v>
      </c>
      <c r="AH18" s="143">
        <v>7</v>
      </c>
      <c r="AI18" s="147">
        <v>1346932</v>
      </c>
      <c r="AJ18" s="147" t="s">
        <v>414</v>
      </c>
      <c r="AK18" s="143" t="s">
        <v>1471</v>
      </c>
      <c r="AL18" s="151"/>
      <c r="AM18" s="152"/>
      <c r="AN18" s="142" t="s">
        <v>751</v>
      </c>
      <c r="AO18" s="142" t="s">
        <v>751</v>
      </c>
      <c r="AP18" s="142" t="s">
        <v>751</v>
      </c>
      <c r="AQ18" s="142" t="s">
        <v>751</v>
      </c>
      <c r="AR18" s="142" t="s">
        <v>751</v>
      </c>
      <c r="AS18" s="142" t="s">
        <v>751</v>
      </c>
      <c r="AT18" s="142" t="s">
        <v>751</v>
      </c>
      <c r="AU18" s="142" t="s">
        <v>751</v>
      </c>
      <c r="AV18" s="142" t="s">
        <v>751</v>
      </c>
      <c r="AW18" s="142" t="s">
        <v>751</v>
      </c>
      <c r="AX18" s="149" t="s">
        <v>1472</v>
      </c>
      <c r="AY18" s="152"/>
    </row>
    <row r="19" spans="1:51" ht="210" x14ac:dyDescent="0.25">
      <c r="A19" s="139" t="s">
        <v>49</v>
      </c>
      <c r="B19" s="139" t="s">
        <v>1451</v>
      </c>
      <c r="C19" s="919"/>
      <c r="D19" s="919"/>
      <c r="E19" s="919"/>
      <c r="F19" s="139" t="s">
        <v>1454</v>
      </c>
      <c r="G19" s="919"/>
      <c r="H19" s="150" t="s">
        <v>1473</v>
      </c>
      <c r="I19" s="150" t="s">
        <v>1474</v>
      </c>
      <c r="J19" s="151">
        <v>0</v>
      </c>
      <c r="K19" s="141" t="s">
        <v>323</v>
      </c>
      <c r="L19" s="153">
        <v>0.5</v>
      </c>
      <c r="M19" s="154">
        <v>0.15</v>
      </c>
      <c r="N19" s="143" t="s">
        <v>1474</v>
      </c>
      <c r="O19" s="142">
        <v>0</v>
      </c>
      <c r="P19" s="144">
        <v>30000</v>
      </c>
      <c r="Q19" s="144">
        <v>21700</v>
      </c>
      <c r="R19" s="142">
        <v>0</v>
      </c>
      <c r="S19" s="142">
        <v>0</v>
      </c>
      <c r="T19" s="142">
        <v>0</v>
      </c>
      <c r="U19" s="142">
        <v>0</v>
      </c>
      <c r="V19" s="142">
        <v>0</v>
      </c>
      <c r="W19" s="142">
        <v>0</v>
      </c>
      <c r="X19" s="142">
        <v>0</v>
      </c>
      <c r="Y19" s="142">
        <v>0</v>
      </c>
      <c r="Z19" s="142">
        <v>0</v>
      </c>
      <c r="AA19" s="142">
        <v>0</v>
      </c>
      <c r="AB19" s="144">
        <v>8300</v>
      </c>
      <c r="AC19" s="142">
        <v>0</v>
      </c>
      <c r="AD19" s="142">
        <v>0</v>
      </c>
      <c r="AE19" s="143" t="s">
        <v>1469</v>
      </c>
      <c r="AF19" s="143" t="s">
        <v>1470</v>
      </c>
      <c r="AG19" s="143">
        <v>42</v>
      </c>
      <c r="AH19" s="143">
        <v>7</v>
      </c>
      <c r="AI19" s="147">
        <v>1346932</v>
      </c>
      <c r="AJ19" s="147" t="s">
        <v>414</v>
      </c>
      <c r="AK19" s="143" t="s">
        <v>1475</v>
      </c>
      <c r="AL19" s="152"/>
      <c r="AM19" s="152"/>
      <c r="AN19" s="142" t="s">
        <v>751</v>
      </c>
      <c r="AO19" s="142" t="s">
        <v>751</v>
      </c>
      <c r="AP19" s="142" t="s">
        <v>751</v>
      </c>
      <c r="AQ19" s="142" t="s">
        <v>751</v>
      </c>
      <c r="AR19" s="142" t="s">
        <v>751</v>
      </c>
      <c r="AS19" s="142" t="s">
        <v>751</v>
      </c>
      <c r="AT19" s="142" t="s">
        <v>751</v>
      </c>
      <c r="AU19" s="142" t="s">
        <v>751</v>
      </c>
      <c r="AV19" s="142" t="s">
        <v>751</v>
      </c>
      <c r="AW19" s="142" t="s">
        <v>751</v>
      </c>
      <c r="AX19" s="149" t="s">
        <v>1472</v>
      </c>
      <c r="AY19" s="152"/>
    </row>
    <row r="20" spans="1:51" ht="210" x14ac:dyDescent="0.25">
      <c r="A20" s="139" t="s">
        <v>49</v>
      </c>
      <c r="B20" s="139" t="s">
        <v>1451</v>
      </c>
      <c r="C20" s="919"/>
      <c r="D20" s="919"/>
      <c r="E20" s="919"/>
      <c r="F20" s="139" t="s">
        <v>1454</v>
      </c>
      <c r="G20" s="919"/>
      <c r="H20" s="150" t="s">
        <v>1476</v>
      </c>
      <c r="I20" s="150" t="s">
        <v>1477</v>
      </c>
      <c r="J20" s="151">
        <v>0</v>
      </c>
      <c r="K20" s="141" t="s">
        <v>323</v>
      </c>
      <c r="L20" s="151">
        <v>1</v>
      </c>
      <c r="M20" s="142">
        <v>0.15</v>
      </c>
      <c r="N20" s="143" t="s">
        <v>1477</v>
      </c>
      <c r="O20" s="142">
        <v>0.1</v>
      </c>
      <c r="P20" s="144">
        <v>25000</v>
      </c>
      <c r="Q20" s="144">
        <v>6250</v>
      </c>
      <c r="R20" s="142">
        <v>0</v>
      </c>
      <c r="S20" s="142">
        <v>0</v>
      </c>
      <c r="T20" s="142">
        <v>0</v>
      </c>
      <c r="U20" s="142">
        <v>0</v>
      </c>
      <c r="V20" s="142">
        <v>0</v>
      </c>
      <c r="W20" s="142">
        <v>0</v>
      </c>
      <c r="X20" s="142">
        <v>0</v>
      </c>
      <c r="Y20" s="144">
        <v>6250</v>
      </c>
      <c r="Z20" s="142">
        <v>0</v>
      </c>
      <c r="AA20" s="142">
        <v>0</v>
      </c>
      <c r="AB20" s="144">
        <v>12500</v>
      </c>
      <c r="AC20" s="142">
        <v>0</v>
      </c>
      <c r="AD20" s="142">
        <v>0</v>
      </c>
      <c r="AE20" s="143" t="s">
        <v>1478</v>
      </c>
      <c r="AF20" s="143" t="s">
        <v>1470</v>
      </c>
      <c r="AG20" s="155">
        <v>42</v>
      </c>
      <c r="AH20" s="143">
        <v>7</v>
      </c>
      <c r="AI20" s="147">
        <v>1346932</v>
      </c>
      <c r="AJ20" s="147" t="s">
        <v>414</v>
      </c>
      <c r="AK20" s="143" t="s">
        <v>1479</v>
      </c>
      <c r="AL20" s="152"/>
      <c r="AM20" s="152"/>
      <c r="AN20" s="142" t="s">
        <v>751</v>
      </c>
      <c r="AO20" s="142" t="s">
        <v>751</v>
      </c>
      <c r="AP20" s="142" t="s">
        <v>751</v>
      </c>
      <c r="AQ20" s="142" t="s">
        <v>751</v>
      </c>
      <c r="AR20" s="142" t="s">
        <v>751</v>
      </c>
      <c r="AS20" s="142" t="s">
        <v>751</v>
      </c>
      <c r="AT20" s="142" t="s">
        <v>751</v>
      </c>
      <c r="AU20" s="142" t="s">
        <v>751</v>
      </c>
      <c r="AV20" s="142" t="s">
        <v>751</v>
      </c>
      <c r="AW20" s="142" t="s">
        <v>751</v>
      </c>
      <c r="AX20" s="149" t="s">
        <v>1472</v>
      </c>
      <c r="AY20" s="152"/>
    </row>
    <row r="21" spans="1:51" ht="409.5" x14ac:dyDescent="0.25">
      <c r="A21" s="139" t="s">
        <v>49</v>
      </c>
      <c r="B21" s="139" t="s">
        <v>1451</v>
      </c>
      <c r="C21" s="919"/>
      <c r="D21" s="919"/>
      <c r="E21" s="919"/>
      <c r="F21" s="139" t="s">
        <v>1454</v>
      </c>
      <c r="G21" s="919"/>
      <c r="H21" s="150" t="s">
        <v>1480</v>
      </c>
      <c r="I21" s="150" t="s">
        <v>1481</v>
      </c>
      <c r="J21" s="151">
        <v>1</v>
      </c>
      <c r="K21" s="141" t="s">
        <v>323</v>
      </c>
      <c r="L21" s="151">
        <v>1</v>
      </c>
      <c r="M21" s="142">
        <v>0.35</v>
      </c>
      <c r="N21" s="143" t="s">
        <v>1481</v>
      </c>
      <c r="O21" s="142">
        <v>0</v>
      </c>
      <c r="P21" s="144">
        <v>30000</v>
      </c>
      <c r="Q21" s="144">
        <v>13000</v>
      </c>
      <c r="R21" s="142">
        <v>0</v>
      </c>
      <c r="S21" s="142">
        <v>0</v>
      </c>
      <c r="T21" s="142">
        <v>0</v>
      </c>
      <c r="U21" s="142">
        <v>0</v>
      </c>
      <c r="V21" s="142">
        <v>0</v>
      </c>
      <c r="W21" s="142">
        <v>0</v>
      </c>
      <c r="X21" s="142">
        <v>0</v>
      </c>
      <c r="Y21" s="142">
        <v>0</v>
      </c>
      <c r="Z21" s="142">
        <v>0</v>
      </c>
      <c r="AA21" s="142">
        <v>0</v>
      </c>
      <c r="AB21" s="144">
        <v>17000</v>
      </c>
      <c r="AC21" s="142">
        <v>0</v>
      </c>
      <c r="AD21" s="142">
        <v>0</v>
      </c>
      <c r="AE21" s="143" t="s">
        <v>1465</v>
      </c>
      <c r="AF21" s="142" t="s">
        <v>1466</v>
      </c>
      <c r="AG21" s="142">
        <v>42</v>
      </c>
      <c r="AH21" s="142">
        <v>7</v>
      </c>
      <c r="AI21" s="147">
        <v>1346932</v>
      </c>
      <c r="AJ21" s="148">
        <v>397240</v>
      </c>
      <c r="AK21" s="143" t="s">
        <v>1482</v>
      </c>
      <c r="AL21" s="156"/>
      <c r="AM21" s="152"/>
      <c r="AN21" s="142" t="s">
        <v>751</v>
      </c>
      <c r="AO21" s="142" t="s">
        <v>751</v>
      </c>
      <c r="AP21" s="142" t="s">
        <v>751</v>
      </c>
      <c r="AQ21" s="142" t="s">
        <v>751</v>
      </c>
      <c r="AR21" s="142" t="s">
        <v>751</v>
      </c>
      <c r="AS21" s="142" t="s">
        <v>751</v>
      </c>
      <c r="AT21" s="142" t="s">
        <v>751</v>
      </c>
      <c r="AU21" s="142" t="s">
        <v>751</v>
      </c>
      <c r="AV21" s="142" t="s">
        <v>751</v>
      </c>
      <c r="AW21" s="142" t="s">
        <v>395</v>
      </c>
      <c r="AX21" s="149" t="s">
        <v>1483</v>
      </c>
      <c r="AY21" s="152"/>
    </row>
    <row r="22" spans="1:51" ht="240" x14ac:dyDescent="0.25">
      <c r="A22" s="139" t="s">
        <v>49</v>
      </c>
      <c r="B22" s="139" t="s">
        <v>1451</v>
      </c>
      <c r="C22" s="919"/>
      <c r="D22" s="919"/>
      <c r="E22" s="919"/>
      <c r="F22" s="139" t="s">
        <v>1454</v>
      </c>
      <c r="G22" s="919"/>
      <c r="H22" s="151" t="s">
        <v>1484</v>
      </c>
      <c r="I22" s="150" t="s">
        <v>1485</v>
      </c>
      <c r="J22" s="151">
        <v>0</v>
      </c>
      <c r="K22" s="141" t="s">
        <v>323</v>
      </c>
      <c r="L22" s="151">
        <v>1</v>
      </c>
      <c r="M22" s="142">
        <v>0</v>
      </c>
      <c r="N22" s="151" t="s">
        <v>1485</v>
      </c>
      <c r="O22" s="142">
        <v>1</v>
      </c>
      <c r="P22" s="144">
        <v>0</v>
      </c>
      <c r="Q22" s="144">
        <v>0</v>
      </c>
      <c r="R22" s="142">
        <v>0</v>
      </c>
      <c r="S22" s="142">
        <v>0</v>
      </c>
      <c r="T22" s="142">
        <v>0</v>
      </c>
      <c r="U22" s="142">
        <v>0</v>
      </c>
      <c r="V22" s="142">
        <v>0</v>
      </c>
      <c r="W22" s="142">
        <v>0</v>
      </c>
      <c r="X22" s="142">
        <v>0</v>
      </c>
      <c r="Y22" s="142">
        <v>0</v>
      </c>
      <c r="Z22" s="142">
        <v>0</v>
      </c>
      <c r="AA22" s="142">
        <v>0</v>
      </c>
      <c r="AB22" s="142">
        <v>0</v>
      </c>
      <c r="AC22" s="142">
        <v>0</v>
      </c>
      <c r="AD22" s="142">
        <v>0</v>
      </c>
      <c r="AE22" s="143" t="s">
        <v>1486</v>
      </c>
      <c r="AF22" s="143" t="s">
        <v>1486</v>
      </c>
      <c r="AG22" s="143" t="s">
        <v>1486</v>
      </c>
      <c r="AH22" s="143" t="s">
        <v>1486</v>
      </c>
      <c r="AI22" s="143" t="s">
        <v>1486</v>
      </c>
      <c r="AJ22" s="143" t="s">
        <v>1486</v>
      </c>
      <c r="AK22" s="143" t="s">
        <v>1486</v>
      </c>
      <c r="AL22" s="143" t="s">
        <v>1486</v>
      </c>
      <c r="AM22" s="143" t="s">
        <v>1486</v>
      </c>
      <c r="AN22" s="143" t="s">
        <v>1486</v>
      </c>
      <c r="AO22" s="143" t="s">
        <v>1486</v>
      </c>
      <c r="AP22" s="143" t="s">
        <v>1486</v>
      </c>
      <c r="AQ22" s="143" t="s">
        <v>1486</v>
      </c>
      <c r="AR22" s="143" t="s">
        <v>1486</v>
      </c>
      <c r="AS22" s="143" t="s">
        <v>1486</v>
      </c>
      <c r="AT22" s="143" t="s">
        <v>1486</v>
      </c>
      <c r="AU22" s="143" t="s">
        <v>1486</v>
      </c>
      <c r="AV22" s="143" t="s">
        <v>1486</v>
      </c>
      <c r="AW22" s="143" t="s">
        <v>1486</v>
      </c>
      <c r="AX22" s="143" t="s">
        <v>1486</v>
      </c>
      <c r="AY22" s="143" t="s">
        <v>1486</v>
      </c>
    </row>
    <row r="23" spans="1:51" ht="315" x14ac:dyDescent="0.25">
      <c r="A23" s="139" t="s">
        <v>49</v>
      </c>
      <c r="B23" s="139" t="s">
        <v>1451</v>
      </c>
      <c r="C23" s="919"/>
      <c r="D23" s="919"/>
      <c r="E23" s="919"/>
      <c r="F23" s="139" t="s">
        <v>1454</v>
      </c>
      <c r="G23" s="919"/>
      <c r="H23" s="151" t="s">
        <v>1487</v>
      </c>
      <c r="I23" s="150" t="s">
        <v>1488</v>
      </c>
      <c r="J23" s="151" t="s">
        <v>1489</v>
      </c>
      <c r="K23" s="141" t="s">
        <v>323</v>
      </c>
      <c r="L23" s="151">
        <v>1</v>
      </c>
      <c r="M23" s="142">
        <v>0.35</v>
      </c>
      <c r="N23" s="150" t="s">
        <v>1488</v>
      </c>
      <c r="O23" s="142">
        <v>0</v>
      </c>
      <c r="P23" s="144">
        <v>150000</v>
      </c>
      <c r="Q23" s="144">
        <v>25000</v>
      </c>
      <c r="R23" s="142">
        <v>0</v>
      </c>
      <c r="S23" s="142">
        <v>0</v>
      </c>
      <c r="T23" s="142">
        <v>0</v>
      </c>
      <c r="U23" s="142">
        <v>0</v>
      </c>
      <c r="V23" s="142">
        <v>0</v>
      </c>
      <c r="W23" s="142">
        <v>0</v>
      </c>
      <c r="X23" s="142">
        <v>0</v>
      </c>
      <c r="Y23" s="142">
        <v>0</v>
      </c>
      <c r="Z23" s="142">
        <v>0</v>
      </c>
      <c r="AA23" s="142">
        <v>0</v>
      </c>
      <c r="AB23" s="157">
        <v>125000</v>
      </c>
      <c r="AC23" s="142">
        <v>0</v>
      </c>
      <c r="AD23" s="142">
        <v>0</v>
      </c>
      <c r="AE23" s="143" t="s">
        <v>1465</v>
      </c>
      <c r="AF23" s="142" t="s">
        <v>1466</v>
      </c>
      <c r="AG23" s="142">
        <v>42</v>
      </c>
      <c r="AH23" s="142">
        <v>7</v>
      </c>
      <c r="AI23" s="147">
        <v>1346932</v>
      </c>
      <c r="AJ23" s="148">
        <v>397240</v>
      </c>
      <c r="AK23" s="143" t="s">
        <v>1490</v>
      </c>
      <c r="AL23" s="142"/>
      <c r="AM23" s="142"/>
      <c r="AN23" s="142" t="s">
        <v>751</v>
      </c>
      <c r="AO23" s="142" t="s">
        <v>751</v>
      </c>
      <c r="AP23" s="142" t="s">
        <v>751</v>
      </c>
      <c r="AQ23" s="142" t="s">
        <v>751</v>
      </c>
      <c r="AR23" s="142" t="s">
        <v>751</v>
      </c>
      <c r="AS23" s="142" t="s">
        <v>751</v>
      </c>
      <c r="AT23" s="142" t="s">
        <v>751</v>
      </c>
      <c r="AU23" s="142" t="s">
        <v>751</v>
      </c>
      <c r="AV23" s="142" t="s">
        <v>751</v>
      </c>
      <c r="AW23" s="142" t="s">
        <v>395</v>
      </c>
      <c r="AX23" s="149" t="s">
        <v>1472</v>
      </c>
      <c r="AY23" s="142"/>
    </row>
    <row r="24" spans="1:51" ht="360" x14ac:dyDescent="0.25">
      <c r="A24" s="139" t="s">
        <v>49</v>
      </c>
      <c r="B24" s="139" t="s">
        <v>1451</v>
      </c>
      <c r="C24" s="919"/>
      <c r="D24" s="919"/>
      <c r="E24" s="919"/>
      <c r="F24" s="139" t="s">
        <v>1454</v>
      </c>
      <c r="G24" s="919"/>
      <c r="H24" s="150" t="s">
        <v>1491</v>
      </c>
      <c r="I24" s="150" t="s">
        <v>1492</v>
      </c>
      <c r="J24" s="151" t="s">
        <v>1493</v>
      </c>
      <c r="K24" s="141" t="s">
        <v>323</v>
      </c>
      <c r="L24" s="151">
        <v>41</v>
      </c>
      <c r="M24" s="142">
        <v>15</v>
      </c>
      <c r="N24" s="151" t="s">
        <v>1492</v>
      </c>
      <c r="O24" s="142">
        <v>7</v>
      </c>
      <c r="P24" s="144">
        <v>25000</v>
      </c>
      <c r="Q24" s="144">
        <v>5000</v>
      </c>
      <c r="R24" s="142">
        <v>0</v>
      </c>
      <c r="S24" s="142">
        <v>0</v>
      </c>
      <c r="T24" s="142">
        <v>0</v>
      </c>
      <c r="U24" s="142">
        <v>0</v>
      </c>
      <c r="V24" s="142">
        <v>0</v>
      </c>
      <c r="W24" s="142">
        <v>0</v>
      </c>
      <c r="X24" s="142">
        <v>0</v>
      </c>
      <c r="Y24" s="142">
        <v>0</v>
      </c>
      <c r="Z24" s="142">
        <v>0</v>
      </c>
      <c r="AA24" s="142">
        <v>0</v>
      </c>
      <c r="AB24" s="157">
        <v>20000</v>
      </c>
      <c r="AC24" s="142">
        <v>0</v>
      </c>
      <c r="AD24" s="142">
        <v>0</v>
      </c>
      <c r="AE24" s="143" t="s">
        <v>1465</v>
      </c>
      <c r="AF24" s="142" t="s">
        <v>1466</v>
      </c>
      <c r="AG24" s="142">
        <v>42</v>
      </c>
      <c r="AH24" s="142">
        <v>7</v>
      </c>
      <c r="AI24" s="147">
        <v>1346932</v>
      </c>
      <c r="AJ24" s="148">
        <v>397240</v>
      </c>
      <c r="AK24" s="143" t="s">
        <v>1490</v>
      </c>
      <c r="AL24" s="158"/>
      <c r="AM24" s="152"/>
      <c r="AN24" s="142" t="s">
        <v>751</v>
      </c>
      <c r="AO24" s="142" t="s">
        <v>751</v>
      </c>
      <c r="AP24" s="142" t="s">
        <v>751</v>
      </c>
      <c r="AQ24" s="142" t="s">
        <v>751</v>
      </c>
      <c r="AR24" s="142" t="s">
        <v>751</v>
      </c>
      <c r="AS24" s="142" t="s">
        <v>751</v>
      </c>
      <c r="AT24" s="142" t="s">
        <v>751</v>
      </c>
      <c r="AU24" s="142" t="s">
        <v>751</v>
      </c>
      <c r="AV24" s="142" t="s">
        <v>751</v>
      </c>
      <c r="AW24" s="142" t="s">
        <v>395</v>
      </c>
      <c r="AX24" s="149" t="s">
        <v>1472</v>
      </c>
      <c r="AY24" s="152"/>
    </row>
    <row r="25" spans="1:51" ht="315" x14ac:dyDescent="0.25">
      <c r="A25" s="139" t="s">
        <v>49</v>
      </c>
      <c r="B25" s="139" t="s">
        <v>1451</v>
      </c>
      <c r="C25" s="919"/>
      <c r="D25" s="919"/>
      <c r="E25" s="919"/>
      <c r="F25" s="139" t="s">
        <v>1454</v>
      </c>
      <c r="G25" s="919"/>
      <c r="H25" s="150" t="s">
        <v>1494</v>
      </c>
      <c r="I25" s="150" t="s">
        <v>1495</v>
      </c>
      <c r="J25" s="159">
        <v>0</v>
      </c>
      <c r="K25" s="141" t="s">
        <v>323</v>
      </c>
      <c r="L25" s="159">
        <v>1</v>
      </c>
      <c r="M25" s="142">
        <v>0.35</v>
      </c>
      <c r="N25" s="151" t="s">
        <v>1495</v>
      </c>
      <c r="O25" s="142">
        <v>0.1</v>
      </c>
      <c r="P25" s="144">
        <v>30000</v>
      </c>
      <c r="Q25" s="144">
        <v>20000</v>
      </c>
      <c r="R25" s="142">
        <v>0</v>
      </c>
      <c r="S25" s="142">
        <v>0</v>
      </c>
      <c r="T25" s="142">
        <v>0</v>
      </c>
      <c r="U25" s="142">
        <v>0</v>
      </c>
      <c r="V25" s="142">
        <v>0</v>
      </c>
      <c r="W25" s="142">
        <v>0</v>
      </c>
      <c r="X25" s="142">
        <v>0</v>
      </c>
      <c r="Y25" s="142">
        <v>0</v>
      </c>
      <c r="Z25" s="142">
        <v>0</v>
      </c>
      <c r="AA25" s="142">
        <v>0</v>
      </c>
      <c r="AB25" s="157">
        <v>10000</v>
      </c>
      <c r="AC25" s="142">
        <v>0</v>
      </c>
      <c r="AD25" s="142">
        <v>0</v>
      </c>
      <c r="AE25" s="143" t="s">
        <v>1465</v>
      </c>
      <c r="AF25" s="142" t="s">
        <v>1466</v>
      </c>
      <c r="AG25" s="142">
        <v>42</v>
      </c>
      <c r="AH25" s="142">
        <v>7</v>
      </c>
      <c r="AI25" s="147">
        <v>1346932</v>
      </c>
      <c r="AJ25" s="148">
        <v>397240</v>
      </c>
      <c r="AK25" s="143" t="s">
        <v>1496</v>
      </c>
      <c r="AL25" s="158"/>
      <c r="AM25" s="152"/>
      <c r="AN25" s="142" t="s">
        <v>751</v>
      </c>
      <c r="AO25" s="142" t="s">
        <v>751</v>
      </c>
      <c r="AP25" s="142" t="s">
        <v>751</v>
      </c>
      <c r="AQ25" s="142" t="s">
        <v>751</v>
      </c>
      <c r="AR25" s="142" t="s">
        <v>751</v>
      </c>
      <c r="AS25" s="142" t="s">
        <v>751</v>
      </c>
      <c r="AT25" s="142" t="s">
        <v>751</v>
      </c>
      <c r="AU25" s="142" t="s">
        <v>395</v>
      </c>
      <c r="AV25" s="142" t="s">
        <v>395</v>
      </c>
      <c r="AW25" s="142" t="s">
        <v>395</v>
      </c>
      <c r="AX25" s="149" t="s">
        <v>1472</v>
      </c>
      <c r="AY25" s="152"/>
    </row>
    <row r="26" spans="1:51" ht="225" x14ac:dyDescent="0.25">
      <c r="A26" s="139" t="s">
        <v>49</v>
      </c>
      <c r="B26" s="139" t="s">
        <v>1451</v>
      </c>
      <c r="C26" s="919"/>
      <c r="D26" s="919"/>
      <c r="E26" s="919"/>
      <c r="F26" s="139" t="s">
        <v>1454</v>
      </c>
      <c r="G26" s="919"/>
      <c r="H26" s="150" t="s">
        <v>1497</v>
      </c>
      <c r="I26" s="150" t="s">
        <v>1498</v>
      </c>
      <c r="J26" s="159">
        <v>0</v>
      </c>
      <c r="K26" s="159" t="s">
        <v>322</v>
      </c>
      <c r="L26" s="159">
        <v>42</v>
      </c>
      <c r="M26" s="142">
        <v>10</v>
      </c>
      <c r="N26" s="151" t="s">
        <v>1498</v>
      </c>
      <c r="O26" s="142">
        <v>5</v>
      </c>
      <c r="P26" s="144">
        <v>4222500</v>
      </c>
      <c r="Q26" s="144">
        <v>0</v>
      </c>
      <c r="R26" s="142">
        <v>0</v>
      </c>
      <c r="S26" s="142">
        <v>0</v>
      </c>
      <c r="T26" s="142">
        <v>0</v>
      </c>
      <c r="U26" s="157">
        <v>3430000</v>
      </c>
      <c r="V26" s="142">
        <v>0</v>
      </c>
      <c r="W26" s="142">
        <v>0</v>
      </c>
      <c r="X26" s="142">
        <v>0</v>
      </c>
      <c r="Y26" s="157">
        <v>100000</v>
      </c>
      <c r="Z26" s="157">
        <v>100000</v>
      </c>
      <c r="AA26" s="142">
        <v>0</v>
      </c>
      <c r="AB26" s="144">
        <v>592500</v>
      </c>
      <c r="AC26" s="142">
        <v>0</v>
      </c>
      <c r="AD26" s="142">
        <v>0</v>
      </c>
      <c r="AE26" s="143" t="s">
        <v>1458</v>
      </c>
      <c r="AF26" s="145" t="s">
        <v>1459</v>
      </c>
      <c r="AG26" s="143">
        <v>42</v>
      </c>
      <c r="AH26" s="143">
        <v>7</v>
      </c>
      <c r="AI26" s="147">
        <v>1346932</v>
      </c>
      <c r="AJ26" s="147">
        <f>1038000+92500</f>
        <v>1130500</v>
      </c>
      <c r="AK26" s="143" t="s">
        <v>1499</v>
      </c>
      <c r="AL26" s="158"/>
      <c r="AM26" s="142" t="s">
        <v>751</v>
      </c>
      <c r="AN26" s="142" t="s">
        <v>751</v>
      </c>
      <c r="AO26" s="142" t="s">
        <v>751</v>
      </c>
      <c r="AP26" s="142" t="s">
        <v>751</v>
      </c>
      <c r="AQ26" s="142" t="s">
        <v>751</v>
      </c>
      <c r="AR26" s="142" t="s">
        <v>395</v>
      </c>
      <c r="AS26" s="142" t="s">
        <v>395</v>
      </c>
      <c r="AT26" s="142" t="s">
        <v>395</v>
      </c>
      <c r="AU26" s="142" t="s">
        <v>395</v>
      </c>
      <c r="AV26" s="142" t="s">
        <v>395</v>
      </c>
      <c r="AW26" s="142" t="s">
        <v>395</v>
      </c>
      <c r="AX26" s="149" t="s">
        <v>1472</v>
      </c>
      <c r="AY26" s="149" t="s">
        <v>1500</v>
      </c>
    </row>
    <row r="27" spans="1:51" ht="225" x14ac:dyDescent="0.25">
      <c r="A27" s="139" t="s">
        <v>49</v>
      </c>
      <c r="B27" s="139" t="s">
        <v>1451</v>
      </c>
      <c r="C27" s="919"/>
      <c r="D27" s="919"/>
      <c r="E27" s="919"/>
      <c r="F27" s="139" t="s">
        <v>1454</v>
      </c>
      <c r="G27" s="919"/>
      <c r="H27" s="150" t="s">
        <v>1501</v>
      </c>
      <c r="I27" s="150" t="s">
        <v>1502</v>
      </c>
      <c r="J27" s="159">
        <v>0</v>
      </c>
      <c r="K27" s="159" t="s">
        <v>323</v>
      </c>
      <c r="L27" s="160">
        <v>1</v>
      </c>
      <c r="M27" s="154">
        <v>0.3</v>
      </c>
      <c r="N27" s="151" t="s">
        <v>1502</v>
      </c>
      <c r="O27" s="154">
        <v>0.1</v>
      </c>
      <c r="P27" s="144">
        <v>175000</v>
      </c>
      <c r="Q27" s="144">
        <v>43750</v>
      </c>
      <c r="R27" s="142">
        <v>0</v>
      </c>
      <c r="S27" s="142">
        <v>0</v>
      </c>
      <c r="T27" s="142">
        <v>0</v>
      </c>
      <c r="U27" s="142">
        <v>0</v>
      </c>
      <c r="V27" s="142">
        <v>0</v>
      </c>
      <c r="W27" s="142">
        <v>0</v>
      </c>
      <c r="X27" s="142">
        <v>0</v>
      </c>
      <c r="Y27" s="157">
        <v>43750</v>
      </c>
      <c r="Z27" s="157">
        <v>43750</v>
      </c>
      <c r="AA27" s="142">
        <v>0</v>
      </c>
      <c r="AB27" s="157">
        <v>43750</v>
      </c>
      <c r="AC27" s="142">
        <v>0</v>
      </c>
      <c r="AD27" s="142">
        <v>0</v>
      </c>
      <c r="AE27" s="143" t="s">
        <v>1465</v>
      </c>
      <c r="AF27" s="142" t="s">
        <v>1466</v>
      </c>
      <c r="AG27" s="142">
        <v>42</v>
      </c>
      <c r="AH27" s="142">
        <v>7</v>
      </c>
      <c r="AI27" s="147">
        <v>1346932</v>
      </c>
      <c r="AJ27" s="148">
        <v>397240</v>
      </c>
      <c r="AK27" s="151" t="s">
        <v>1503</v>
      </c>
      <c r="AL27" s="152"/>
      <c r="AM27" s="152"/>
      <c r="AN27" s="142" t="s">
        <v>751</v>
      </c>
      <c r="AO27" s="142" t="s">
        <v>751</v>
      </c>
      <c r="AP27" s="142" t="s">
        <v>751</v>
      </c>
      <c r="AQ27" s="142" t="s">
        <v>751</v>
      </c>
      <c r="AR27" s="142" t="s">
        <v>751</v>
      </c>
      <c r="AS27" s="142" t="s">
        <v>751</v>
      </c>
      <c r="AT27" s="142" t="s">
        <v>751</v>
      </c>
      <c r="AU27" s="142" t="s">
        <v>751</v>
      </c>
      <c r="AV27" s="142" t="s">
        <v>751</v>
      </c>
      <c r="AW27" s="142" t="s">
        <v>395</v>
      </c>
      <c r="AX27" s="149" t="s">
        <v>1472</v>
      </c>
      <c r="AY27" s="152"/>
    </row>
    <row r="28" spans="1:51" ht="270" x14ac:dyDescent="0.25">
      <c r="A28" s="139" t="s">
        <v>49</v>
      </c>
      <c r="B28" s="139" t="s">
        <v>1451</v>
      </c>
      <c r="C28" s="919"/>
      <c r="D28" s="919"/>
      <c r="E28" s="919"/>
      <c r="F28" s="139" t="s">
        <v>1454</v>
      </c>
      <c r="G28" s="919"/>
      <c r="H28" s="150" t="s">
        <v>1504</v>
      </c>
      <c r="I28" s="150" t="s">
        <v>1505</v>
      </c>
      <c r="J28" s="159">
        <v>0</v>
      </c>
      <c r="K28" s="159" t="s">
        <v>323</v>
      </c>
      <c r="L28" s="159">
        <v>1</v>
      </c>
      <c r="M28" s="142">
        <v>0.5</v>
      </c>
      <c r="N28" s="150" t="s">
        <v>1505</v>
      </c>
      <c r="O28" s="142">
        <v>0.1</v>
      </c>
      <c r="P28" s="144">
        <v>3225000</v>
      </c>
      <c r="Q28" s="144">
        <v>50000</v>
      </c>
      <c r="R28" s="142">
        <v>0</v>
      </c>
      <c r="S28" s="142">
        <v>0</v>
      </c>
      <c r="T28" s="142">
        <v>0</v>
      </c>
      <c r="U28" s="157">
        <v>3050000</v>
      </c>
      <c r="V28" s="142">
        <v>0</v>
      </c>
      <c r="W28" s="142">
        <v>0</v>
      </c>
      <c r="X28" s="142">
        <v>0</v>
      </c>
      <c r="Y28" s="157">
        <v>50000</v>
      </c>
      <c r="Z28" s="142">
        <v>0</v>
      </c>
      <c r="AA28" s="142">
        <v>0</v>
      </c>
      <c r="AB28" s="157">
        <v>75000</v>
      </c>
      <c r="AC28" s="142">
        <v>0</v>
      </c>
      <c r="AD28" s="142">
        <v>0</v>
      </c>
      <c r="AE28" s="143" t="s">
        <v>1506</v>
      </c>
      <c r="AF28" s="145" t="s">
        <v>1470</v>
      </c>
      <c r="AG28" s="142">
        <v>42</v>
      </c>
      <c r="AH28" s="142">
        <v>7</v>
      </c>
      <c r="AI28" s="161">
        <v>1346932</v>
      </c>
      <c r="AJ28" s="142" t="s">
        <v>414</v>
      </c>
      <c r="AK28" s="151" t="s">
        <v>1507</v>
      </c>
      <c r="AL28" s="152"/>
      <c r="AM28" s="142" t="s">
        <v>751</v>
      </c>
      <c r="AN28" s="142" t="s">
        <v>751</v>
      </c>
      <c r="AO28" s="142" t="s">
        <v>751</v>
      </c>
      <c r="AP28" s="142" t="s">
        <v>751</v>
      </c>
      <c r="AQ28" s="142" t="s">
        <v>751</v>
      </c>
      <c r="AR28" s="142" t="s">
        <v>395</v>
      </c>
      <c r="AS28" s="142" t="s">
        <v>395</v>
      </c>
      <c r="AT28" s="162" t="s">
        <v>395</v>
      </c>
      <c r="AU28" s="162" t="s">
        <v>395</v>
      </c>
      <c r="AV28" s="162" t="s">
        <v>395</v>
      </c>
      <c r="AW28" s="162" t="s">
        <v>395</v>
      </c>
      <c r="AX28" s="149" t="s">
        <v>1472</v>
      </c>
      <c r="AY28" s="152"/>
    </row>
    <row r="29" spans="1:51" ht="345" x14ac:dyDescent="0.25">
      <c r="A29" s="139" t="s">
        <v>49</v>
      </c>
      <c r="B29" s="139" t="s">
        <v>1451</v>
      </c>
      <c r="C29" s="919" t="s">
        <v>1508</v>
      </c>
      <c r="D29" s="930" t="s">
        <v>1509</v>
      </c>
      <c r="E29" s="930" t="s">
        <v>1510</v>
      </c>
      <c r="F29" s="139" t="s">
        <v>1511</v>
      </c>
      <c r="G29" s="930" t="s">
        <v>1512</v>
      </c>
      <c r="H29" s="140" t="s">
        <v>1513</v>
      </c>
      <c r="I29" s="141" t="s">
        <v>1514</v>
      </c>
      <c r="J29" s="141">
        <v>0</v>
      </c>
      <c r="K29" s="141" t="s">
        <v>323</v>
      </c>
      <c r="L29" s="141">
        <v>10</v>
      </c>
      <c r="M29" s="142">
        <v>10</v>
      </c>
      <c r="N29" s="141" t="s">
        <v>1514</v>
      </c>
      <c r="O29" s="142">
        <v>0</v>
      </c>
      <c r="P29" s="163">
        <v>48000</v>
      </c>
      <c r="Q29" s="163">
        <v>0</v>
      </c>
      <c r="R29" s="142">
        <v>0</v>
      </c>
      <c r="S29" s="142">
        <v>0</v>
      </c>
      <c r="T29" s="142">
        <v>0</v>
      </c>
      <c r="U29" s="163">
        <v>48000</v>
      </c>
      <c r="V29" s="142">
        <v>0</v>
      </c>
      <c r="W29" s="142">
        <v>0</v>
      </c>
      <c r="X29" s="142">
        <v>0</v>
      </c>
      <c r="Y29" s="142">
        <v>0</v>
      </c>
      <c r="Z29" s="142">
        <v>0</v>
      </c>
      <c r="AA29" s="142">
        <v>0</v>
      </c>
      <c r="AB29" s="142">
        <v>0</v>
      </c>
      <c r="AC29" s="142">
        <v>0</v>
      </c>
      <c r="AD29" s="142">
        <v>0</v>
      </c>
      <c r="AE29" s="141" t="s">
        <v>1515</v>
      </c>
      <c r="AF29" s="164" t="s">
        <v>1516</v>
      </c>
      <c r="AG29" s="143" t="s">
        <v>1517</v>
      </c>
      <c r="AH29" s="143" t="s">
        <v>1518</v>
      </c>
      <c r="AI29" s="143" t="s">
        <v>1519</v>
      </c>
      <c r="AJ29" s="165">
        <v>1107740</v>
      </c>
      <c r="AK29" s="143" t="s">
        <v>1520</v>
      </c>
      <c r="AL29" s="142"/>
      <c r="AM29" s="142"/>
      <c r="AN29" s="142" t="s">
        <v>751</v>
      </c>
      <c r="AO29" s="142" t="s">
        <v>751</v>
      </c>
      <c r="AP29" s="142" t="s">
        <v>751</v>
      </c>
      <c r="AQ29" s="142" t="s">
        <v>751</v>
      </c>
      <c r="AR29" s="142" t="s">
        <v>751</v>
      </c>
      <c r="AS29" s="142" t="s">
        <v>751</v>
      </c>
      <c r="AT29" s="142" t="s">
        <v>751</v>
      </c>
      <c r="AU29" s="142" t="s">
        <v>751</v>
      </c>
      <c r="AV29" s="142" t="s">
        <v>751</v>
      </c>
      <c r="AW29" s="142" t="s">
        <v>751</v>
      </c>
      <c r="AX29" s="149" t="s">
        <v>1521</v>
      </c>
      <c r="AY29" s="149"/>
    </row>
    <row r="30" spans="1:51" ht="240" x14ac:dyDescent="0.25">
      <c r="A30" s="139" t="s">
        <v>49</v>
      </c>
      <c r="B30" s="139" t="s">
        <v>1451</v>
      </c>
      <c r="C30" s="919"/>
      <c r="D30" s="930"/>
      <c r="E30" s="930"/>
      <c r="F30" s="139" t="s">
        <v>1511</v>
      </c>
      <c r="G30" s="930"/>
      <c r="H30" s="140" t="s">
        <v>1522</v>
      </c>
      <c r="I30" s="141" t="s">
        <v>1523</v>
      </c>
      <c r="J30" s="141">
        <v>0</v>
      </c>
      <c r="K30" s="141" t="s">
        <v>323</v>
      </c>
      <c r="L30" s="166">
        <v>1</v>
      </c>
      <c r="M30" s="154">
        <v>1</v>
      </c>
      <c r="N30" s="141" t="s">
        <v>1523</v>
      </c>
      <c r="O30" s="142">
        <v>0</v>
      </c>
      <c r="P30" s="163">
        <v>20000</v>
      </c>
      <c r="Q30" s="163">
        <v>0</v>
      </c>
      <c r="R30" s="142">
        <v>0</v>
      </c>
      <c r="S30" s="142">
        <v>0</v>
      </c>
      <c r="T30" s="142">
        <v>0</v>
      </c>
      <c r="U30" s="163">
        <v>20000</v>
      </c>
      <c r="V30" s="142">
        <v>0</v>
      </c>
      <c r="W30" s="142">
        <v>0</v>
      </c>
      <c r="X30" s="142">
        <v>0</v>
      </c>
      <c r="Y30" s="142">
        <v>0</v>
      </c>
      <c r="Z30" s="142">
        <v>0</v>
      </c>
      <c r="AA30" s="142">
        <v>0</v>
      </c>
      <c r="AB30" s="142">
        <v>0</v>
      </c>
      <c r="AC30" s="142">
        <v>0</v>
      </c>
      <c r="AD30" s="142">
        <v>0</v>
      </c>
      <c r="AE30" s="141" t="s">
        <v>1515</v>
      </c>
      <c r="AF30" s="164" t="s">
        <v>1516</v>
      </c>
      <c r="AG30" s="143" t="s">
        <v>1517</v>
      </c>
      <c r="AH30" s="143" t="s">
        <v>1518</v>
      </c>
      <c r="AI30" s="143" t="s">
        <v>1519</v>
      </c>
      <c r="AJ30" s="165">
        <v>1107740</v>
      </c>
      <c r="AK30" s="143" t="s">
        <v>1524</v>
      </c>
      <c r="AL30" s="142"/>
      <c r="AM30" s="142"/>
      <c r="AN30" s="142" t="s">
        <v>751</v>
      </c>
      <c r="AO30" s="142" t="s">
        <v>751</v>
      </c>
      <c r="AP30" s="142" t="s">
        <v>751</v>
      </c>
      <c r="AQ30" s="142" t="s">
        <v>751</v>
      </c>
      <c r="AR30" s="142" t="s">
        <v>751</v>
      </c>
      <c r="AS30" s="142" t="s">
        <v>751</v>
      </c>
      <c r="AT30" s="142" t="s">
        <v>751</v>
      </c>
      <c r="AU30" s="142" t="s">
        <v>751</v>
      </c>
      <c r="AV30" s="142" t="s">
        <v>751</v>
      </c>
      <c r="AW30" s="142" t="s">
        <v>751</v>
      </c>
      <c r="AX30" s="149" t="s">
        <v>1521</v>
      </c>
      <c r="AY30" s="149"/>
    </row>
    <row r="31" spans="1:51" ht="409.5" x14ac:dyDescent="0.25">
      <c r="A31" s="139" t="s">
        <v>49</v>
      </c>
      <c r="B31" s="139" t="s">
        <v>1451</v>
      </c>
      <c r="C31" s="919"/>
      <c r="D31" s="930"/>
      <c r="E31" s="930"/>
      <c r="F31" s="139" t="s">
        <v>1511</v>
      </c>
      <c r="G31" s="930"/>
      <c r="H31" s="140" t="s">
        <v>1525</v>
      </c>
      <c r="I31" s="141" t="s">
        <v>1526</v>
      </c>
      <c r="J31" s="141">
        <v>0</v>
      </c>
      <c r="K31" s="141" t="s">
        <v>323</v>
      </c>
      <c r="L31" s="141">
        <v>1</v>
      </c>
      <c r="M31" s="167">
        <v>0.3</v>
      </c>
      <c r="N31" s="140" t="s">
        <v>1526</v>
      </c>
      <c r="O31" s="142">
        <v>0.1</v>
      </c>
      <c r="P31" s="163">
        <v>175000</v>
      </c>
      <c r="Q31" s="163">
        <v>75000</v>
      </c>
      <c r="R31" s="142">
        <v>0</v>
      </c>
      <c r="S31" s="142">
        <v>0</v>
      </c>
      <c r="T31" s="142">
        <v>0</v>
      </c>
      <c r="U31" s="157">
        <v>100000</v>
      </c>
      <c r="V31" s="142">
        <v>0</v>
      </c>
      <c r="W31" s="142">
        <v>0</v>
      </c>
      <c r="X31" s="142">
        <v>0</v>
      </c>
      <c r="Y31" s="142">
        <v>0</v>
      </c>
      <c r="Z31" s="142">
        <v>0</v>
      </c>
      <c r="AA31" s="142">
        <v>0</v>
      </c>
      <c r="AB31" s="142">
        <v>0</v>
      </c>
      <c r="AC31" s="142">
        <v>0</v>
      </c>
      <c r="AD31" s="142">
        <v>0</v>
      </c>
      <c r="AE31" s="141" t="s">
        <v>1515</v>
      </c>
      <c r="AF31" s="164" t="s">
        <v>1516</v>
      </c>
      <c r="AG31" s="143" t="s">
        <v>1527</v>
      </c>
      <c r="AH31" s="143" t="s">
        <v>397</v>
      </c>
      <c r="AI31" s="143" t="s">
        <v>1519</v>
      </c>
      <c r="AJ31" s="165">
        <v>1107740</v>
      </c>
      <c r="AK31" s="143" t="s">
        <v>1528</v>
      </c>
      <c r="AL31" s="168"/>
      <c r="AM31" s="168"/>
      <c r="AN31" s="142" t="s">
        <v>751</v>
      </c>
      <c r="AO31" s="142" t="s">
        <v>751</v>
      </c>
      <c r="AP31" s="142" t="s">
        <v>751</v>
      </c>
      <c r="AQ31" s="142" t="s">
        <v>751</v>
      </c>
      <c r="AR31" s="142" t="s">
        <v>751</v>
      </c>
      <c r="AS31" s="142" t="s">
        <v>751</v>
      </c>
      <c r="AT31" s="142" t="s">
        <v>751</v>
      </c>
      <c r="AU31" s="142" t="s">
        <v>751</v>
      </c>
      <c r="AV31" s="142" t="s">
        <v>751</v>
      </c>
      <c r="AW31" s="142" t="s">
        <v>751</v>
      </c>
      <c r="AX31" s="149" t="s">
        <v>1521</v>
      </c>
      <c r="AY31" s="149" t="s">
        <v>1529</v>
      </c>
    </row>
    <row r="32" spans="1:51" ht="300" x14ac:dyDescent="0.25">
      <c r="A32" s="139" t="s">
        <v>49</v>
      </c>
      <c r="B32" s="139" t="s">
        <v>1451</v>
      </c>
      <c r="C32" s="919"/>
      <c r="D32" s="930"/>
      <c r="E32" s="930"/>
      <c r="F32" s="139" t="s">
        <v>1511</v>
      </c>
      <c r="G32" s="930"/>
      <c r="H32" s="140" t="s">
        <v>1530</v>
      </c>
      <c r="I32" s="141" t="s">
        <v>1531</v>
      </c>
      <c r="J32" s="141">
        <v>20</v>
      </c>
      <c r="K32" s="141" t="s">
        <v>323</v>
      </c>
      <c r="L32" s="166">
        <v>0.6</v>
      </c>
      <c r="M32" s="154">
        <v>0.2</v>
      </c>
      <c r="N32" s="140" t="s">
        <v>1531</v>
      </c>
      <c r="O32" s="154">
        <v>0.2</v>
      </c>
      <c r="P32" s="163">
        <v>80000</v>
      </c>
      <c r="Q32" s="163">
        <v>40000</v>
      </c>
      <c r="R32" s="142">
        <v>0</v>
      </c>
      <c r="S32" s="142">
        <v>0</v>
      </c>
      <c r="T32" s="142">
        <v>0</v>
      </c>
      <c r="U32" s="142">
        <v>0</v>
      </c>
      <c r="V32" s="142">
        <v>0</v>
      </c>
      <c r="W32" s="142">
        <v>0</v>
      </c>
      <c r="X32" s="142">
        <v>0</v>
      </c>
      <c r="Y32" s="142">
        <v>0</v>
      </c>
      <c r="Z32" s="142">
        <v>0</v>
      </c>
      <c r="AA32" s="142">
        <v>0</v>
      </c>
      <c r="AB32" s="157">
        <v>40000</v>
      </c>
      <c r="AC32" s="142">
        <v>0</v>
      </c>
      <c r="AD32" s="142">
        <v>0</v>
      </c>
      <c r="AE32" s="141" t="s">
        <v>1515</v>
      </c>
      <c r="AF32" s="164" t="s">
        <v>1516</v>
      </c>
      <c r="AG32" s="143" t="s">
        <v>1527</v>
      </c>
      <c r="AH32" s="143" t="s">
        <v>397</v>
      </c>
      <c r="AI32" s="143" t="s">
        <v>1519</v>
      </c>
      <c r="AJ32" s="165">
        <v>1107740</v>
      </c>
      <c r="AK32" s="143" t="s">
        <v>1532</v>
      </c>
      <c r="AL32" s="168"/>
      <c r="AM32" s="168"/>
      <c r="AN32" s="142" t="s">
        <v>751</v>
      </c>
      <c r="AO32" s="142" t="s">
        <v>751</v>
      </c>
      <c r="AP32" s="142" t="s">
        <v>751</v>
      </c>
      <c r="AQ32" s="142" t="s">
        <v>751</v>
      </c>
      <c r="AR32" s="142" t="s">
        <v>751</v>
      </c>
      <c r="AS32" s="142" t="s">
        <v>751</v>
      </c>
      <c r="AT32" s="142" t="s">
        <v>751</v>
      </c>
      <c r="AU32" s="142" t="s">
        <v>751</v>
      </c>
      <c r="AV32" s="142" t="s">
        <v>751</v>
      </c>
      <c r="AW32" s="142" t="s">
        <v>751</v>
      </c>
      <c r="AX32" s="149" t="s">
        <v>1521</v>
      </c>
      <c r="AY32" s="149" t="s">
        <v>1533</v>
      </c>
    </row>
    <row r="33" spans="1:51" ht="270" x14ac:dyDescent="0.25">
      <c r="A33" s="139" t="s">
        <v>49</v>
      </c>
      <c r="B33" s="139" t="s">
        <v>1451</v>
      </c>
      <c r="C33" s="919"/>
      <c r="D33" s="930"/>
      <c r="E33" s="930"/>
      <c r="F33" s="139" t="s">
        <v>1511</v>
      </c>
      <c r="G33" s="930"/>
      <c r="H33" s="140" t="s">
        <v>1534</v>
      </c>
      <c r="I33" s="141" t="s">
        <v>1535</v>
      </c>
      <c r="J33" s="141">
        <v>2</v>
      </c>
      <c r="K33" s="141" t="s">
        <v>323</v>
      </c>
      <c r="L33" s="166">
        <v>1</v>
      </c>
      <c r="M33" s="154">
        <v>0.3</v>
      </c>
      <c r="N33" s="141" t="s">
        <v>1535</v>
      </c>
      <c r="O33" s="154">
        <v>0.15</v>
      </c>
      <c r="P33" s="163">
        <v>50000</v>
      </c>
      <c r="Q33" s="163">
        <v>50000</v>
      </c>
      <c r="R33" s="142">
        <v>0</v>
      </c>
      <c r="S33" s="142">
        <v>0</v>
      </c>
      <c r="T33" s="142">
        <v>0</v>
      </c>
      <c r="U33" s="142">
        <v>0</v>
      </c>
      <c r="V33" s="142">
        <v>0</v>
      </c>
      <c r="W33" s="142">
        <v>0</v>
      </c>
      <c r="X33" s="142">
        <v>0</v>
      </c>
      <c r="Y33" s="142">
        <v>0</v>
      </c>
      <c r="Z33" s="142">
        <v>0</v>
      </c>
      <c r="AA33" s="142">
        <v>0</v>
      </c>
      <c r="AB33" s="142">
        <v>0</v>
      </c>
      <c r="AC33" s="142">
        <v>0</v>
      </c>
      <c r="AD33" s="142">
        <v>0</v>
      </c>
      <c r="AE33" s="141" t="s">
        <v>1515</v>
      </c>
      <c r="AF33" s="164" t="s">
        <v>1516</v>
      </c>
      <c r="AG33" s="143" t="s">
        <v>1527</v>
      </c>
      <c r="AH33" s="143" t="s">
        <v>397</v>
      </c>
      <c r="AI33" s="143" t="s">
        <v>1519</v>
      </c>
      <c r="AJ33" s="165">
        <v>1107740</v>
      </c>
      <c r="AK33" s="143" t="s">
        <v>1536</v>
      </c>
      <c r="AL33" s="168"/>
      <c r="AM33" s="168"/>
      <c r="AN33" s="142" t="s">
        <v>751</v>
      </c>
      <c r="AO33" s="142" t="s">
        <v>751</v>
      </c>
      <c r="AP33" s="142" t="s">
        <v>751</v>
      </c>
      <c r="AQ33" s="142" t="s">
        <v>751</v>
      </c>
      <c r="AR33" s="142" t="s">
        <v>751</v>
      </c>
      <c r="AS33" s="142" t="s">
        <v>751</v>
      </c>
      <c r="AT33" s="143" t="s">
        <v>751</v>
      </c>
      <c r="AU33" s="143" t="s">
        <v>751</v>
      </c>
      <c r="AV33" s="143" t="s">
        <v>751</v>
      </c>
      <c r="AW33" s="143" t="s">
        <v>751</v>
      </c>
      <c r="AX33" s="149" t="s">
        <v>1521</v>
      </c>
      <c r="AY33" s="149"/>
    </row>
    <row r="34" spans="1:51" ht="195" x14ac:dyDescent="0.25">
      <c r="A34" s="139" t="s">
        <v>49</v>
      </c>
      <c r="B34" s="139" t="s">
        <v>1451</v>
      </c>
      <c r="C34" s="919"/>
      <c r="D34" s="930"/>
      <c r="E34" s="930"/>
      <c r="F34" s="139" t="s">
        <v>1511</v>
      </c>
      <c r="G34" s="930"/>
      <c r="H34" s="140" t="s">
        <v>1537</v>
      </c>
      <c r="I34" s="141" t="s">
        <v>1538</v>
      </c>
      <c r="J34" s="141" t="s">
        <v>1539</v>
      </c>
      <c r="K34" s="141" t="s">
        <v>323</v>
      </c>
      <c r="L34" s="166">
        <v>1</v>
      </c>
      <c r="M34" s="154">
        <v>0.3</v>
      </c>
      <c r="N34" s="141" t="s">
        <v>1538</v>
      </c>
      <c r="O34" s="154">
        <v>0.1</v>
      </c>
      <c r="P34" s="163">
        <v>150000</v>
      </c>
      <c r="Q34" s="163">
        <v>50000</v>
      </c>
      <c r="R34" s="142">
        <v>0</v>
      </c>
      <c r="S34" s="142">
        <v>0</v>
      </c>
      <c r="T34" s="142">
        <v>0</v>
      </c>
      <c r="U34" s="157">
        <v>100000</v>
      </c>
      <c r="V34" s="142">
        <v>0</v>
      </c>
      <c r="W34" s="142">
        <v>0</v>
      </c>
      <c r="X34" s="142">
        <v>0</v>
      </c>
      <c r="Y34" s="142">
        <v>0</v>
      </c>
      <c r="Z34" s="142">
        <v>0</v>
      </c>
      <c r="AA34" s="142">
        <v>0</v>
      </c>
      <c r="AB34" s="142">
        <v>0</v>
      </c>
      <c r="AC34" s="142">
        <v>0</v>
      </c>
      <c r="AD34" s="142">
        <v>0</v>
      </c>
      <c r="AE34" s="141" t="s">
        <v>1515</v>
      </c>
      <c r="AF34" s="164" t="s">
        <v>1516</v>
      </c>
      <c r="AG34" s="143" t="s">
        <v>1540</v>
      </c>
      <c r="AH34" s="143" t="s">
        <v>1541</v>
      </c>
      <c r="AI34" s="143" t="s">
        <v>1519</v>
      </c>
      <c r="AJ34" s="165">
        <v>1107740</v>
      </c>
      <c r="AK34" s="143" t="s">
        <v>1542</v>
      </c>
      <c r="AL34" s="168"/>
      <c r="AM34" s="168"/>
      <c r="AN34" s="142" t="s">
        <v>751</v>
      </c>
      <c r="AO34" s="142" t="s">
        <v>751</v>
      </c>
      <c r="AP34" s="142" t="s">
        <v>751</v>
      </c>
      <c r="AQ34" s="142" t="s">
        <v>751</v>
      </c>
      <c r="AR34" s="142" t="s">
        <v>751</v>
      </c>
      <c r="AS34" s="142" t="s">
        <v>751</v>
      </c>
      <c r="AT34" s="143" t="s">
        <v>751</v>
      </c>
      <c r="AU34" s="143" t="s">
        <v>751</v>
      </c>
      <c r="AV34" s="143" t="s">
        <v>751</v>
      </c>
      <c r="AW34" s="143" t="s">
        <v>751</v>
      </c>
      <c r="AX34" s="149" t="s">
        <v>1521</v>
      </c>
      <c r="AY34" s="149"/>
    </row>
    <row r="35" spans="1:51" ht="195" x14ac:dyDescent="0.25">
      <c r="A35" s="139" t="s">
        <v>49</v>
      </c>
      <c r="B35" s="139" t="s">
        <v>1451</v>
      </c>
      <c r="C35" s="919"/>
      <c r="D35" s="930"/>
      <c r="E35" s="930"/>
      <c r="F35" s="139" t="s">
        <v>1511</v>
      </c>
      <c r="G35" s="930"/>
      <c r="H35" s="140" t="s">
        <v>1543</v>
      </c>
      <c r="I35" s="141" t="s">
        <v>1544</v>
      </c>
      <c r="J35" s="141" t="s">
        <v>1545</v>
      </c>
      <c r="K35" s="141" t="s">
        <v>323</v>
      </c>
      <c r="L35" s="141">
        <v>20</v>
      </c>
      <c r="M35" s="142">
        <v>6</v>
      </c>
      <c r="N35" s="141" t="s">
        <v>1544</v>
      </c>
      <c r="O35" s="142">
        <v>4</v>
      </c>
      <c r="P35" s="157">
        <v>25000</v>
      </c>
      <c r="Q35" s="157">
        <v>25000</v>
      </c>
      <c r="R35" s="142">
        <v>0</v>
      </c>
      <c r="S35" s="142">
        <v>0</v>
      </c>
      <c r="T35" s="142">
        <v>0</v>
      </c>
      <c r="U35" s="142">
        <v>0</v>
      </c>
      <c r="V35" s="142">
        <v>0</v>
      </c>
      <c r="W35" s="142">
        <v>0</v>
      </c>
      <c r="X35" s="142">
        <v>0</v>
      </c>
      <c r="Y35" s="142">
        <v>0</v>
      </c>
      <c r="Z35" s="142">
        <v>0</v>
      </c>
      <c r="AA35" s="142">
        <v>0</v>
      </c>
      <c r="AB35" s="142">
        <v>0</v>
      </c>
      <c r="AC35" s="142">
        <v>0</v>
      </c>
      <c r="AD35" s="142">
        <v>0</v>
      </c>
      <c r="AE35" s="141" t="s">
        <v>1515</v>
      </c>
      <c r="AF35" s="164" t="s">
        <v>1516</v>
      </c>
      <c r="AG35" s="143" t="s">
        <v>1527</v>
      </c>
      <c r="AH35" s="143" t="s">
        <v>397</v>
      </c>
      <c r="AI35" s="143" t="s">
        <v>1519</v>
      </c>
      <c r="AJ35" s="165">
        <v>1107740</v>
      </c>
      <c r="AK35" s="143" t="s">
        <v>1546</v>
      </c>
      <c r="AL35" s="168"/>
      <c r="AM35" s="168"/>
      <c r="AN35" s="142" t="s">
        <v>751</v>
      </c>
      <c r="AO35" s="142" t="s">
        <v>751</v>
      </c>
      <c r="AP35" s="142" t="s">
        <v>751</v>
      </c>
      <c r="AQ35" s="142" t="s">
        <v>751</v>
      </c>
      <c r="AR35" s="142" t="s">
        <v>751</v>
      </c>
      <c r="AS35" s="142" t="s">
        <v>751</v>
      </c>
      <c r="AT35" s="143" t="s">
        <v>751</v>
      </c>
      <c r="AU35" s="143" t="s">
        <v>751</v>
      </c>
      <c r="AV35" s="143" t="s">
        <v>751</v>
      </c>
      <c r="AW35" s="143" t="s">
        <v>751</v>
      </c>
      <c r="AX35" s="149" t="s">
        <v>1521</v>
      </c>
      <c r="AY35" s="149"/>
    </row>
    <row r="36" spans="1:51" ht="300" x14ac:dyDescent="0.25">
      <c r="A36" s="139" t="s">
        <v>49</v>
      </c>
      <c r="B36" s="139" t="s">
        <v>1451</v>
      </c>
      <c r="C36" s="919"/>
      <c r="D36" s="930"/>
      <c r="E36" s="930"/>
      <c r="F36" s="139" t="s">
        <v>1511</v>
      </c>
      <c r="G36" s="930"/>
      <c r="H36" s="140" t="s">
        <v>1547</v>
      </c>
      <c r="I36" s="141" t="s">
        <v>1548</v>
      </c>
      <c r="J36" s="141">
        <v>0</v>
      </c>
      <c r="K36" s="141" t="s">
        <v>323</v>
      </c>
      <c r="L36" s="166">
        <v>1</v>
      </c>
      <c r="M36" s="154">
        <v>0.3</v>
      </c>
      <c r="N36" s="141" t="s">
        <v>1548</v>
      </c>
      <c r="O36" s="154">
        <v>0.1</v>
      </c>
      <c r="P36" s="157">
        <v>135000</v>
      </c>
      <c r="Q36" s="157">
        <v>50000</v>
      </c>
      <c r="R36" s="142">
        <v>0</v>
      </c>
      <c r="S36" s="142">
        <v>0</v>
      </c>
      <c r="T36" s="142">
        <v>0</v>
      </c>
      <c r="U36" s="157">
        <v>85000</v>
      </c>
      <c r="V36" s="142">
        <v>0</v>
      </c>
      <c r="W36" s="142">
        <v>0</v>
      </c>
      <c r="X36" s="142">
        <v>0</v>
      </c>
      <c r="Y36" s="142">
        <v>0</v>
      </c>
      <c r="Z36" s="142">
        <v>0</v>
      </c>
      <c r="AA36" s="142">
        <v>0</v>
      </c>
      <c r="AB36" s="142">
        <v>0</v>
      </c>
      <c r="AC36" s="142">
        <v>0</v>
      </c>
      <c r="AD36" s="142">
        <v>0</v>
      </c>
      <c r="AE36" s="141" t="s">
        <v>1515</v>
      </c>
      <c r="AF36" s="164" t="s">
        <v>1516</v>
      </c>
      <c r="AG36" s="143" t="s">
        <v>1549</v>
      </c>
      <c r="AH36" s="143" t="s">
        <v>1550</v>
      </c>
      <c r="AI36" s="143" t="s">
        <v>1519</v>
      </c>
      <c r="AJ36" s="165">
        <v>1107740</v>
      </c>
      <c r="AK36" s="143" t="s">
        <v>1551</v>
      </c>
      <c r="AL36" s="168"/>
      <c r="AM36" s="168"/>
      <c r="AN36" s="142" t="s">
        <v>751</v>
      </c>
      <c r="AO36" s="142" t="s">
        <v>751</v>
      </c>
      <c r="AP36" s="142" t="s">
        <v>751</v>
      </c>
      <c r="AQ36" s="142" t="s">
        <v>751</v>
      </c>
      <c r="AR36" s="142" t="s">
        <v>751</v>
      </c>
      <c r="AS36" s="142" t="s">
        <v>751</v>
      </c>
      <c r="AT36" s="143" t="s">
        <v>751</v>
      </c>
      <c r="AU36" s="143" t="s">
        <v>751</v>
      </c>
      <c r="AV36" s="143" t="s">
        <v>751</v>
      </c>
      <c r="AW36" s="143" t="s">
        <v>751</v>
      </c>
      <c r="AX36" s="149" t="s">
        <v>1521</v>
      </c>
      <c r="AY36" s="149"/>
    </row>
    <row r="37" spans="1:51" ht="330" x14ac:dyDescent="0.25">
      <c r="A37" s="139" t="s">
        <v>49</v>
      </c>
      <c r="B37" s="139" t="s">
        <v>1451</v>
      </c>
      <c r="C37" s="919"/>
      <c r="D37" s="930"/>
      <c r="E37" s="930"/>
      <c r="F37" s="139" t="s">
        <v>1511</v>
      </c>
      <c r="G37" s="930"/>
      <c r="H37" s="140" t="s">
        <v>1552</v>
      </c>
      <c r="I37" s="141" t="s">
        <v>1553</v>
      </c>
      <c r="J37" s="141" t="s">
        <v>296</v>
      </c>
      <c r="K37" s="141" t="s">
        <v>323</v>
      </c>
      <c r="L37" s="169">
        <v>1000</v>
      </c>
      <c r="M37" s="142">
        <v>1000</v>
      </c>
      <c r="N37" s="141" t="s">
        <v>1553</v>
      </c>
      <c r="O37" s="141">
        <v>0</v>
      </c>
      <c r="P37" s="157">
        <v>90000</v>
      </c>
      <c r="Q37" s="157">
        <v>0</v>
      </c>
      <c r="R37" s="142">
        <v>0</v>
      </c>
      <c r="S37" s="142">
        <v>0</v>
      </c>
      <c r="T37" s="142">
        <v>0</v>
      </c>
      <c r="U37" s="157">
        <v>90000</v>
      </c>
      <c r="V37" s="142">
        <v>0</v>
      </c>
      <c r="W37" s="142">
        <v>0</v>
      </c>
      <c r="X37" s="142">
        <v>0</v>
      </c>
      <c r="Y37" s="142">
        <v>0</v>
      </c>
      <c r="Z37" s="142">
        <v>0</v>
      </c>
      <c r="AA37" s="142">
        <v>0</v>
      </c>
      <c r="AB37" s="142">
        <v>0</v>
      </c>
      <c r="AC37" s="142">
        <v>0</v>
      </c>
      <c r="AD37" s="142">
        <v>0</v>
      </c>
      <c r="AE37" s="141" t="s">
        <v>1515</v>
      </c>
      <c r="AF37" s="164" t="s">
        <v>1516</v>
      </c>
      <c r="AG37" s="143" t="s">
        <v>1527</v>
      </c>
      <c r="AH37" s="143" t="s">
        <v>397</v>
      </c>
      <c r="AI37" s="143" t="s">
        <v>1519</v>
      </c>
      <c r="AJ37" s="165">
        <v>1107740</v>
      </c>
      <c r="AK37" s="143" t="s">
        <v>1554</v>
      </c>
      <c r="AL37" s="142"/>
      <c r="AM37" s="142"/>
      <c r="AN37" s="142" t="s">
        <v>751</v>
      </c>
      <c r="AO37" s="142" t="s">
        <v>751</v>
      </c>
      <c r="AP37" s="142" t="s">
        <v>751</v>
      </c>
      <c r="AQ37" s="142" t="s">
        <v>751</v>
      </c>
      <c r="AR37" s="142" t="s">
        <v>751</v>
      </c>
      <c r="AS37" s="142" t="s">
        <v>751</v>
      </c>
      <c r="AT37" s="143" t="s">
        <v>751</v>
      </c>
      <c r="AU37" s="143" t="s">
        <v>751</v>
      </c>
      <c r="AV37" s="143" t="s">
        <v>751</v>
      </c>
      <c r="AW37" s="143" t="s">
        <v>751</v>
      </c>
      <c r="AX37" s="149" t="s">
        <v>1521</v>
      </c>
      <c r="AY37" s="149"/>
    </row>
    <row r="38" spans="1:51" ht="255" x14ac:dyDescent="0.25">
      <c r="A38" s="139" t="s">
        <v>49</v>
      </c>
      <c r="B38" s="139" t="s">
        <v>1451</v>
      </c>
      <c r="C38" s="919"/>
      <c r="D38" s="930"/>
      <c r="E38" s="930"/>
      <c r="F38" s="139" t="s">
        <v>1511</v>
      </c>
      <c r="G38" s="930"/>
      <c r="H38" s="140" t="s">
        <v>1555</v>
      </c>
      <c r="I38" s="141" t="s">
        <v>1556</v>
      </c>
      <c r="J38" s="141">
        <v>0</v>
      </c>
      <c r="K38" s="141" t="s">
        <v>323</v>
      </c>
      <c r="L38" s="141">
        <v>1</v>
      </c>
      <c r="M38" s="142">
        <v>1</v>
      </c>
      <c r="N38" s="140" t="s">
        <v>1556</v>
      </c>
      <c r="O38" s="142">
        <v>0</v>
      </c>
      <c r="P38" s="157">
        <v>1500000</v>
      </c>
      <c r="Q38" s="142">
        <v>0</v>
      </c>
      <c r="R38" s="142">
        <v>0</v>
      </c>
      <c r="S38" s="142">
        <v>0</v>
      </c>
      <c r="T38" s="142">
        <v>0</v>
      </c>
      <c r="U38" s="157">
        <v>0</v>
      </c>
      <c r="V38" s="142">
        <v>0</v>
      </c>
      <c r="W38" s="142">
        <v>0</v>
      </c>
      <c r="X38" s="157">
        <v>1500000</v>
      </c>
      <c r="Y38" s="142">
        <v>0</v>
      </c>
      <c r="Z38" s="142">
        <v>0</v>
      </c>
      <c r="AA38" s="142">
        <v>0</v>
      </c>
      <c r="AB38" s="142">
        <v>0</v>
      </c>
      <c r="AC38" s="142">
        <v>0</v>
      </c>
      <c r="AD38" s="142">
        <v>0</v>
      </c>
      <c r="AE38" s="141" t="s">
        <v>1557</v>
      </c>
      <c r="AF38" s="170" t="s">
        <v>1558</v>
      </c>
      <c r="AG38" s="143" t="s">
        <v>1527</v>
      </c>
      <c r="AH38" s="143" t="s">
        <v>397</v>
      </c>
      <c r="AI38" s="143" t="s">
        <v>1519</v>
      </c>
      <c r="AJ38" s="165">
        <v>1500000</v>
      </c>
      <c r="AK38" s="143" t="s">
        <v>1559</v>
      </c>
      <c r="AL38" s="168"/>
      <c r="AM38" s="168"/>
      <c r="AN38" s="142" t="s">
        <v>751</v>
      </c>
      <c r="AO38" s="142" t="s">
        <v>751</v>
      </c>
      <c r="AP38" s="142" t="s">
        <v>751</v>
      </c>
      <c r="AQ38" s="142" t="s">
        <v>751</v>
      </c>
      <c r="AR38" s="142" t="s">
        <v>751</v>
      </c>
      <c r="AS38" s="142" t="s">
        <v>751</v>
      </c>
      <c r="AT38" s="143" t="s">
        <v>751</v>
      </c>
      <c r="AU38" s="143" t="s">
        <v>751</v>
      </c>
      <c r="AV38" s="143" t="s">
        <v>751</v>
      </c>
      <c r="AW38" s="143" t="s">
        <v>751</v>
      </c>
      <c r="AX38" s="149" t="s">
        <v>1521</v>
      </c>
      <c r="AY38" s="149"/>
    </row>
    <row r="39" spans="1:51" ht="300" x14ac:dyDescent="0.25">
      <c r="A39" s="139" t="s">
        <v>49</v>
      </c>
      <c r="B39" s="139" t="s">
        <v>1451</v>
      </c>
      <c r="C39" s="919"/>
      <c r="D39" s="930"/>
      <c r="E39" s="930"/>
      <c r="F39" s="139" t="s">
        <v>1511</v>
      </c>
      <c r="G39" s="930"/>
      <c r="H39" s="140" t="s">
        <v>1560</v>
      </c>
      <c r="I39" s="141" t="s">
        <v>1561</v>
      </c>
      <c r="J39" s="141">
        <v>0</v>
      </c>
      <c r="K39" s="141" t="s">
        <v>323</v>
      </c>
      <c r="L39" s="166">
        <v>0.8</v>
      </c>
      <c r="M39" s="154">
        <v>0.3</v>
      </c>
      <c r="N39" s="141" t="s">
        <v>1561</v>
      </c>
      <c r="O39" s="154">
        <v>0.1</v>
      </c>
      <c r="P39" s="171">
        <v>57500</v>
      </c>
      <c r="Q39" s="157">
        <v>7500</v>
      </c>
      <c r="R39" s="142">
        <v>0</v>
      </c>
      <c r="S39" s="142">
        <v>0</v>
      </c>
      <c r="T39" s="142">
        <v>0</v>
      </c>
      <c r="U39" s="157">
        <v>50000</v>
      </c>
      <c r="V39" s="142">
        <v>0</v>
      </c>
      <c r="W39" s="142">
        <v>0</v>
      </c>
      <c r="X39" s="142">
        <v>0</v>
      </c>
      <c r="Y39" s="142">
        <v>0</v>
      </c>
      <c r="Z39" s="142">
        <v>0</v>
      </c>
      <c r="AA39" s="142">
        <v>0</v>
      </c>
      <c r="AB39" s="142">
        <v>0</v>
      </c>
      <c r="AC39" s="142">
        <v>0</v>
      </c>
      <c r="AD39" s="142">
        <v>0</v>
      </c>
      <c r="AE39" s="141" t="s">
        <v>1515</v>
      </c>
      <c r="AF39" s="164" t="s">
        <v>1516</v>
      </c>
      <c r="AG39" s="143" t="s">
        <v>1527</v>
      </c>
      <c r="AH39" s="143" t="s">
        <v>397</v>
      </c>
      <c r="AI39" s="143" t="s">
        <v>1519</v>
      </c>
      <c r="AJ39" s="165">
        <v>1107740</v>
      </c>
      <c r="AK39" s="143" t="s">
        <v>1562</v>
      </c>
      <c r="AL39" s="168"/>
      <c r="AM39" s="168"/>
      <c r="AN39" s="142" t="s">
        <v>751</v>
      </c>
      <c r="AO39" s="142" t="s">
        <v>751</v>
      </c>
      <c r="AP39" s="142" t="s">
        <v>751</v>
      </c>
      <c r="AQ39" s="142" t="s">
        <v>751</v>
      </c>
      <c r="AR39" s="142" t="s">
        <v>751</v>
      </c>
      <c r="AS39" s="142" t="s">
        <v>751</v>
      </c>
      <c r="AT39" s="143" t="s">
        <v>751</v>
      </c>
      <c r="AU39" s="143" t="s">
        <v>751</v>
      </c>
      <c r="AV39" s="143" t="s">
        <v>751</v>
      </c>
      <c r="AW39" s="143" t="s">
        <v>751</v>
      </c>
      <c r="AX39" s="149" t="s">
        <v>1521</v>
      </c>
      <c r="AY39" s="168"/>
    </row>
    <row r="40" spans="1:51" ht="270" x14ac:dyDescent="0.25">
      <c r="A40" s="139" t="s">
        <v>49</v>
      </c>
      <c r="B40" s="139" t="s">
        <v>1451</v>
      </c>
      <c r="C40" s="919"/>
      <c r="D40" s="930"/>
      <c r="E40" s="930"/>
      <c r="F40" s="139" t="s">
        <v>1511</v>
      </c>
      <c r="G40" s="930"/>
      <c r="H40" s="140" t="s">
        <v>1563</v>
      </c>
      <c r="I40" s="141" t="s">
        <v>1564</v>
      </c>
      <c r="J40" s="141">
        <v>4</v>
      </c>
      <c r="K40" s="141" t="s">
        <v>323</v>
      </c>
      <c r="L40" s="166">
        <v>1</v>
      </c>
      <c r="M40" s="154">
        <v>0.25</v>
      </c>
      <c r="N40" s="140" t="s">
        <v>1564</v>
      </c>
      <c r="O40" s="154">
        <v>0.25</v>
      </c>
      <c r="P40" s="157">
        <v>20000</v>
      </c>
      <c r="Q40" s="157">
        <v>20000</v>
      </c>
      <c r="R40" s="142">
        <v>0</v>
      </c>
      <c r="S40" s="142">
        <v>0</v>
      </c>
      <c r="T40" s="142">
        <v>0</v>
      </c>
      <c r="U40" s="142">
        <v>0</v>
      </c>
      <c r="V40" s="142">
        <v>0</v>
      </c>
      <c r="W40" s="142">
        <v>0</v>
      </c>
      <c r="X40" s="142">
        <v>0</v>
      </c>
      <c r="Y40" s="142">
        <v>0</v>
      </c>
      <c r="Z40" s="142">
        <v>0</v>
      </c>
      <c r="AA40" s="142">
        <v>0</v>
      </c>
      <c r="AB40" s="142">
        <v>0</v>
      </c>
      <c r="AC40" s="142">
        <v>0</v>
      </c>
      <c r="AD40" s="142">
        <v>0</v>
      </c>
      <c r="AE40" s="141" t="s">
        <v>1515</v>
      </c>
      <c r="AF40" s="164" t="s">
        <v>1516</v>
      </c>
      <c r="AG40" s="143" t="s">
        <v>1527</v>
      </c>
      <c r="AH40" s="143" t="s">
        <v>397</v>
      </c>
      <c r="AI40" s="143" t="s">
        <v>1519</v>
      </c>
      <c r="AJ40" s="165">
        <v>1107740</v>
      </c>
      <c r="AK40" s="143" t="s">
        <v>1565</v>
      </c>
      <c r="AL40" s="168"/>
      <c r="AM40" s="168"/>
      <c r="AN40" s="142" t="s">
        <v>751</v>
      </c>
      <c r="AO40" s="142" t="s">
        <v>751</v>
      </c>
      <c r="AP40" s="142" t="s">
        <v>751</v>
      </c>
      <c r="AQ40" s="142" t="s">
        <v>751</v>
      </c>
      <c r="AR40" s="142" t="s">
        <v>751</v>
      </c>
      <c r="AS40" s="142" t="s">
        <v>751</v>
      </c>
      <c r="AT40" s="143" t="s">
        <v>751</v>
      </c>
      <c r="AU40" s="143" t="s">
        <v>751</v>
      </c>
      <c r="AV40" s="143" t="s">
        <v>751</v>
      </c>
      <c r="AW40" s="143" t="s">
        <v>751</v>
      </c>
      <c r="AX40" s="149" t="s">
        <v>1521</v>
      </c>
      <c r="AY40" s="149"/>
    </row>
    <row r="41" spans="1:51" ht="210" x14ac:dyDescent="0.25">
      <c r="A41" s="139" t="s">
        <v>49</v>
      </c>
      <c r="B41" s="139" t="s">
        <v>1451</v>
      </c>
      <c r="C41" s="919"/>
      <c r="D41" s="930"/>
      <c r="E41" s="930"/>
      <c r="F41" s="139" t="s">
        <v>1511</v>
      </c>
      <c r="G41" s="930"/>
      <c r="H41" s="140" t="s">
        <v>1566</v>
      </c>
      <c r="I41" s="141" t="s">
        <v>1567</v>
      </c>
      <c r="J41" s="141">
        <v>2</v>
      </c>
      <c r="K41" s="141" t="s">
        <v>323</v>
      </c>
      <c r="L41" s="166">
        <v>1</v>
      </c>
      <c r="M41" s="154">
        <v>0.25</v>
      </c>
      <c r="N41" s="140" t="s">
        <v>1567</v>
      </c>
      <c r="O41" s="154">
        <v>0.25</v>
      </c>
      <c r="P41" s="171">
        <v>72000</v>
      </c>
      <c r="Q41" s="157">
        <v>72000</v>
      </c>
      <c r="R41" s="142">
        <v>0</v>
      </c>
      <c r="S41" s="142">
        <v>0</v>
      </c>
      <c r="T41" s="142">
        <v>0</v>
      </c>
      <c r="U41" s="142">
        <v>0</v>
      </c>
      <c r="V41" s="142">
        <v>0</v>
      </c>
      <c r="W41" s="142">
        <v>0</v>
      </c>
      <c r="X41" s="142">
        <v>0</v>
      </c>
      <c r="Y41" s="142">
        <v>0</v>
      </c>
      <c r="Z41" s="142">
        <v>0</v>
      </c>
      <c r="AA41" s="142">
        <v>0</v>
      </c>
      <c r="AB41" s="142">
        <v>0</v>
      </c>
      <c r="AC41" s="142">
        <v>0</v>
      </c>
      <c r="AD41" s="142">
        <v>0</v>
      </c>
      <c r="AE41" s="141" t="s">
        <v>1515</v>
      </c>
      <c r="AF41" s="164" t="s">
        <v>1516</v>
      </c>
      <c r="AG41" s="143" t="s">
        <v>1527</v>
      </c>
      <c r="AH41" s="143" t="s">
        <v>397</v>
      </c>
      <c r="AI41" s="143" t="s">
        <v>1519</v>
      </c>
      <c r="AJ41" s="165">
        <v>1107740</v>
      </c>
      <c r="AK41" s="143" t="s">
        <v>1568</v>
      </c>
      <c r="AL41" s="168"/>
      <c r="AM41" s="168"/>
      <c r="AN41" s="142" t="s">
        <v>751</v>
      </c>
      <c r="AO41" s="142" t="s">
        <v>751</v>
      </c>
      <c r="AP41" s="142" t="s">
        <v>751</v>
      </c>
      <c r="AQ41" s="142" t="s">
        <v>751</v>
      </c>
      <c r="AR41" s="142" t="s">
        <v>751</v>
      </c>
      <c r="AS41" s="142" t="s">
        <v>751</v>
      </c>
      <c r="AT41" s="143" t="s">
        <v>751</v>
      </c>
      <c r="AU41" s="143" t="s">
        <v>751</v>
      </c>
      <c r="AV41" s="143" t="s">
        <v>751</v>
      </c>
      <c r="AW41" s="143" t="s">
        <v>751</v>
      </c>
      <c r="AX41" s="149" t="s">
        <v>1521</v>
      </c>
      <c r="AY41" s="149"/>
    </row>
    <row r="42" spans="1:51" ht="315" x14ac:dyDescent="0.25">
      <c r="A42" s="139" t="s">
        <v>49</v>
      </c>
      <c r="B42" s="139" t="s">
        <v>1451</v>
      </c>
      <c r="C42" s="919"/>
      <c r="D42" s="930"/>
      <c r="E42" s="930"/>
      <c r="F42" s="139" t="s">
        <v>1511</v>
      </c>
      <c r="G42" s="930"/>
      <c r="H42" s="141" t="s">
        <v>1569</v>
      </c>
      <c r="I42" s="141" t="s">
        <v>1570</v>
      </c>
      <c r="J42" s="141">
        <v>8</v>
      </c>
      <c r="K42" s="141" t="s">
        <v>323</v>
      </c>
      <c r="L42" s="166">
        <v>1</v>
      </c>
      <c r="M42" s="154">
        <v>0.25</v>
      </c>
      <c r="N42" s="141" t="s">
        <v>1570</v>
      </c>
      <c r="O42" s="166">
        <v>0.25</v>
      </c>
      <c r="P42" s="171">
        <v>16000</v>
      </c>
      <c r="Q42" s="157">
        <v>16000</v>
      </c>
      <c r="R42" s="142">
        <v>0</v>
      </c>
      <c r="S42" s="142">
        <v>0</v>
      </c>
      <c r="T42" s="142">
        <v>0</v>
      </c>
      <c r="U42" s="142">
        <v>0</v>
      </c>
      <c r="V42" s="142">
        <v>0</v>
      </c>
      <c r="W42" s="142">
        <v>0</v>
      </c>
      <c r="X42" s="142">
        <v>0</v>
      </c>
      <c r="Y42" s="142">
        <v>0</v>
      </c>
      <c r="Z42" s="142">
        <v>0</v>
      </c>
      <c r="AA42" s="142">
        <v>0</v>
      </c>
      <c r="AB42" s="142">
        <v>0</v>
      </c>
      <c r="AC42" s="142">
        <v>0</v>
      </c>
      <c r="AD42" s="142">
        <v>0</v>
      </c>
      <c r="AE42" s="141" t="s">
        <v>1515</v>
      </c>
      <c r="AF42" s="164" t="s">
        <v>1516</v>
      </c>
      <c r="AG42" s="143" t="s">
        <v>1527</v>
      </c>
      <c r="AH42" s="143" t="s">
        <v>397</v>
      </c>
      <c r="AI42" s="143" t="s">
        <v>1519</v>
      </c>
      <c r="AJ42" s="165">
        <v>1107740</v>
      </c>
      <c r="AK42" s="143" t="s">
        <v>1571</v>
      </c>
      <c r="AL42" s="168"/>
      <c r="AM42" s="168"/>
      <c r="AN42" s="142" t="s">
        <v>751</v>
      </c>
      <c r="AO42" s="142" t="s">
        <v>751</v>
      </c>
      <c r="AP42" s="142" t="s">
        <v>751</v>
      </c>
      <c r="AQ42" s="142" t="s">
        <v>751</v>
      </c>
      <c r="AR42" s="142" t="s">
        <v>751</v>
      </c>
      <c r="AS42" s="142" t="s">
        <v>751</v>
      </c>
      <c r="AT42" s="143" t="s">
        <v>751</v>
      </c>
      <c r="AU42" s="143" t="s">
        <v>751</v>
      </c>
      <c r="AV42" s="143" t="s">
        <v>751</v>
      </c>
      <c r="AW42" s="143" t="s">
        <v>751</v>
      </c>
      <c r="AX42" s="149" t="s">
        <v>1521</v>
      </c>
      <c r="AY42" s="149"/>
    </row>
    <row r="43" spans="1:51" ht="195" x14ac:dyDescent="0.25">
      <c r="A43" s="139" t="s">
        <v>49</v>
      </c>
      <c r="B43" s="139" t="s">
        <v>1451</v>
      </c>
      <c r="C43" s="919"/>
      <c r="D43" s="930"/>
      <c r="E43" s="930"/>
      <c r="F43" s="139" t="s">
        <v>1511</v>
      </c>
      <c r="G43" s="930"/>
      <c r="H43" s="140" t="s">
        <v>1572</v>
      </c>
      <c r="I43" s="141" t="s">
        <v>1573</v>
      </c>
      <c r="J43" s="141">
        <v>1</v>
      </c>
      <c r="K43" s="141" t="s">
        <v>323</v>
      </c>
      <c r="L43" s="166">
        <v>1</v>
      </c>
      <c r="M43" s="154">
        <v>1</v>
      </c>
      <c r="N43" s="141" t="s">
        <v>1573</v>
      </c>
      <c r="O43" s="141">
        <v>1</v>
      </c>
      <c r="P43" s="171">
        <v>50000</v>
      </c>
      <c r="Q43" s="157">
        <v>12500</v>
      </c>
      <c r="R43" s="142">
        <v>0</v>
      </c>
      <c r="S43" s="142">
        <v>0</v>
      </c>
      <c r="T43" s="142">
        <v>0</v>
      </c>
      <c r="U43" s="142">
        <v>0</v>
      </c>
      <c r="V43" s="142">
        <v>0</v>
      </c>
      <c r="W43" s="142">
        <v>0</v>
      </c>
      <c r="X43" s="142">
        <v>0</v>
      </c>
      <c r="Y43" s="142">
        <v>0</v>
      </c>
      <c r="Z43" s="142">
        <v>0</v>
      </c>
      <c r="AA43" s="142">
        <v>0</v>
      </c>
      <c r="AB43" s="157">
        <v>37500</v>
      </c>
      <c r="AC43" s="142">
        <v>0</v>
      </c>
      <c r="AD43" s="142">
        <v>0</v>
      </c>
      <c r="AE43" s="141" t="s">
        <v>1515</v>
      </c>
      <c r="AF43" s="164" t="s">
        <v>1516</v>
      </c>
      <c r="AG43" s="143" t="s">
        <v>1527</v>
      </c>
      <c r="AH43" s="143" t="s">
        <v>397</v>
      </c>
      <c r="AI43" s="143" t="s">
        <v>1519</v>
      </c>
      <c r="AJ43" s="165">
        <v>1107740</v>
      </c>
      <c r="AK43" s="143" t="s">
        <v>1574</v>
      </c>
      <c r="AL43" s="142"/>
      <c r="AM43" s="142"/>
      <c r="AN43" s="142" t="s">
        <v>751</v>
      </c>
      <c r="AO43" s="142" t="s">
        <v>751</v>
      </c>
      <c r="AP43" s="142" t="s">
        <v>751</v>
      </c>
      <c r="AQ43" s="142" t="s">
        <v>751</v>
      </c>
      <c r="AR43" s="142" t="s">
        <v>751</v>
      </c>
      <c r="AS43" s="142" t="s">
        <v>751</v>
      </c>
      <c r="AT43" s="143" t="s">
        <v>751</v>
      </c>
      <c r="AU43" s="143" t="s">
        <v>751</v>
      </c>
      <c r="AV43" s="143" t="s">
        <v>751</v>
      </c>
      <c r="AW43" s="143" t="s">
        <v>751</v>
      </c>
      <c r="AX43" s="149" t="s">
        <v>1521</v>
      </c>
      <c r="AY43" s="149"/>
    </row>
    <row r="44" spans="1:51" ht="225" x14ac:dyDescent="0.25">
      <c r="A44" s="139" t="s">
        <v>49</v>
      </c>
      <c r="B44" s="139" t="s">
        <v>1451</v>
      </c>
      <c r="C44" s="919"/>
      <c r="D44" s="930"/>
      <c r="E44" s="930"/>
      <c r="F44" s="139" t="s">
        <v>1511</v>
      </c>
      <c r="G44" s="930"/>
      <c r="H44" s="140" t="s">
        <v>1575</v>
      </c>
      <c r="I44" s="141" t="s">
        <v>1576</v>
      </c>
      <c r="J44" s="141">
        <v>0</v>
      </c>
      <c r="K44" s="141" t="s">
        <v>323</v>
      </c>
      <c r="L44" s="166">
        <v>1</v>
      </c>
      <c r="M44" s="172">
        <v>42</v>
      </c>
      <c r="N44" s="141" t="s">
        <v>1576</v>
      </c>
      <c r="O44" s="142">
        <v>0</v>
      </c>
      <c r="P44" s="171">
        <v>40000</v>
      </c>
      <c r="Q44" s="171">
        <v>0</v>
      </c>
      <c r="R44" s="142">
        <v>0</v>
      </c>
      <c r="S44" s="142">
        <v>0</v>
      </c>
      <c r="T44" s="142">
        <v>0</v>
      </c>
      <c r="U44" s="157">
        <v>40000</v>
      </c>
      <c r="V44" s="142">
        <v>0</v>
      </c>
      <c r="W44" s="142">
        <v>0</v>
      </c>
      <c r="X44" s="142">
        <v>0</v>
      </c>
      <c r="Y44" s="142">
        <v>0</v>
      </c>
      <c r="Z44" s="142">
        <v>0</v>
      </c>
      <c r="AA44" s="142">
        <v>0</v>
      </c>
      <c r="AB44" s="142">
        <v>0</v>
      </c>
      <c r="AC44" s="142">
        <v>0</v>
      </c>
      <c r="AD44" s="142">
        <v>0</v>
      </c>
      <c r="AE44" s="141" t="s">
        <v>1515</v>
      </c>
      <c r="AF44" s="164" t="s">
        <v>1516</v>
      </c>
      <c r="AG44" s="143" t="s">
        <v>1527</v>
      </c>
      <c r="AH44" s="143" t="s">
        <v>397</v>
      </c>
      <c r="AI44" s="143" t="s">
        <v>1519</v>
      </c>
      <c r="AJ44" s="165">
        <v>1107740</v>
      </c>
      <c r="AK44" s="143" t="s">
        <v>1577</v>
      </c>
      <c r="AL44" s="142"/>
      <c r="AM44" s="142"/>
      <c r="AN44" s="142" t="s">
        <v>751</v>
      </c>
      <c r="AO44" s="142" t="s">
        <v>751</v>
      </c>
      <c r="AP44" s="142" t="s">
        <v>751</v>
      </c>
      <c r="AQ44" s="142" t="s">
        <v>751</v>
      </c>
      <c r="AR44" s="142" t="s">
        <v>751</v>
      </c>
      <c r="AS44" s="142" t="s">
        <v>751</v>
      </c>
      <c r="AT44" s="143" t="s">
        <v>751</v>
      </c>
      <c r="AU44" s="143" t="s">
        <v>751</v>
      </c>
      <c r="AV44" s="143" t="s">
        <v>751</v>
      </c>
      <c r="AW44" s="143" t="s">
        <v>751</v>
      </c>
      <c r="AX44" s="149" t="s">
        <v>1521</v>
      </c>
      <c r="AY44" s="149"/>
    </row>
    <row r="45" spans="1:51" ht="270" x14ac:dyDescent="0.25">
      <c r="A45" s="139" t="s">
        <v>49</v>
      </c>
      <c r="B45" s="139" t="s">
        <v>1451</v>
      </c>
      <c r="C45" s="919"/>
      <c r="D45" s="930"/>
      <c r="E45" s="930"/>
      <c r="F45" s="139" t="s">
        <v>1511</v>
      </c>
      <c r="G45" s="930"/>
      <c r="H45" s="140" t="s">
        <v>1578</v>
      </c>
      <c r="I45" s="141" t="s">
        <v>1579</v>
      </c>
      <c r="J45" s="141">
        <v>1</v>
      </c>
      <c r="K45" s="141" t="s">
        <v>323</v>
      </c>
      <c r="L45" s="166">
        <v>0.8</v>
      </c>
      <c r="M45" s="166">
        <v>0.3</v>
      </c>
      <c r="N45" s="141" t="s">
        <v>1579</v>
      </c>
      <c r="O45" s="166">
        <v>0.1</v>
      </c>
      <c r="P45" s="157">
        <v>175000</v>
      </c>
      <c r="Q45" s="157">
        <v>25000</v>
      </c>
      <c r="R45" s="142">
        <v>0</v>
      </c>
      <c r="S45" s="142">
        <v>0</v>
      </c>
      <c r="T45" s="142">
        <v>0</v>
      </c>
      <c r="U45" s="157">
        <v>150000</v>
      </c>
      <c r="V45" s="142">
        <v>0</v>
      </c>
      <c r="W45" s="142">
        <v>0</v>
      </c>
      <c r="X45" s="142">
        <v>0</v>
      </c>
      <c r="Y45" s="142">
        <v>0</v>
      </c>
      <c r="Z45" s="142">
        <v>0</v>
      </c>
      <c r="AA45" s="142">
        <v>0</v>
      </c>
      <c r="AB45" s="142">
        <v>0</v>
      </c>
      <c r="AC45" s="142">
        <v>0</v>
      </c>
      <c r="AD45" s="142">
        <v>0</v>
      </c>
      <c r="AE45" s="141" t="s">
        <v>1515</v>
      </c>
      <c r="AF45" s="164" t="s">
        <v>1516</v>
      </c>
      <c r="AG45" s="143" t="s">
        <v>1527</v>
      </c>
      <c r="AH45" s="143" t="s">
        <v>397</v>
      </c>
      <c r="AI45" s="143" t="s">
        <v>1519</v>
      </c>
      <c r="AJ45" s="165">
        <v>1107740</v>
      </c>
      <c r="AK45" s="143" t="s">
        <v>1580</v>
      </c>
      <c r="AL45" s="168"/>
      <c r="AM45" s="168"/>
      <c r="AN45" s="142" t="s">
        <v>751</v>
      </c>
      <c r="AO45" s="142" t="s">
        <v>751</v>
      </c>
      <c r="AP45" s="142" t="s">
        <v>751</v>
      </c>
      <c r="AQ45" s="142" t="s">
        <v>751</v>
      </c>
      <c r="AR45" s="142" t="s">
        <v>751</v>
      </c>
      <c r="AS45" s="142" t="s">
        <v>751</v>
      </c>
      <c r="AT45" s="143" t="s">
        <v>751</v>
      </c>
      <c r="AU45" s="143" t="s">
        <v>751</v>
      </c>
      <c r="AV45" s="143" t="s">
        <v>751</v>
      </c>
      <c r="AW45" s="143" t="s">
        <v>751</v>
      </c>
      <c r="AX45" s="149" t="s">
        <v>1521</v>
      </c>
      <c r="AY45" s="149"/>
    </row>
    <row r="46" spans="1:51" ht="195" x14ac:dyDescent="0.25">
      <c r="A46" s="139" t="s">
        <v>49</v>
      </c>
      <c r="B46" s="139" t="s">
        <v>1451</v>
      </c>
      <c r="C46" s="919"/>
      <c r="D46" s="930"/>
      <c r="E46" s="930"/>
      <c r="F46" s="139" t="s">
        <v>1511</v>
      </c>
      <c r="G46" s="930"/>
      <c r="H46" s="140" t="s">
        <v>1581</v>
      </c>
      <c r="I46" s="141" t="s">
        <v>1582</v>
      </c>
      <c r="J46" s="141">
        <v>1</v>
      </c>
      <c r="K46" s="141" t="s">
        <v>323</v>
      </c>
      <c r="L46" s="141">
        <v>1</v>
      </c>
      <c r="M46" s="142">
        <v>0.25</v>
      </c>
      <c r="N46" s="141" t="s">
        <v>1582</v>
      </c>
      <c r="O46" s="141">
        <v>0.25</v>
      </c>
      <c r="P46" s="171">
        <v>163200</v>
      </c>
      <c r="Q46" s="157">
        <v>100000</v>
      </c>
      <c r="R46" s="142">
        <v>0</v>
      </c>
      <c r="S46" s="142">
        <v>0</v>
      </c>
      <c r="T46" s="142">
        <v>0</v>
      </c>
      <c r="U46" s="142">
        <v>0</v>
      </c>
      <c r="V46" s="142">
        <v>0</v>
      </c>
      <c r="W46" s="142">
        <v>0</v>
      </c>
      <c r="X46" s="142">
        <v>0</v>
      </c>
      <c r="Y46" s="142">
        <v>0</v>
      </c>
      <c r="Z46" s="142">
        <v>0</v>
      </c>
      <c r="AA46" s="142">
        <v>0</v>
      </c>
      <c r="AB46" s="157">
        <v>63200</v>
      </c>
      <c r="AC46" s="142">
        <v>0</v>
      </c>
      <c r="AD46" s="142">
        <v>0</v>
      </c>
      <c r="AE46" s="141" t="s">
        <v>1515</v>
      </c>
      <c r="AF46" s="164" t="s">
        <v>1516</v>
      </c>
      <c r="AG46" s="143" t="s">
        <v>1527</v>
      </c>
      <c r="AH46" s="143" t="s">
        <v>397</v>
      </c>
      <c r="AI46" s="143" t="s">
        <v>1519</v>
      </c>
      <c r="AJ46" s="165">
        <v>1107740</v>
      </c>
      <c r="AK46" s="143" t="s">
        <v>1583</v>
      </c>
      <c r="AL46" s="142" t="s">
        <v>751</v>
      </c>
      <c r="AM46" s="142" t="s">
        <v>751</v>
      </c>
      <c r="AN46" s="142" t="s">
        <v>751</v>
      </c>
      <c r="AO46" s="142" t="s">
        <v>751</v>
      </c>
      <c r="AP46" s="142" t="s">
        <v>751</v>
      </c>
      <c r="AQ46" s="142" t="s">
        <v>751</v>
      </c>
      <c r="AR46" s="143" t="s">
        <v>751</v>
      </c>
      <c r="AS46" s="143" t="s">
        <v>751</v>
      </c>
      <c r="AT46" s="143" t="s">
        <v>751</v>
      </c>
      <c r="AU46" s="143" t="s">
        <v>751</v>
      </c>
      <c r="AV46" s="143" t="s">
        <v>751</v>
      </c>
      <c r="AW46" s="143" t="s">
        <v>751</v>
      </c>
      <c r="AX46" s="149" t="s">
        <v>1521</v>
      </c>
      <c r="AY46" s="149"/>
    </row>
    <row r="47" spans="1:51" ht="300" x14ac:dyDescent="0.25">
      <c r="A47" s="139" t="s">
        <v>49</v>
      </c>
      <c r="B47" s="139" t="s">
        <v>1451</v>
      </c>
      <c r="C47" s="919" t="s">
        <v>1584</v>
      </c>
      <c r="D47" s="919" t="s">
        <v>1585</v>
      </c>
      <c r="E47" s="919">
        <v>0</v>
      </c>
      <c r="F47" s="139" t="s">
        <v>1586</v>
      </c>
      <c r="G47" s="919" t="s">
        <v>1587</v>
      </c>
      <c r="H47" s="150" t="s">
        <v>1588</v>
      </c>
      <c r="I47" s="150" t="s">
        <v>1589</v>
      </c>
      <c r="J47" s="173" t="s">
        <v>1590</v>
      </c>
      <c r="K47" s="151" t="s">
        <v>323</v>
      </c>
      <c r="L47" s="151">
        <v>7</v>
      </c>
      <c r="M47" s="142">
        <v>3</v>
      </c>
      <c r="N47" s="151" t="s">
        <v>1589</v>
      </c>
      <c r="O47" s="142">
        <v>4</v>
      </c>
      <c r="P47" s="157">
        <v>55000</v>
      </c>
      <c r="Q47" s="157">
        <v>40000</v>
      </c>
      <c r="R47" s="142">
        <v>0</v>
      </c>
      <c r="S47" s="142">
        <v>0</v>
      </c>
      <c r="T47" s="142">
        <v>0</v>
      </c>
      <c r="U47" s="142">
        <v>0</v>
      </c>
      <c r="V47" s="142">
        <v>0</v>
      </c>
      <c r="W47" s="142">
        <v>0</v>
      </c>
      <c r="X47" s="142">
        <v>0</v>
      </c>
      <c r="Y47" s="157">
        <v>15000</v>
      </c>
      <c r="Z47" s="142">
        <v>0</v>
      </c>
      <c r="AA47" s="142">
        <v>0</v>
      </c>
      <c r="AB47" s="142">
        <v>0</v>
      </c>
      <c r="AC47" s="142">
        <v>0</v>
      </c>
      <c r="AD47" s="142">
        <v>0</v>
      </c>
      <c r="AE47" s="174" t="s">
        <v>1591</v>
      </c>
      <c r="AF47" s="174" t="s">
        <v>1592</v>
      </c>
      <c r="AG47" s="174" t="s">
        <v>1593</v>
      </c>
      <c r="AH47" s="162" t="s">
        <v>1594</v>
      </c>
      <c r="AI47" s="162" t="s">
        <v>1595</v>
      </c>
      <c r="AJ47" s="175">
        <v>419013900</v>
      </c>
      <c r="AK47" s="162" t="s">
        <v>1596</v>
      </c>
      <c r="AL47" s="162"/>
      <c r="AM47" s="176" t="s">
        <v>751</v>
      </c>
      <c r="AN47" s="177" t="s">
        <v>751</v>
      </c>
      <c r="AO47" s="177" t="s">
        <v>751</v>
      </c>
      <c r="AP47" s="177" t="s">
        <v>751</v>
      </c>
      <c r="AQ47" s="177" t="s">
        <v>751</v>
      </c>
      <c r="AR47" s="177" t="s">
        <v>751</v>
      </c>
      <c r="AS47" s="176" t="s">
        <v>751</v>
      </c>
      <c r="AT47" s="177" t="s">
        <v>751</v>
      </c>
      <c r="AU47" s="177" t="s">
        <v>751</v>
      </c>
      <c r="AV47" s="177" t="s">
        <v>751</v>
      </c>
      <c r="AW47" s="177" t="s">
        <v>751</v>
      </c>
      <c r="AX47" s="162" t="s">
        <v>1597</v>
      </c>
      <c r="AY47" s="162" t="s">
        <v>1598</v>
      </c>
    </row>
    <row r="48" spans="1:51" ht="409.5" x14ac:dyDescent="0.25">
      <c r="A48" s="139" t="s">
        <v>49</v>
      </c>
      <c r="B48" s="139" t="s">
        <v>1451</v>
      </c>
      <c r="C48" s="919"/>
      <c r="D48" s="919"/>
      <c r="E48" s="919"/>
      <c r="F48" s="139" t="s">
        <v>1586</v>
      </c>
      <c r="G48" s="919"/>
      <c r="H48" s="151" t="s">
        <v>1599</v>
      </c>
      <c r="I48" s="151" t="s">
        <v>1600</v>
      </c>
      <c r="J48" s="151" t="s">
        <v>1601</v>
      </c>
      <c r="K48" s="151" t="s">
        <v>323</v>
      </c>
      <c r="L48" s="151">
        <v>2</v>
      </c>
      <c r="M48" s="142">
        <v>0.5</v>
      </c>
      <c r="N48" s="151" t="s">
        <v>1600</v>
      </c>
      <c r="O48" s="142">
        <v>0.5</v>
      </c>
      <c r="P48" s="157">
        <v>35000</v>
      </c>
      <c r="Q48" s="157">
        <v>25000</v>
      </c>
      <c r="R48" s="142">
        <v>0</v>
      </c>
      <c r="S48" s="142">
        <v>0</v>
      </c>
      <c r="T48" s="142">
        <v>0</v>
      </c>
      <c r="U48" s="142">
        <v>0</v>
      </c>
      <c r="V48" s="142">
        <v>0</v>
      </c>
      <c r="W48" s="142">
        <v>0</v>
      </c>
      <c r="X48" s="142">
        <v>0</v>
      </c>
      <c r="Y48" s="157">
        <v>10000</v>
      </c>
      <c r="Z48" s="142">
        <v>0</v>
      </c>
      <c r="AA48" s="142">
        <v>0</v>
      </c>
      <c r="AB48" s="142">
        <v>0</v>
      </c>
      <c r="AC48" s="142">
        <v>0</v>
      </c>
      <c r="AD48" s="142">
        <v>0</v>
      </c>
      <c r="AE48" s="174" t="s">
        <v>1591</v>
      </c>
      <c r="AF48" s="174" t="s">
        <v>1592</v>
      </c>
      <c r="AG48" s="174" t="s">
        <v>1602</v>
      </c>
      <c r="AH48" s="162" t="s">
        <v>1603</v>
      </c>
      <c r="AI48" s="162" t="s">
        <v>1604</v>
      </c>
      <c r="AJ48" s="175">
        <v>419013900</v>
      </c>
      <c r="AK48" s="162" t="s">
        <v>1605</v>
      </c>
      <c r="AL48" s="162"/>
      <c r="AM48" s="176" t="s">
        <v>751</v>
      </c>
      <c r="AN48" s="177" t="s">
        <v>751</v>
      </c>
      <c r="AO48" s="177" t="s">
        <v>751</v>
      </c>
      <c r="AP48" s="177" t="s">
        <v>751</v>
      </c>
      <c r="AQ48" s="177" t="s">
        <v>751</v>
      </c>
      <c r="AR48" s="177" t="s">
        <v>751</v>
      </c>
      <c r="AS48" s="176" t="s">
        <v>751</v>
      </c>
      <c r="AT48" s="177" t="s">
        <v>751</v>
      </c>
      <c r="AU48" s="177" t="s">
        <v>751</v>
      </c>
      <c r="AV48" s="177" t="s">
        <v>751</v>
      </c>
      <c r="AW48" s="177" t="s">
        <v>751</v>
      </c>
      <c r="AX48" s="162" t="s">
        <v>1606</v>
      </c>
      <c r="AY48" s="152"/>
    </row>
    <row r="49" spans="1:51" ht="255" x14ac:dyDescent="0.25">
      <c r="A49" s="139" t="s">
        <v>49</v>
      </c>
      <c r="B49" s="139" t="s">
        <v>1451</v>
      </c>
      <c r="C49" s="919"/>
      <c r="D49" s="919"/>
      <c r="E49" s="919"/>
      <c r="F49" s="139" t="s">
        <v>1586</v>
      </c>
      <c r="G49" s="919"/>
      <c r="H49" s="150" t="s">
        <v>1607</v>
      </c>
      <c r="I49" s="150" t="s">
        <v>1608</v>
      </c>
      <c r="J49" s="151" t="s">
        <v>1609</v>
      </c>
      <c r="K49" s="151" t="s">
        <v>323</v>
      </c>
      <c r="L49" s="153">
        <v>1</v>
      </c>
      <c r="M49" s="142">
        <v>20</v>
      </c>
      <c r="N49" s="150" t="s">
        <v>1608</v>
      </c>
      <c r="O49" s="142">
        <v>27</v>
      </c>
      <c r="P49" s="157">
        <v>160000</v>
      </c>
      <c r="Q49" s="157">
        <v>50000</v>
      </c>
      <c r="R49" s="142">
        <v>0</v>
      </c>
      <c r="S49" s="142">
        <v>0</v>
      </c>
      <c r="T49" s="142">
        <v>0</v>
      </c>
      <c r="U49" s="142">
        <v>0</v>
      </c>
      <c r="V49" s="142">
        <v>0</v>
      </c>
      <c r="W49" s="142">
        <v>0</v>
      </c>
      <c r="X49" s="142">
        <v>0</v>
      </c>
      <c r="Y49" s="142">
        <v>0</v>
      </c>
      <c r="Z49" s="157">
        <v>110000</v>
      </c>
      <c r="AA49" s="142">
        <v>0</v>
      </c>
      <c r="AB49" s="142">
        <v>0</v>
      </c>
      <c r="AC49" s="142">
        <v>0</v>
      </c>
      <c r="AD49" s="142">
        <v>0</v>
      </c>
      <c r="AE49" s="174" t="s">
        <v>1591</v>
      </c>
      <c r="AF49" s="174" t="s">
        <v>1592</v>
      </c>
      <c r="AG49" s="174" t="s">
        <v>1610</v>
      </c>
      <c r="AH49" s="162" t="s">
        <v>1611</v>
      </c>
      <c r="AI49" s="162" t="s">
        <v>1612</v>
      </c>
      <c r="AJ49" s="175">
        <v>419013900</v>
      </c>
      <c r="AK49" s="162" t="s">
        <v>1613</v>
      </c>
      <c r="AL49" s="162"/>
      <c r="AM49" s="176" t="s">
        <v>751</v>
      </c>
      <c r="AN49" s="177" t="s">
        <v>751</v>
      </c>
      <c r="AO49" s="177" t="s">
        <v>751</v>
      </c>
      <c r="AP49" s="177" t="s">
        <v>751</v>
      </c>
      <c r="AQ49" s="177" t="s">
        <v>751</v>
      </c>
      <c r="AR49" s="177" t="s">
        <v>751</v>
      </c>
      <c r="AS49" s="177" t="s">
        <v>751</v>
      </c>
      <c r="AT49" s="177" t="s">
        <v>751</v>
      </c>
      <c r="AU49" s="177" t="s">
        <v>751</v>
      </c>
      <c r="AV49" s="177" t="s">
        <v>751</v>
      </c>
      <c r="AW49" s="177" t="s">
        <v>751</v>
      </c>
      <c r="AX49" s="149" t="s">
        <v>1606</v>
      </c>
      <c r="AY49" s="162"/>
    </row>
    <row r="50" spans="1:51" ht="409.5" x14ac:dyDescent="0.25">
      <c r="A50" s="139" t="s">
        <v>49</v>
      </c>
      <c r="B50" s="139" t="s">
        <v>1451</v>
      </c>
      <c r="C50" s="919"/>
      <c r="D50" s="919"/>
      <c r="E50" s="919"/>
      <c r="F50" s="139" t="s">
        <v>1586</v>
      </c>
      <c r="G50" s="919"/>
      <c r="H50" s="150" t="s">
        <v>1614</v>
      </c>
      <c r="I50" s="178" t="s">
        <v>1615</v>
      </c>
      <c r="J50" s="151">
        <v>0</v>
      </c>
      <c r="K50" s="151" t="s">
        <v>322</v>
      </c>
      <c r="L50" s="151">
        <v>1</v>
      </c>
      <c r="M50" s="142">
        <v>0.25</v>
      </c>
      <c r="N50" s="150" t="s">
        <v>1615</v>
      </c>
      <c r="O50" s="142">
        <v>0.25</v>
      </c>
      <c r="P50" s="157">
        <v>22500</v>
      </c>
      <c r="Q50" s="157">
        <v>7000</v>
      </c>
      <c r="R50" s="142">
        <v>0</v>
      </c>
      <c r="S50" s="142">
        <v>0</v>
      </c>
      <c r="T50" s="142">
        <v>0</v>
      </c>
      <c r="U50" s="142">
        <v>0</v>
      </c>
      <c r="V50" s="142">
        <v>0</v>
      </c>
      <c r="W50" s="142">
        <v>0</v>
      </c>
      <c r="X50" s="142">
        <v>0</v>
      </c>
      <c r="Y50" s="142">
        <v>0</v>
      </c>
      <c r="Z50" s="157">
        <v>15500</v>
      </c>
      <c r="AA50" s="142">
        <v>0</v>
      </c>
      <c r="AB50" s="142">
        <v>0</v>
      </c>
      <c r="AC50" s="142">
        <v>0</v>
      </c>
      <c r="AD50" s="142">
        <v>0</v>
      </c>
      <c r="AE50" s="174" t="s">
        <v>1591</v>
      </c>
      <c r="AF50" s="174" t="s">
        <v>1592</v>
      </c>
      <c r="AG50" s="174" t="s">
        <v>553</v>
      </c>
      <c r="AH50" s="162" t="s">
        <v>1616</v>
      </c>
      <c r="AI50" s="162" t="s">
        <v>1617</v>
      </c>
      <c r="AJ50" s="175">
        <v>419013900</v>
      </c>
      <c r="AK50" s="162" t="s">
        <v>1618</v>
      </c>
      <c r="AL50" s="162"/>
      <c r="AM50" s="176" t="s">
        <v>751</v>
      </c>
      <c r="AN50" s="177" t="s">
        <v>751</v>
      </c>
      <c r="AO50" s="177" t="s">
        <v>751</v>
      </c>
      <c r="AP50" s="177" t="s">
        <v>751</v>
      </c>
      <c r="AQ50" s="177" t="s">
        <v>751</v>
      </c>
      <c r="AR50" s="177" t="s">
        <v>751</v>
      </c>
      <c r="AS50" s="177" t="s">
        <v>751</v>
      </c>
      <c r="AT50" s="177" t="s">
        <v>751</v>
      </c>
      <c r="AU50" s="177" t="s">
        <v>751</v>
      </c>
      <c r="AV50" s="177" t="s">
        <v>751</v>
      </c>
      <c r="AW50" s="177" t="s">
        <v>751</v>
      </c>
      <c r="AX50" s="149" t="s">
        <v>1606</v>
      </c>
      <c r="AY50" s="152"/>
    </row>
    <row r="51" spans="1:51" ht="375" x14ac:dyDescent="0.25">
      <c r="A51" s="139" t="s">
        <v>49</v>
      </c>
      <c r="B51" s="139" t="s">
        <v>1451</v>
      </c>
      <c r="C51" s="919"/>
      <c r="D51" s="919"/>
      <c r="E51" s="919"/>
      <c r="F51" s="139" t="s">
        <v>1586</v>
      </c>
      <c r="G51" s="919"/>
      <c r="H51" s="150" t="s">
        <v>1619</v>
      </c>
      <c r="I51" s="150" t="s">
        <v>1620</v>
      </c>
      <c r="J51" s="151">
        <v>0</v>
      </c>
      <c r="K51" s="151" t="s">
        <v>323</v>
      </c>
      <c r="L51" s="151">
        <v>22</v>
      </c>
      <c r="M51" s="142">
        <v>5</v>
      </c>
      <c r="N51" s="151" t="s">
        <v>1620</v>
      </c>
      <c r="O51" s="142">
        <v>1</v>
      </c>
      <c r="P51" s="157">
        <v>800000</v>
      </c>
      <c r="Q51" s="157">
        <v>200000</v>
      </c>
      <c r="R51" s="142">
        <v>0</v>
      </c>
      <c r="S51" s="142">
        <v>0</v>
      </c>
      <c r="T51" s="142">
        <v>0</v>
      </c>
      <c r="U51" s="142">
        <v>0</v>
      </c>
      <c r="V51" s="142">
        <v>0</v>
      </c>
      <c r="W51" s="142">
        <v>0</v>
      </c>
      <c r="X51" s="142">
        <v>0</v>
      </c>
      <c r="Y51" s="157">
        <v>200000</v>
      </c>
      <c r="Z51" s="157">
        <v>400000</v>
      </c>
      <c r="AA51" s="142">
        <v>0</v>
      </c>
      <c r="AB51" s="142">
        <v>0</v>
      </c>
      <c r="AC51" s="142">
        <v>0</v>
      </c>
      <c r="AD51" s="142">
        <v>0</v>
      </c>
      <c r="AE51" s="174" t="s">
        <v>1621</v>
      </c>
      <c r="AF51" s="174" t="s">
        <v>1592</v>
      </c>
      <c r="AG51" s="174" t="s">
        <v>1622</v>
      </c>
      <c r="AH51" s="162" t="s">
        <v>1623</v>
      </c>
      <c r="AI51" s="162" t="s">
        <v>1624</v>
      </c>
      <c r="AJ51" s="175">
        <v>419013900</v>
      </c>
      <c r="AK51" s="174" t="s">
        <v>1625</v>
      </c>
      <c r="AL51" s="162"/>
      <c r="AM51" s="176" t="s">
        <v>751</v>
      </c>
      <c r="AN51" s="177" t="s">
        <v>751</v>
      </c>
      <c r="AO51" s="177" t="s">
        <v>751</v>
      </c>
      <c r="AP51" s="177" t="s">
        <v>751</v>
      </c>
      <c r="AQ51" s="177" t="s">
        <v>751</v>
      </c>
      <c r="AR51" s="177" t="s">
        <v>751</v>
      </c>
      <c r="AS51" s="177" t="s">
        <v>751</v>
      </c>
      <c r="AT51" s="177" t="s">
        <v>751</v>
      </c>
      <c r="AU51" s="177" t="s">
        <v>751</v>
      </c>
      <c r="AV51" s="177" t="s">
        <v>751</v>
      </c>
      <c r="AW51" s="177" t="s">
        <v>751</v>
      </c>
      <c r="AX51" s="162" t="s">
        <v>1597</v>
      </c>
      <c r="AY51" s="152"/>
    </row>
    <row r="52" spans="1:51" ht="409.5" x14ac:dyDescent="0.25">
      <c r="A52" s="139" t="s">
        <v>49</v>
      </c>
      <c r="B52" s="139" t="s">
        <v>1451</v>
      </c>
      <c r="C52" s="919"/>
      <c r="D52" s="919"/>
      <c r="E52" s="919"/>
      <c r="F52" s="139" t="s">
        <v>1586</v>
      </c>
      <c r="G52" s="919"/>
      <c r="H52" s="151" t="s">
        <v>1626</v>
      </c>
      <c r="I52" s="151" t="s">
        <v>1627</v>
      </c>
      <c r="J52" s="151">
        <v>0</v>
      </c>
      <c r="K52" s="151" t="s">
        <v>323</v>
      </c>
      <c r="L52" s="151">
        <v>1</v>
      </c>
      <c r="M52" s="142">
        <v>0.25</v>
      </c>
      <c r="N52" s="151" t="s">
        <v>1627</v>
      </c>
      <c r="O52" s="142">
        <v>0.25</v>
      </c>
      <c r="P52" s="157">
        <v>80000</v>
      </c>
      <c r="Q52" s="157">
        <v>30000</v>
      </c>
      <c r="R52" s="142">
        <v>0</v>
      </c>
      <c r="S52" s="142">
        <v>0</v>
      </c>
      <c r="T52" s="142">
        <v>0</v>
      </c>
      <c r="U52" s="142">
        <v>0</v>
      </c>
      <c r="V52" s="142">
        <v>0</v>
      </c>
      <c r="W52" s="142">
        <v>0</v>
      </c>
      <c r="X52" s="142">
        <v>0</v>
      </c>
      <c r="Y52" s="142">
        <v>0</v>
      </c>
      <c r="Z52" s="157">
        <v>50000</v>
      </c>
      <c r="AA52" s="142">
        <v>0</v>
      </c>
      <c r="AB52" s="142">
        <v>0</v>
      </c>
      <c r="AC52" s="142">
        <v>0</v>
      </c>
      <c r="AD52" s="142">
        <v>0</v>
      </c>
      <c r="AE52" s="174" t="s">
        <v>1621</v>
      </c>
      <c r="AF52" s="174" t="s">
        <v>1592</v>
      </c>
      <c r="AG52" s="174" t="s">
        <v>1628</v>
      </c>
      <c r="AH52" s="162" t="s">
        <v>1616</v>
      </c>
      <c r="AI52" s="162" t="s">
        <v>1629</v>
      </c>
      <c r="AJ52" s="175">
        <v>419013900</v>
      </c>
      <c r="AK52" s="162" t="s">
        <v>1630</v>
      </c>
      <c r="AL52" s="162"/>
      <c r="AM52" s="176" t="s">
        <v>751</v>
      </c>
      <c r="AN52" s="177" t="s">
        <v>751</v>
      </c>
      <c r="AO52" s="177" t="s">
        <v>751</v>
      </c>
      <c r="AP52" s="177" t="s">
        <v>751</v>
      </c>
      <c r="AQ52" s="177" t="s">
        <v>751</v>
      </c>
      <c r="AR52" s="177" t="s">
        <v>751</v>
      </c>
      <c r="AS52" s="176" t="s">
        <v>751</v>
      </c>
      <c r="AT52" s="177" t="s">
        <v>751</v>
      </c>
      <c r="AU52" s="177" t="s">
        <v>751</v>
      </c>
      <c r="AV52" s="177" t="s">
        <v>751</v>
      </c>
      <c r="AW52" s="177" t="s">
        <v>751</v>
      </c>
      <c r="AX52" s="162" t="s">
        <v>1631</v>
      </c>
      <c r="AY52" s="162"/>
    </row>
    <row r="53" spans="1:51" ht="225" x14ac:dyDescent="0.25">
      <c r="A53" s="139" t="s">
        <v>49</v>
      </c>
      <c r="B53" s="139" t="s">
        <v>1451</v>
      </c>
      <c r="C53" s="919"/>
      <c r="D53" s="919"/>
      <c r="E53" s="919"/>
      <c r="F53" s="139" t="s">
        <v>1586</v>
      </c>
      <c r="G53" s="919"/>
      <c r="H53" s="151" t="s">
        <v>1632</v>
      </c>
      <c r="I53" s="151" t="s">
        <v>1633</v>
      </c>
      <c r="J53" s="159">
        <v>0</v>
      </c>
      <c r="K53" s="151" t="s">
        <v>323</v>
      </c>
      <c r="L53" s="160">
        <v>0.1</v>
      </c>
      <c r="M53" s="154">
        <v>0.05</v>
      </c>
      <c r="N53" s="151" t="s">
        <v>1633</v>
      </c>
      <c r="O53" s="154">
        <v>0.01</v>
      </c>
      <c r="P53" s="157">
        <v>467500</v>
      </c>
      <c r="Q53" s="157">
        <v>22500</v>
      </c>
      <c r="R53" s="142">
        <v>0</v>
      </c>
      <c r="S53" s="142">
        <v>0</v>
      </c>
      <c r="T53" s="142">
        <v>0</v>
      </c>
      <c r="U53" s="142">
        <v>0</v>
      </c>
      <c r="V53" s="142">
        <v>0</v>
      </c>
      <c r="W53" s="142">
        <v>0</v>
      </c>
      <c r="X53" s="142">
        <v>0</v>
      </c>
      <c r="Y53" s="157">
        <v>50000</v>
      </c>
      <c r="Z53" s="157">
        <v>395000</v>
      </c>
      <c r="AA53" s="142">
        <v>0</v>
      </c>
      <c r="AB53" s="157"/>
      <c r="AC53" s="142">
        <v>0</v>
      </c>
      <c r="AD53" s="142">
        <v>0</v>
      </c>
      <c r="AE53" s="174" t="s">
        <v>1621</v>
      </c>
      <c r="AF53" s="174" t="s">
        <v>1592</v>
      </c>
      <c r="AG53" s="174" t="s">
        <v>1634</v>
      </c>
      <c r="AH53" s="162" t="s">
        <v>1616</v>
      </c>
      <c r="AI53" s="162" t="s">
        <v>1635</v>
      </c>
      <c r="AJ53" s="175">
        <v>419013900</v>
      </c>
      <c r="AK53" s="162" t="s">
        <v>1636</v>
      </c>
      <c r="AL53" s="162"/>
      <c r="AM53" s="176" t="s">
        <v>751</v>
      </c>
      <c r="AN53" s="177" t="s">
        <v>751</v>
      </c>
      <c r="AO53" s="177" t="s">
        <v>751</v>
      </c>
      <c r="AP53" s="177" t="s">
        <v>751</v>
      </c>
      <c r="AQ53" s="177" t="s">
        <v>751</v>
      </c>
      <c r="AR53" s="177" t="s">
        <v>751</v>
      </c>
      <c r="AS53" s="177" t="s">
        <v>751</v>
      </c>
      <c r="AT53" s="177" t="s">
        <v>751</v>
      </c>
      <c r="AU53" s="177" t="s">
        <v>751</v>
      </c>
      <c r="AV53" s="177" t="s">
        <v>751</v>
      </c>
      <c r="AW53" s="177" t="s">
        <v>751</v>
      </c>
      <c r="AX53" s="162" t="s">
        <v>1597</v>
      </c>
      <c r="AY53" s="162"/>
    </row>
    <row r="54" spans="1:51" ht="315" x14ac:dyDescent="0.25">
      <c r="A54" s="15" t="s">
        <v>223</v>
      </c>
      <c r="B54" s="150" t="s">
        <v>1637</v>
      </c>
      <c r="C54" s="920" t="s">
        <v>1638</v>
      </c>
      <c r="D54" s="920" t="s">
        <v>1639</v>
      </c>
      <c r="E54" s="920">
        <v>1509</v>
      </c>
      <c r="F54" s="139" t="s">
        <v>1640</v>
      </c>
      <c r="G54" s="919" t="s">
        <v>1641</v>
      </c>
      <c r="H54" s="15" t="s">
        <v>1642</v>
      </c>
      <c r="I54" s="15" t="s">
        <v>1643</v>
      </c>
      <c r="J54" s="159">
        <v>0</v>
      </c>
      <c r="K54" s="159" t="s">
        <v>323</v>
      </c>
      <c r="L54" s="159">
        <v>20</v>
      </c>
      <c r="M54" s="142">
        <v>7</v>
      </c>
      <c r="N54" s="151" t="s">
        <v>1643</v>
      </c>
      <c r="O54" s="159">
        <v>2</v>
      </c>
      <c r="P54" s="157">
        <v>150000</v>
      </c>
      <c r="Q54" s="157">
        <v>50000</v>
      </c>
      <c r="R54" s="142">
        <v>0</v>
      </c>
      <c r="S54" s="142">
        <v>0</v>
      </c>
      <c r="T54" s="142">
        <v>0</v>
      </c>
      <c r="U54" s="157">
        <v>25000</v>
      </c>
      <c r="V54" s="142">
        <v>0</v>
      </c>
      <c r="W54" s="142">
        <v>0</v>
      </c>
      <c r="X54" s="142">
        <v>0</v>
      </c>
      <c r="Y54" s="157">
        <v>5000</v>
      </c>
      <c r="Z54" s="142">
        <v>0</v>
      </c>
      <c r="AA54" s="142">
        <v>0</v>
      </c>
      <c r="AB54" s="157">
        <v>70000</v>
      </c>
      <c r="AC54" s="142">
        <v>0</v>
      </c>
      <c r="AD54" s="142">
        <v>0</v>
      </c>
      <c r="AE54" s="149" t="s">
        <v>1644</v>
      </c>
      <c r="AF54" s="149" t="s">
        <v>1645</v>
      </c>
      <c r="AG54" s="179" t="s">
        <v>579</v>
      </c>
      <c r="AH54" s="180" t="s">
        <v>580</v>
      </c>
      <c r="AI54" s="181" t="s">
        <v>1646</v>
      </c>
      <c r="AJ54" s="182">
        <v>1405201</v>
      </c>
      <c r="AK54" s="183" t="s">
        <v>1647</v>
      </c>
      <c r="AL54" s="184"/>
      <c r="AM54" s="185" t="s">
        <v>751</v>
      </c>
      <c r="AN54" s="185" t="s">
        <v>751</v>
      </c>
      <c r="AO54" s="185" t="s">
        <v>751</v>
      </c>
      <c r="AP54" s="185" t="s">
        <v>751</v>
      </c>
      <c r="AQ54" s="185" t="s">
        <v>751</v>
      </c>
      <c r="AR54" s="185" t="s">
        <v>751</v>
      </c>
      <c r="AS54" s="185" t="s">
        <v>751</v>
      </c>
      <c r="AT54" s="185" t="s">
        <v>751</v>
      </c>
      <c r="AU54" s="185" t="s">
        <v>751</v>
      </c>
      <c r="AV54" s="185" t="s">
        <v>751</v>
      </c>
      <c r="AW54" s="185" t="s">
        <v>751</v>
      </c>
      <c r="AX54" s="186" t="s">
        <v>1648</v>
      </c>
      <c r="AY54" s="184"/>
    </row>
    <row r="55" spans="1:51" ht="409.5" x14ac:dyDescent="0.25">
      <c r="A55" s="15" t="s">
        <v>223</v>
      </c>
      <c r="B55" s="150" t="s">
        <v>1637</v>
      </c>
      <c r="C55" s="920"/>
      <c r="D55" s="920"/>
      <c r="E55" s="920"/>
      <c r="F55" s="139" t="s">
        <v>1640</v>
      </c>
      <c r="G55" s="919"/>
      <c r="H55" s="15" t="s">
        <v>1649</v>
      </c>
      <c r="I55" s="15" t="s">
        <v>1650</v>
      </c>
      <c r="J55" s="159">
        <v>0</v>
      </c>
      <c r="K55" s="159" t="s">
        <v>323</v>
      </c>
      <c r="L55" s="159">
        <v>1400</v>
      </c>
      <c r="M55" s="142">
        <v>560</v>
      </c>
      <c r="N55" s="151" t="s">
        <v>1650</v>
      </c>
      <c r="O55" s="159">
        <v>70</v>
      </c>
      <c r="P55" s="157">
        <v>325000</v>
      </c>
      <c r="Q55" s="157">
        <v>75000</v>
      </c>
      <c r="R55" s="142">
        <v>0</v>
      </c>
      <c r="S55" s="142">
        <v>0</v>
      </c>
      <c r="T55" s="142">
        <v>0</v>
      </c>
      <c r="U55" s="157">
        <v>75000</v>
      </c>
      <c r="V55" s="142">
        <v>0</v>
      </c>
      <c r="W55" s="142">
        <v>0</v>
      </c>
      <c r="X55" s="142">
        <v>0</v>
      </c>
      <c r="Y55" s="157">
        <v>25000</v>
      </c>
      <c r="Z55" s="142">
        <v>0</v>
      </c>
      <c r="AA55" s="142">
        <v>0</v>
      </c>
      <c r="AB55" s="157">
        <v>150000</v>
      </c>
      <c r="AC55" s="142">
        <v>0</v>
      </c>
      <c r="AD55" s="142">
        <v>0</v>
      </c>
      <c r="AE55" s="149" t="s">
        <v>1644</v>
      </c>
      <c r="AF55" s="149" t="s">
        <v>1645</v>
      </c>
      <c r="AG55" s="149" t="s">
        <v>1651</v>
      </c>
      <c r="AH55" s="183" t="s">
        <v>1652</v>
      </c>
      <c r="AI55" s="187" t="s">
        <v>1653</v>
      </c>
      <c r="AJ55" s="182">
        <v>1405201</v>
      </c>
      <c r="AK55" s="183" t="s">
        <v>1654</v>
      </c>
      <c r="AL55" s="184"/>
      <c r="AM55" s="185" t="s">
        <v>751</v>
      </c>
      <c r="AN55" s="185" t="s">
        <v>751</v>
      </c>
      <c r="AO55" s="185" t="s">
        <v>751</v>
      </c>
      <c r="AP55" s="185" t="s">
        <v>751</v>
      </c>
      <c r="AQ55" s="185" t="s">
        <v>751</v>
      </c>
      <c r="AR55" s="185" t="s">
        <v>751</v>
      </c>
      <c r="AS55" s="185" t="s">
        <v>751</v>
      </c>
      <c r="AT55" s="185" t="s">
        <v>751</v>
      </c>
      <c r="AU55" s="185" t="s">
        <v>751</v>
      </c>
      <c r="AV55" s="185" t="s">
        <v>751</v>
      </c>
      <c r="AW55" s="185" t="s">
        <v>751</v>
      </c>
      <c r="AX55" s="186" t="s">
        <v>1648</v>
      </c>
      <c r="AY55" s="184"/>
    </row>
    <row r="56" spans="1:51" ht="315" x14ac:dyDescent="0.25">
      <c r="A56" s="15" t="s">
        <v>223</v>
      </c>
      <c r="B56" s="150" t="s">
        <v>1637</v>
      </c>
      <c r="C56" s="920"/>
      <c r="D56" s="920"/>
      <c r="E56" s="920"/>
      <c r="F56" s="139" t="s">
        <v>1640</v>
      </c>
      <c r="G56" s="919"/>
      <c r="H56" s="15" t="s">
        <v>1655</v>
      </c>
      <c r="I56" s="15" t="s">
        <v>1656</v>
      </c>
      <c r="J56" s="159">
        <v>0</v>
      </c>
      <c r="K56" s="159" t="s">
        <v>323</v>
      </c>
      <c r="L56" s="159">
        <v>45</v>
      </c>
      <c r="M56" s="142">
        <v>15</v>
      </c>
      <c r="N56" s="151" t="s">
        <v>1656</v>
      </c>
      <c r="O56" s="159">
        <v>4</v>
      </c>
      <c r="P56" s="157">
        <v>160000</v>
      </c>
      <c r="Q56" s="157">
        <v>40000</v>
      </c>
      <c r="R56" s="142">
        <v>0</v>
      </c>
      <c r="S56" s="142">
        <v>0</v>
      </c>
      <c r="T56" s="142">
        <v>0</v>
      </c>
      <c r="U56" s="157">
        <v>75000</v>
      </c>
      <c r="V56" s="142">
        <v>0</v>
      </c>
      <c r="W56" s="142">
        <v>0</v>
      </c>
      <c r="X56" s="142">
        <v>0</v>
      </c>
      <c r="Y56" s="157">
        <v>35000</v>
      </c>
      <c r="Z56" s="142">
        <v>0</v>
      </c>
      <c r="AA56" s="142">
        <v>0</v>
      </c>
      <c r="AB56" s="157">
        <v>10000</v>
      </c>
      <c r="AC56" s="142">
        <v>0</v>
      </c>
      <c r="AD56" s="142">
        <v>0</v>
      </c>
      <c r="AE56" s="149" t="s">
        <v>1644</v>
      </c>
      <c r="AF56" s="149" t="s">
        <v>1645</v>
      </c>
      <c r="AG56" s="149" t="s">
        <v>1657</v>
      </c>
      <c r="AH56" s="183" t="s">
        <v>1658</v>
      </c>
      <c r="AI56" s="188" t="s">
        <v>1659</v>
      </c>
      <c r="AJ56" s="182">
        <v>1405201</v>
      </c>
      <c r="AK56" s="183" t="s">
        <v>1660</v>
      </c>
      <c r="AL56" s="184"/>
      <c r="AM56" s="185" t="s">
        <v>751</v>
      </c>
      <c r="AN56" s="185" t="s">
        <v>751</v>
      </c>
      <c r="AO56" s="185" t="s">
        <v>751</v>
      </c>
      <c r="AP56" s="185" t="s">
        <v>751</v>
      </c>
      <c r="AQ56" s="185" t="s">
        <v>751</v>
      </c>
      <c r="AR56" s="185" t="s">
        <v>751</v>
      </c>
      <c r="AS56" s="185" t="s">
        <v>751</v>
      </c>
      <c r="AT56" s="185" t="s">
        <v>751</v>
      </c>
      <c r="AU56" s="185" t="s">
        <v>751</v>
      </c>
      <c r="AV56" s="185" t="s">
        <v>751</v>
      </c>
      <c r="AW56" s="185" t="s">
        <v>751</v>
      </c>
      <c r="AX56" s="186" t="s">
        <v>1648</v>
      </c>
      <c r="AY56" s="152"/>
    </row>
    <row r="57" spans="1:51" ht="315" x14ac:dyDescent="0.25">
      <c r="A57" s="15" t="s">
        <v>223</v>
      </c>
      <c r="B57" s="150" t="s">
        <v>1637</v>
      </c>
      <c r="C57" s="920"/>
      <c r="D57" s="920"/>
      <c r="E57" s="920"/>
      <c r="F57" s="139" t="s">
        <v>1640</v>
      </c>
      <c r="G57" s="919"/>
      <c r="H57" s="15" t="s">
        <v>1661</v>
      </c>
      <c r="I57" s="15" t="s">
        <v>1662</v>
      </c>
      <c r="J57" s="159">
        <v>0</v>
      </c>
      <c r="K57" s="159" t="s">
        <v>323</v>
      </c>
      <c r="L57" s="159">
        <v>300</v>
      </c>
      <c r="M57" s="142">
        <v>105</v>
      </c>
      <c r="N57" s="151" t="s">
        <v>1662</v>
      </c>
      <c r="O57" s="159">
        <v>60</v>
      </c>
      <c r="P57" s="157">
        <v>175000</v>
      </c>
      <c r="Q57" s="157">
        <v>60000</v>
      </c>
      <c r="R57" s="142">
        <v>0</v>
      </c>
      <c r="S57" s="142">
        <v>0</v>
      </c>
      <c r="T57" s="142">
        <v>0</v>
      </c>
      <c r="U57" s="157">
        <v>85000</v>
      </c>
      <c r="V57" s="142">
        <v>0</v>
      </c>
      <c r="W57" s="142">
        <v>0</v>
      </c>
      <c r="X57" s="142">
        <v>0</v>
      </c>
      <c r="Y57" s="157"/>
      <c r="Z57" s="142">
        <v>0</v>
      </c>
      <c r="AA57" s="142">
        <v>0</v>
      </c>
      <c r="AB57" s="157">
        <v>30000</v>
      </c>
      <c r="AC57" s="142">
        <v>0</v>
      </c>
      <c r="AD57" s="142">
        <v>0</v>
      </c>
      <c r="AE57" s="149" t="s">
        <v>1644</v>
      </c>
      <c r="AF57" s="149" t="s">
        <v>1645</v>
      </c>
      <c r="AG57" s="149" t="s">
        <v>1663</v>
      </c>
      <c r="AH57" s="183" t="s">
        <v>580</v>
      </c>
      <c r="AI57" s="187" t="s">
        <v>1664</v>
      </c>
      <c r="AJ57" s="182">
        <v>1405201</v>
      </c>
      <c r="AK57" s="183" t="s">
        <v>1665</v>
      </c>
      <c r="AL57" s="184"/>
      <c r="AM57" s="185" t="s">
        <v>751</v>
      </c>
      <c r="AN57" s="185" t="s">
        <v>751</v>
      </c>
      <c r="AO57" s="185" t="s">
        <v>751</v>
      </c>
      <c r="AP57" s="185" t="s">
        <v>751</v>
      </c>
      <c r="AQ57" s="185" t="s">
        <v>751</v>
      </c>
      <c r="AR57" s="185" t="s">
        <v>751</v>
      </c>
      <c r="AS57" s="185" t="s">
        <v>751</v>
      </c>
      <c r="AT57" s="185" t="s">
        <v>751</v>
      </c>
      <c r="AU57" s="185" t="s">
        <v>751</v>
      </c>
      <c r="AV57" s="185" t="s">
        <v>751</v>
      </c>
      <c r="AW57" s="185" t="s">
        <v>751</v>
      </c>
      <c r="AX57" s="186" t="s">
        <v>1648</v>
      </c>
      <c r="AY57" s="152"/>
    </row>
    <row r="58" spans="1:51" ht="315" x14ac:dyDescent="0.25">
      <c r="A58" s="15" t="s">
        <v>223</v>
      </c>
      <c r="B58" s="150" t="s">
        <v>1637</v>
      </c>
      <c r="C58" s="920"/>
      <c r="D58" s="920"/>
      <c r="E58" s="920"/>
      <c r="F58" s="139" t="s">
        <v>1640</v>
      </c>
      <c r="G58" s="919"/>
      <c r="H58" s="15" t="s">
        <v>1666</v>
      </c>
      <c r="I58" s="15" t="s">
        <v>1667</v>
      </c>
      <c r="J58" s="159">
        <v>0</v>
      </c>
      <c r="K58" s="159" t="s">
        <v>323</v>
      </c>
      <c r="L58" s="159">
        <v>7</v>
      </c>
      <c r="M58" s="142">
        <v>3</v>
      </c>
      <c r="N58" s="151" t="s">
        <v>1667</v>
      </c>
      <c r="O58" s="159">
        <v>1</v>
      </c>
      <c r="P58" s="157">
        <v>175000</v>
      </c>
      <c r="Q58" s="157">
        <v>25000</v>
      </c>
      <c r="R58" s="142">
        <v>0</v>
      </c>
      <c r="S58" s="142">
        <v>0</v>
      </c>
      <c r="T58" s="142">
        <v>0</v>
      </c>
      <c r="U58" s="157">
        <v>25000</v>
      </c>
      <c r="V58" s="142">
        <v>0</v>
      </c>
      <c r="W58" s="142">
        <v>0</v>
      </c>
      <c r="X58" s="142">
        <v>0</v>
      </c>
      <c r="Y58" s="157">
        <v>40000</v>
      </c>
      <c r="Z58" s="142">
        <v>0</v>
      </c>
      <c r="AA58" s="142">
        <v>0</v>
      </c>
      <c r="AB58" s="157">
        <v>85000</v>
      </c>
      <c r="AC58" s="142">
        <v>0</v>
      </c>
      <c r="AD58" s="142">
        <v>0</v>
      </c>
      <c r="AE58" s="149" t="s">
        <v>1644</v>
      </c>
      <c r="AF58" s="149" t="s">
        <v>1645</v>
      </c>
      <c r="AG58" s="149" t="s">
        <v>1663</v>
      </c>
      <c r="AH58" s="183" t="s">
        <v>580</v>
      </c>
      <c r="AI58" s="187" t="s">
        <v>1668</v>
      </c>
      <c r="AJ58" s="182">
        <v>1405201</v>
      </c>
      <c r="AK58" s="183" t="s">
        <v>1669</v>
      </c>
      <c r="AL58" s="184"/>
      <c r="AM58" s="185" t="s">
        <v>751</v>
      </c>
      <c r="AN58" s="185" t="s">
        <v>751</v>
      </c>
      <c r="AO58" s="185" t="s">
        <v>751</v>
      </c>
      <c r="AP58" s="185" t="s">
        <v>751</v>
      </c>
      <c r="AQ58" s="185" t="s">
        <v>751</v>
      </c>
      <c r="AR58" s="185" t="s">
        <v>751</v>
      </c>
      <c r="AS58" s="185" t="s">
        <v>751</v>
      </c>
      <c r="AT58" s="185" t="s">
        <v>751</v>
      </c>
      <c r="AU58" s="185" t="s">
        <v>751</v>
      </c>
      <c r="AV58" s="185" t="s">
        <v>751</v>
      </c>
      <c r="AW58" s="185" t="s">
        <v>751</v>
      </c>
      <c r="AX58" s="186" t="s">
        <v>1648</v>
      </c>
      <c r="AY58" s="152"/>
    </row>
    <row r="59" spans="1:51" ht="315" x14ac:dyDescent="0.25">
      <c r="A59" s="15" t="s">
        <v>223</v>
      </c>
      <c r="B59" s="150" t="s">
        <v>1637</v>
      </c>
      <c r="C59" s="920" t="s">
        <v>1670</v>
      </c>
      <c r="D59" s="920" t="s">
        <v>1671</v>
      </c>
      <c r="E59" s="927">
        <v>0</v>
      </c>
      <c r="F59" s="139" t="s">
        <v>1640</v>
      </c>
      <c r="G59" s="919"/>
      <c r="H59" s="15" t="s">
        <v>1672</v>
      </c>
      <c r="I59" s="15" t="s">
        <v>1673</v>
      </c>
      <c r="J59" s="159">
        <v>0</v>
      </c>
      <c r="K59" s="159" t="s">
        <v>323</v>
      </c>
      <c r="L59" s="159">
        <v>5</v>
      </c>
      <c r="M59" s="142">
        <v>2</v>
      </c>
      <c r="N59" s="151" t="s">
        <v>1673</v>
      </c>
      <c r="O59" s="159">
        <v>1</v>
      </c>
      <c r="P59" s="157">
        <v>140000</v>
      </c>
      <c r="Q59" s="157">
        <v>50000</v>
      </c>
      <c r="R59" s="142">
        <v>0</v>
      </c>
      <c r="S59" s="142">
        <v>0</v>
      </c>
      <c r="T59" s="142">
        <v>0</v>
      </c>
      <c r="U59" s="142">
        <v>0</v>
      </c>
      <c r="V59" s="142">
        <v>0</v>
      </c>
      <c r="W59" s="142">
        <v>0</v>
      </c>
      <c r="X59" s="142">
        <v>0</v>
      </c>
      <c r="Y59" s="142">
        <v>0</v>
      </c>
      <c r="Z59" s="142">
        <v>0</v>
      </c>
      <c r="AA59" s="142">
        <v>0</v>
      </c>
      <c r="AB59" s="157">
        <v>90000</v>
      </c>
      <c r="AC59" s="142">
        <v>0</v>
      </c>
      <c r="AD59" s="142">
        <v>0</v>
      </c>
      <c r="AE59" s="149" t="s">
        <v>1644</v>
      </c>
      <c r="AF59" s="149" t="s">
        <v>1645</v>
      </c>
      <c r="AG59" s="149" t="s">
        <v>1674</v>
      </c>
      <c r="AH59" s="183" t="s">
        <v>1675</v>
      </c>
      <c r="AI59" s="187" t="s">
        <v>1676</v>
      </c>
      <c r="AJ59" s="182">
        <v>1405201</v>
      </c>
      <c r="AK59" s="183" t="s">
        <v>1677</v>
      </c>
      <c r="AL59" s="184"/>
      <c r="AM59" s="185" t="s">
        <v>751</v>
      </c>
      <c r="AN59" s="185" t="s">
        <v>751</v>
      </c>
      <c r="AO59" s="185" t="s">
        <v>751</v>
      </c>
      <c r="AP59" s="185" t="s">
        <v>751</v>
      </c>
      <c r="AQ59" s="185" t="s">
        <v>751</v>
      </c>
      <c r="AR59" s="185" t="s">
        <v>751</v>
      </c>
      <c r="AS59" s="185" t="s">
        <v>751</v>
      </c>
      <c r="AT59" s="185" t="s">
        <v>751</v>
      </c>
      <c r="AU59" s="185" t="s">
        <v>751</v>
      </c>
      <c r="AV59" s="185" t="s">
        <v>751</v>
      </c>
      <c r="AW59" s="185" t="s">
        <v>751</v>
      </c>
      <c r="AX59" s="186" t="s">
        <v>1648</v>
      </c>
      <c r="AY59" s="152"/>
    </row>
    <row r="60" spans="1:51" ht="409.5" x14ac:dyDescent="0.25">
      <c r="A60" s="15" t="s">
        <v>223</v>
      </c>
      <c r="B60" s="150" t="s">
        <v>1637</v>
      </c>
      <c r="C60" s="920"/>
      <c r="D60" s="920"/>
      <c r="E60" s="928"/>
      <c r="F60" s="139" t="s">
        <v>1640</v>
      </c>
      <c r="G60" s="919"/>
      <c r="H60" s="150" t="s">
        <v>1678</v>
      </c>
      <c r="I60" s="15" t="s">
        <v>1679</v>
      </c>
      <c r="J60" s="159">
        <v>0</v>
      </c>
      <c r="K60" s="159" t="s">
        <v>323</v>
      </c>
      <c r="L60" s="159">
        <v>1</v>
      </c>
      <c r="M60" s="189">
        <v>0.45</v>
      </c>
      <c r="N60" s="151" t="s">
        <v>1679</v>
      </c>
      <c r="O60" s="159">
        <v>0.1</v>
      </c>
      <c r="P60" s="157">
        <v>140000</v>
      </c>
      <c r="Q60" s="157">
        <v>80000</v>
      </c>
      <c r="R60" s="142">
        <v>0</v>
      </c>
      <c r="S60" s="142">
        <v>0</v>
      </c>
      <c r="T60" s="142">
        <v>0</v>
      </c>
      <c r="U60" s="142">
        <v>0</v>
      </c>
      <c r="V60" s="142">
        <v>0</v>
      </c>
      <c r="W60" s="142">
        <v>0</v>
      </c>
      <c r="X60" s="142">
        <v>0</v>
      </c>
      <c r="Y60" s="142">
        <v>0</v>
      </c>
      <c r="Z60" s="142">
        <v>0</v>
      </c>
      <c r="AA60" s="142">
        <v>0</v>
      </c>
      <c r="AB60" s="157">
        <v>60000</v>
      </c>
      <c r="AC60" s="142">
        <v>0</v>
      </c>
      <c r="AD60" s="142">
        <v>0</v>
      </c>
      <c r="AE60" s="149" t="s">
        <v>1644</v>
      </c>
      <c r="AF60" s="149" t="s">
        <v>1645</v>
      </c>
      <c r="AG60" s="149" t="s">
        <v>1680</v>
      </c>
      <c r="AH60" s="183" t="s">
        <v>1681</v>
      </c>
      <c r="AI60" s="187" t="s">
        <v>1682</v>
      </c>
      <c r="AJ60" s="182">
        <v>1405201</v>
      </c>
      <c r="AK60" s="183" t="s">
        <v>1683</v>
      </c>
      <c r="AL60" s="152"/>
      <c r="AM60" s="185" t="s">
        <v>751</v>
      </c>
      <c r="AN60" s="185" t="s">
        <v>751</v>
      </c>
      <c r="AO60" s="185" t="s">
        <v>751</v>
      </c>
      <c r="AP60" s="185" t="s">
        <v>751</v>
      </c>
      <c r="AQ60" s="185" t="s">
        <v>751</v>
      </c>
      <c r="AR60" s="185" t="s">
        <v>751</v>
      </c>
      <c r="AS60" s="185" t="s">
        <v>751</v>
      </c>
      <c r="AT60" s="185" t="s">
        <v>751</v>
      </c>
      <c r="AU60" s="185" t="s">
        <v>751</v>
      </c>
      <c r="AV60" s="185" t="s">
        <v>751</v>
      </c>
      <c r="AW60" s="185" t="s">
        <v>751</v>
      </c>
      <c r="AX60" s="186" t="s">
        <v>1648</v>
      </c>
      <c r="AY60" s="152"/>
    </row>
    <row r="61" spans="1:51" ht="315" x14ac:dyDescent="0.25">
      <c r="A61" s="15" t="s">
        <v>223</v>
      </c>
      <c r="B61" s="150" t="s">
        <v>1637</v>
      </c>
      <c r="C61" s="920"/>
      <c r="D61" s="920"/>
      <c r="E61" s="928"/>
      <c r="F61" s="139" t="s">
        <v>1640</v>
      </c>
      <c r="G61" s="919"/>
      <c r="H61" s="150" t="s">
        <v>1684</v>
      </c>
      <c r="I61" s="15" t="s">
        <v>1685</v>
      </c>
      <c r="J61" s="159">
        <v>0</v>
      </c>
      <c r="K61" s="159" t="s">
        <v>323</v>
      </c>
      <c r="L61" s="159">
        <v>33</v>
      </c>
      <c r="M61" s="142">
        <v>12</v>
      </c>
      <c r="N61" s="151" t="s">
        <v>1685</v>
      </c>
      <c r="O61" s="159">
        <v>3</v>
      </c>
      <c r="P61" s="157">
        <v>70000</v>
      </c>
      <c r="Q61" s="157">
        <v>0</v>
      </c>
      <c r="R61" s="142">
        <v>0</v>
      </c>
      <c r="S61" s="142">
        <v>0</v>
      </c>
      <c r="T61" s="142">
        <v>0</v>
      </c>
      <c r="U61" s="142">
        <v>0</v>
      </c>
      <c r="V61" s="142">
        <v>0</v>
      </c>
      <c r="W61" s="142">
        <v>0</v>
      </c>
      <c r="X61" s="142">
        <v>0</v>
      </c>
      <c r="Y61" s="142">
        <v>0</v>
      </c>
      <c r="Z61" s="142">
        <v>0</v>
      </c>
      <c r="AA61" s="142">
        <v>0</v>
      </c>
      <c r="AB61" s="157">
        <v>70000</v>
      </c>
      <c r="AC61" s="142">
        <v>0</v>
      </c>
      <c r="AD61" s="142">
        <v>0</v>
      </c>
      <c r="AE61" s="149" t="s">
        <v>1644</v>
      </c>
      <c r="AF61" s="149" t="s">
        <v>1645</v>
      </c>
      <c r="AG61" s="149" t="s">
        <v>1674</v>
      </c>
      <c r="AH61" s="183" t="s">
        <v>1675</v>
      </c>
      <c r="AI61" s="187" t="s">
        <v>1686</v>
      </c>
      <c r="AJ61" s="182">
        <v>1405201</v>
      </c>
      <c r="AK61" s="183" t="s">
        <v>1687</v>
      </c>
      <c r="AL61" s="152"/>
      <c r="AM61" s="185" t="s">
        <v>751</v>
      </c>
      <c r="AN61" s="185" t="s">
        <v>751</v>
      </c>
      <c r="AO61" s="185" t="s">
        <v>751</v>
      </c>
      <c r="AP61" s="185" t="s">
        <v>751</v>
      </c>
      <c r="AQ61" s="185" t="s">
        <v>751</v>
      </c>
      <c r="AR61" s="185" t="s">
        <v>751</v>
      </c>
      <c r="AS61" s="185" t="s">
        <v>751</v>
      </c>
      <c r="AT61" s="185" t="s">
        <v>751</v>
      </c>
      <c r="AU61" s="185" t="s">
        <v>751</v>
      </c>
      <c r="AV61" s="185" t="s">
        <v>751</v>
      </c>
      <c r="AW61" s="185" t="s">
        <v>751</v>
      </c>
      <c r="AX61" s="186" t="s">
        <v>1648</v>
      </c>
      <c r="AY61" s="152"/>
    </row>
    <row r="62" spans="1:51" ht="345" x14ac:dyDescent="0.25">
      <c r="A62" s="15" t="s">
        <v>223</v>
      </c>
      <c r="B62" s="150" t="s">
        <v>1637</v>
      </c>
      <c r="C62" s="920"/>
      <c r="D62" s="920"/>
      <c r="E62" s="929"/>
      <c r="F62" s="139" t="s">
        <v>1640</v>
      </c>
      <c r="G62" s="919"/>
      <c r="H62" s="150" t="s">
        <v>1688</v>
      </c>
      <c r="I62" s="15" t="s">
        <v>1689</v>
      </c>
      <c r="J62" s="159">
        <v>0</v>
      </c>
      <c r="K62" s="159" t="s">
        <v>323</v>
      </c>
      <c r="L62" s="159">
        <v>1</v>
      </c>
      <c r="M62" s="189">
        <v>0.45</v>
      </c>
      <c r="N62" s="151" t="s">
        <v>1689</v>
      </c>
      <c r="O62" s="159">
        <v>0.1</v>
      </c>
      <c r="P62" s="171">
        <v>210000</v>
      </c>
      <c r="Q62" s="157">
        <v>50000</v>
      </c>
      <c r="R62" s="142">
        <v>0</v>
      </c>
      <c r="S62" s="142">
        <v>0</v>
      </c>
      <c r="T62" s="142">
        <v>0</v>
      </c>
      <c r="U62" s="157">
        <v>60000</v>
      </c>
      <c r="V62" s="142">
        <v>0</v>
      </c>
      <c r="W62" s="142">
        <v>0</v>
      </c>
      <c r="X62" s="142">
        <v>0</v>
      </c>
      <c r="Y62" s="157">
        <v>35000</v>
      </c>
      <c r="Z62" s="142">
        <v>0</v>
      </c>
      <c r="AA62" s="142">
        <v>0</v>
      </c>
      <c r="AB62" s="171">
        <v>65000</v>
      </c>
      <c r="AC62" s="142">
        <v>0</v>
      </c>
      <c r="AD62" s="142">
        <v>0</v>
      </c>
      <c r="AE62" s="149" t="s">
        <v>1644</v>
      </c>
      <c r="AF62" s="149" t="s">
        <v>1645</v>
      </c>
      <c r="AG62" s="149" t="s">
        <v>1674</v>
      </c>
      <c r="AH62" s="183" t="s">
        <v>1675</v>
      </c>
      <c r="AI62" s="187" t="s">
        <v>1676</v>
      </c>
      <c r="AJ62" s="182">
        <v>1405201</v>
      </c>
      <c r="AK62" s="183" t="s">
        <v>1690</v>
      </c>
      <c r="AL62" s="152"/>
      <c r="AM62" s="185" t="s">
        <v>751</v>
      </c>
      <c r="AN62" s="185" t="s">
        <v>751</v>
      </c>
      <c r="AO62" s="185" t="s">
        <v>751</v>
      </c>
      <c r="AP62" s="185" t="s">
        <v>751</v>
      </c>
      <c r="AQ62" s="185" t="s">
        <v>751</v>
      </c>
      <c r="AR62" s="185" t="s">
        <v>751</v>
      </c>
      <c r="AS62" s="185" t="s">
        <v>751</v>
      </c>
      <c r="AT62" s="185" t="s">
        <v>751</v>
      </c>
      <c r="AU62" s="185" t="s">
        <v>751</v>
      </c>
      <c r="AV62" s="185" t="s">
        <v>751</v>
      </c>
      <c r="AW62" s="185" t="s">
        <v>751</v>
      </c>
      <c r="AX62" s="186" t="s">
        <v>1648</v>
      </c>
      <c r="AY62" s="152"/>
    </row>
    <row r="63" spans="1:51" ht="409.5" x14ac:dyDescent="0.25">
      <c r="A63" s="139" t="s">
        <v>49</v>
      </c>
      <c r="B63" s="139" t="s">
        <v>1451</v>
      </c>
      <c r="C63" s="924" t="s">
        <v>1691</v>
      </c>
      <c r="D63" s="924" t="s">
        <v>1692</v>
      </c>
      <c r="E63" s="924">
        <v>0</v>
      </c>
      <c r="F63" s="139" t="s">
        <v>1693</v>
      </c>
      <c r="G63" s="924" t="s">
        <v>1694</v>
      </c>
      <c r="H63" s="151" t="s">
        <v>1695</v>
      </c>
      <c r="I63" s="151" t="s">
        <v>1696</v>
      </c>
      <c r="J63" s="151">
        <v>0</v>
      </c>
      <c r="K63" s="151" t="s">
        <v>323</v>
      </c>
      <c r="L63" s="151">
        <v>7</v>
      </c>
      <c r="M63" s="142">
        <v>3</v>
      </c>
      <c r="N63" s="151" t="s">
        <v>1696</v>
      </c>
      <c r="O63" s="142">
        <v>1</v>
      </c>
      <c r="P63" s="157">
        <v>60000</v>
      </c>
      <c r="Q63" s="157">
        <v>15000</v>
      </c>
      <c r="R63" s="142">
        <v>0</v>
      </c>
      <c r="S63" s="142">
        <v>0</v>
      </c>
      <c r="T63" s="142">
        <v>0</v>
      </c>
      <c r="U63" s="142">
        <v>0</v>
      </c>
      <c r="V63" s="142">
        <v>0</v>
      </c>
      <c r="W63" s="142">
        <v>0</v>
      </c>
      <c r="X63" s="142">
        <v>0</v>
      </c>
      <c r="Y63" s="142">
        <v>0</v>
      </c>
      <c r="Z63" s="142">
        <v>0</v>
      </c>
      <c r="AA63" s="142">
        <v>0</v>
      </c>
      <c r="AB63" s="157">
        <v>45000</v>
      </c>
      <c r="AC63" s="142">
        <v>0</v>
      </c>
      <c r="AD63" s="142">
        <v>0</v>
      </c>
      <c r="AE63" s="190" t="s">
        <v>1697</v>
      </c>
      <c r="AF63" s="191" t="s">
        <v>1698</v>
      </c>
      <c r="AG63" s="191" t="s">
        <v>1699</v>
      </c>
      <c r="AH63" s="191" t="s">
        <v>1700</v>
      </c>
      <c r="AI63" s="142">
        <v>300</v>
      </c>
      <c r="AJ63" s="157">
        <v>546865</v>
      </c>
      <c r="AK63" s="191" t="s">
        <v>1701</v>
      </c>
      <c r="AL63" s="152"/>
      <c r="AM63" s="142" t="s">
        <v>395</v>
      </c>
      <c r="AN63" s="142" t="s">
        <v>395</v>
      </c>
      <c r="AO63" s="142" t="s">
        <v>395</v>
      </c>
      <c r="AP63" s="142" t="s">
        <v>395</v>
      </c>
      <c r="AQ63" s="142" t="s">
        <v>395</v>
      </c>
      <c r="AR63" s="142" t="s">
        <v>395</v>
      </c>
      <c r="AS63" s="142" t="s">
        <v>395</v>
      </c>
      <c r="AT63" s="142" t="s">
        <v>395</v>
      </c>
      <c r="AU63" s="142" t="s">
        <v>395</v>
      </c>
      <c r="AV63" s="142" t="s">
        <v>395</v>
      </c>
      <c r="AW63" s="142" t="s">
        <v>395</v>
      </c>
      <c r="AX63" s="192" t="s">
        <v>1702</v>
      </c>
      <c r="AY63" s="191" t="s">
        <v>1703</v>
      </c>
    </row>
    <row r="64" spans="1:51" ht="409.5" x14ac:dyDescent="0.25">
      <c r="A64" s="139" t="s">
        <v>49</v>
      </c>
      <c r="B64" s="139" t="s">
        <v>1451</v>
      </c>
      <c r="C64" s="925"/>
      <c r="D64" s="925"/>
      <c r="E64" s="925"/>
      <c r="F64" s="139" t="s">
        <v>1693</v>
      </c>
      <c r="G64" s="925"/>
      <c r="H64" s="151" t="s">
        <v>1704</v>
      </c>
      <c r="I64" s="151" t="s">
        <v>1705</v>
      </c>
      <c r="J64" s="151">
        <v>0</v>
      </c>
      <c r="K64" s="151" t="s">
        <v>323</v>
      </c>
      <c r="L64" s="151">
        <v>12</v>
      </c>
      <c r="M64" s="142">
        <v>5</v>
      </c>
      <c r="N64" s="151" t="s">
        <v>1705</v>
      </c>
      <c r="O64" s="142">
        <v>1</v>
      </c>
      <c r="P64" s="157">
        <v>750000</v>
      </c>
      <c r="Q64" s="157">
        <v>50000</v>
      </c>
      <c r="R64" s="142">
        <v>0</v>
      </c>
      <c r="S64" s="142">
        <v>0</v>
      </c>
      <c r="T64" s="142">
        <v>0</v>
      </c>
      <c r="U64" s="157">
        <v>600000</v>
      </c>
      <c r="V64" s="142">
        <v>0</v>
      </c>
      <c r="W64" s="142">
        <v>0</v>
      </c>
      <c r="X64" s="142">
        <v>0</v>
      </c>
      <c r="Y64" s="142">
        <v>0</v>
      </c>
      <c r="Z64" s="142">
        <v>0</v>
      </c>
      <c r="AA64" s="142">
        <v>0</v>
      </c>
      <c r="AB64" s="157">
        <v>100000</v>
      </c>
      <c r="AC64" s="142">
        <v>0</v>
      </c>
      <c r="AD64" s="142">
        <v>0</v>
      </c>
      <c r="AE64" s="190" t="s">
        <v>1697</v>
      </c>
      <c r="AF64" s="191" t="s">
        <v>1698</v>
      </c>
      <c r="AG64" s="191" t="s">
        <v>1706</v>
      </c>
      <c r="AH64" s="149" t="s">
        <v>1707</v>
      </c>
      <c r="AI64" s="142">
        <v>1125</v>
      </c>
      <c r="AJ64" s="157">
        <v>546865</v>
      </c>
      <c r="AK64" s="192" t="s">
        <v>1708</v>
      </c>
      <c r="AL64" s="152"/>
      <c r="AM64" s="142" t="s">
        <v>395</v>
      </c>
      <c r="AN64" s="142" t="s">
        <v>395</v>
      </c>
      <c r="AO64" s="142" t="s">
        <v>395</v>
      </c>
      <c r="AP64" s="142" t="s">
        <v>395</v>
      </c>
      <c r="AQ64" s="142" t="s">
        <v>395</v>
      </c>
      <c r="AR64" s="142" t="s">
        <v>395</v>
      </c>
      <c r="AS64" s="142" t="s">
        <v>395</v>
      </c>
      <c r="AT64" s="142" t="s">
        <v>395</v>
      </c>
      <c r="AU64" s="142" t="s">
        <v>395</v>
      </c>
      <c r="AV64" s="142" t="s">
        <v>395</v>
      </c>
      <c r="AW64" s="142" t="s">
        <v>395</v>
      </c>
      <c r="AX64" s="192" t="s">
        <v>1702</v>
      </c>
      <c r="AY64" s="152"/>
    </row>
    <row r="65" spans="1:51" ht="360" x14ac:dyDescent="0.25">
      <c r="A65" s="139" t="s">
        <v>49</v>
      </c>
      <c r="B65" s="139" t="s">
        <v>1451</v>
      </c>
      <c r="C65" s="925"/>
      <c r="D65" s="925"/>
      <c r="E65" s="925"/>
      <c r="F65" s="139" t="s">
        <v>1693</v>
      </c>
      <c r="G65" s="925"/>
      <c r="H65" s="151" t="s">
        <v>1709</v>
      </c>
      <c r="I65" s="151" t="s">
        <v>1710</v>
      </c>
      <c r="J65" s="151">
        <v>0</v>
      </c>
      <c r="K65" s="151" t="s">
        <v>323</v>
      </c>
      <c r="L65" s="151">
        <v>1</v>
      </c>
      <c r="M65" s="142">
        <v>0.25</v>
      </c>
      <c r="N65" s="151" t="s">
        <v>1710</v>
      </c>
      <c r="O65" s="142">
        <v>0.25</v>
      </c>
      <c r="P65" s="157">
        <v>25000</v>
      </c>
      <c r="Q65" s="157">
        <v>25000</v>
      </c>
      <c r="R65" s="142">
        <v>0</v>
      </c>
      <c r="S65" s="142">
        <v>0</v>
      </c>
      <c r="T65" s="142">
        <v>0</v>
      </c>
      <c r="U65" s="142">
        <v>0</v>
      </c>
      <c r="V65" s="142">
        <v>0</v>
      </c>
      <c r="W65" s="142">
        <v>0</v>
      </c>
      <c r="X65" s="142">
        <v>0</v>
      </c>
      <c r="Y65" s="142">
        <v>0</v>
      </c>
      <c r="Z65" s="142">
        <v>0</v>
      </c>
      <c r="AA65" s="142">
        <v>0</v>
      </c>
      <c r="AB65" s="142">
        <v>0</v>
      </c>
      <c r="AC65" s="142">
        <v>0</v>
      </c>
      <c r="AD65" s="142">
        <v>0</v>
      </c>
      <c r="AE65" s="193" t="s">
        <v>1697</v>
      </c>
      <c r="AF65" s="191" t="s">
        <v>1698</v>
      </c>
      <c r="AG65" s="142">
        <v>42</v>
      </c>
      <c r="AH65" s="142">
        <v>7</v>
      </c>
      <c r="AI65" s="143" t="s">
        <v>1711</v>
      </c>
      <c r="AJ65" s="157">
        <v>546865</v>
      </c>
      <c r="AK65" s="192" t="s">
        <v>1712</v>
      </c>
      <c r="AL65" s="152"/>
      <c r="AM65" s="142" t="s">
        <v>395</v>
      </c>
      <c r="AN65" s="142" t="s">
        <v>395</v>
      </c>
      <c r="AO65" s="142" t="s">
        <v>395</v>
      </c>
      <c r="AP65" s="142" t="s">
        <v>395</v>
      </c>
      <c r="AQ65" s="142" t="s">
        <v>395</v>
      </c>
      <c r="AR65" s="142" t="s">
        <v>395</v>
      </c>
      <c r="AS65" s="142" t="s">
        <v>395</v>
      </c>
      <c r="AT65" s="142" t="s">
        <v>395</v>
      </c>
      <c r="AU65" s="142" t="s">
        <v>395</v>
      </c>
      <c r="AV65" s="142" t="s">
        <v>395</v>
      </c>
      <c r="AW65" s="142" t="s">
        <v>395</v>
      </c>
      <c r="AX65" s="192" t="s">
        <v>1702</v>
      </c>
      <c r="AY65" s="152"/>
    </row>
    <row r="66" spans="1:51" ht="345" x14ac:dyDescent="0.25">
      <c r="A66" s="139" t="s">
        <v>49</v>
      </c>
      <c r="B66" s="139" t="s">
        <v>1451</v>
      </c>
      <c r="C66" s="925"/>
      <c r="D66" s="925"/>
      <c r="E66" s="925"/>
      <c r="F66" s="139" t="s">
        <v>1693</v>
      </c>
      <c r="G66" s="925"/>
      <c r="H66" s="151" t="s">
        <v>1713</v>
      </c>
      <c r="I66" s="151" t="s">
        <v>1714</v>
      </c>
      <c r="J66" s="151">
        <v>0</v>
      </c>
      <c r="K66" s="151" t="s">
        <v>323</v>
      </c>
      <c r="L66" s="153">
        <v>0.7</v>
      </c>
      <c r="M66" s="154">
        <v>0.2</v>
      </c>
      <c r="N66" s="151" t="s">
        <v>1714</v>
      </c>
      <c r="O66" s="154">
        <v>0.1</v>
      </c>
      <c r="P66" s="157">
        <v>100000</v>
      </c>
      <c r="Q66" s="157">
        <v>100000</v>
      </c>
      <c r="R66" s="142">
        <v>0</v>
      </c>
      <c r="S66" s="142">
        <v>0</v>
      </c>
      <c r="T66" s="142">
        <v>0</v>
      </c>
      <c r="U66" s="142">
        <v>0</v>
      </c>
      <c r="V66" s="142">
        <v>0</v>
      </c>
      <c r="W66" s="142">
        <v>0</v>
      </c>
      <c r="X66" s="142">
        <v>0</v>
      </c>
      <c r="Y66" s="142">
        <v>0</v>
      </c>
      <c r="Z66" s="142">
        <v>0</v>
      </c>
      <c r="AA66" s="142">
        <v>0</v>
      </c>
      <c r="AB66" s="142">
        <v>0</v>
      </c>
      <c r="AC66" s="142">
        <v>0</v>
      </c>
      <c r="AD66" s="142">
        <v>0</v>
      </c>
      <c r="AE66" s="194" t="s">
        <v>1697</v>
      </c>
      <c r="AF66" s="191" t="s">
        <v>1698</v>
      </c>
      <c r="AG66" s="191" t="s">
        <v>1715</v>
      </c>
      <c r="AH66" s="191" t="s">
        <v>1716</v>
      </c>
      <c r="AI66" s="143">
        <v>650</v>
      </c>
      <c r="AJ66" s="157">
        <v>546865</v>
      </c>
      <c r="AK66" s="191" t="s">
        <v>1717</v>
      </c>
      <c r="AL66" s="152"/>
      <c r="AM66" s="142" t="s">
        <v>395</v>
      </c>
      <c r="AN66" s="142" t="s">
        <v>395</v>
      </c>
      <c r="AO66" s="142" t="s">
        <v>395</v>
      </c>
      <c r="AP66" s="142" t="s">
        <v>395</v>
      </c>
      <c r="AQ66" s="142" t="s">
        <v>395</v>
      </c>
      <c r="AR66" s="142" t="s">
        <v>395</v>
      </c>
      <c r="AS66" s="142" t="s">
        <v>395</v>
      </c>
      <c r="AT66" s="142" t="s">
        <v>395</v>
      </c>
      <c r="AU66" s="142" t="s">
        <v>395</v>
      </c>
      <c r="AV66" s="142" t="s">
        <v>395</v>
      </c>
      <c r="AW66" s="142" t="s">
        <v>395</v>
      </c>
      <c r="AX66" s="192" t="s">
        <v>1702</v>
      </c>
      <c r="AY66" s="152"/>
    </row>
    <row r="67" spans="1:51" ht="360" x14ac:dyDescent="0.25">
      <c r="A67" s="139" t="s">
        <v>49</v>
      </c>
      <c r="B67" s="139" t="s">
        <v>1451</v>
      </c>
      <c r="C67" s="925"/>
      <c r="D67" s="925"/>
      <c r="E67" s="925"/>
      <c r="F67" s="139" t="s">
        <v>1693</v>
      </c>
      <c r="G67" s="925"/>
      <c r="H67" s="151" t="s">
        <v>1718</v>
      </c>
      <c r="I67" s="151" t="s">
        <v>1719</v>
      </c>
      <c r="J67" s="151">
        <v>0</v>
      </c>
      <c r="K67" s="151" t="s">
        <v>323</v>
      </c>
      <c r="L67" s="151">
        <v>1</v>
      </c>
      <c r="M67" s="142">
        <v>0.35</v>
      </c>
      <c r="N67" s="151" t="s">
        <v>1719</v>
      </c>
      <c r="O67" s="142">
        <v>0.15</v>
      </c>
      <c r="P67" s="157">
        <v>74000</v>
      </c>
      <c r="Q67" s="157">
        <v>74000</v>
      </c>
      <c r="R67" s="142">
        <v>0</v>
      </c>
      <c r="S67" s="142">
        <v>0</v>
      </c>
      <c r="T67" s="142">
        <v>0</v>
      </c>
      <c r="U67" s="142">
        <v>0</v>
      </c>
      <c r="V67" s="142">
        <v>0</v>
      </c>
      <c r="W67" s="142">
        <v>0</v>
      </c>
      <c r="X67" s="142">
        <v>0</v>
      </c>
      <c r="Y67" s="142">
        <v>0</v>
      </c>
      <c r="Z67" s="142">
        <v>0</v>
      </c>
      <c r="AA67" s="142">
        <v>0</v>
      </c>
      <c r="AB67" s="142">
        <v>0</v>
      </c>
      <c r="AC67" s="142">
        <v>0</v>
      </c>
      <c r="AD67" s="142">
        <v>0</v>
      </c>
      <c r="AE67" s="190" t="s">
        <v>1697</v>
      </c>
      <c r="AF67" s="191" t="s">
        <v>1698</v>
      </c>
      <c r="AG67" s="191" t="s">
        <v>1720</v>
      </c>
      <c r="AH67" s="191" t="s">
        <v>1721</v>
      </c>
      <c r="AI67" s="143">
        <v>400</v>
      </c>
      <c r="AJ67" s="157">
        <v>546865</v>
      </c>
      <c r="AK67" s="192" t="s">
        <v>1722</v>
      </c>
      <c r="AL67" s="152"/>
      <c r="AM67" s="142" t="s">
        <v>395</v>
      </c>
      <c r="AN67" s="142" t="s">
        <v>395</v>
      </c>
      <c r="AO67" s="142" t="s">
        <v>395</v>
      </c>
      <c r="AP67" s="142" t="s">
        <v>395</v>
      </c>
      <c r="AQ67" s="142" t="s">
        <v>395</v>
      </c>
      <c r="AR67" s="142" t="s">
        <v>395</v>
      </c>
      <c r="AS67" s="142" t="s">
        <v>395</v>
      </c>
      <c r="AT67" s="142" t="s">
        <v>395</v>
      </c>
      <c r="AU67" s="142" t="s">
        <v>395</v>
      </c>
      <c r="AV67" s="142" t="s">
        <v>395</v>
      </c>
      <c r="AW67" s="142" t="s">
        <v>395</v>
      </c>
      <c r="AX67" s="192" t="s">
        <v>1702</v>
      </c>
      <c r="AY67" s="152"/>
    </row>
    <row r="68" spans="1:51" ht="315" x14ac:dyDescent="0.25">
      <c r="A68" s="139" t="s">
        <v>49</v>
      </c>
      <c r="B68" s="139" t="s">
        <v>1451</v>
      </c>
      <c r="C68" s="925"/>
      <c r="D68" s="925"/>
      <c r="E68" s="925"/>
      <c r="F68" s="139" t="s">
        <v>1693</v>
      </c>
      <c r="G68" s="925"/>
      <c r="H68" s="151" t="s">
        <v>1723</v>
      </c>
      <c r="I68" s="151" t="s">
        <v>1724</v>
      </c>
      <c r="J68" s="151">
        <v>0</v>
      </c>
      <c r="K68" s="151" t="s">
        <v>323</v>
      </c>
      <c r="L68" s="151">
        <v>1</v>
      </c>
      <c r="M68" s="142">
        <v>0.35</v>
      </c>
      <c r="N68" s="151" t="s">
        <v>1724</v>
      </c>
      <c r="O68" s="142">
        <v>0.15</v>
      </c>
      <c r="P68" s="157">
        <v>518000</v>
      </c>
      <c r="Q68" s="157">
        <v>94000</v>
      </c>
      <c r="R68" s="142">
        <v>0</v>
      </c>
      <c r="S68" s="142">
        <v>0</v>
      </c>
      <c r="T68" s="142">
        <v>0</v>
      </c>
      <c r="U68" s="157">
        <v>424000</v>
      </c>
      <c r="V68" s="142">
        <v>0</v>
      </c>
      <c r="W68" s="142">
        <v>0</v>
      </c>
      <c r="X68" s="142">
        <v>0</v>
      </c>
      <c r="Y68" s="142">
        <v>0</v>
      </c>
      <c r="Z68" s="142">
        <v>0</v>
      </c>
      <c r="AA68" s="142">
        <v>0</v>
      </c>
      <c r="AB68" s="142">
        <v>0</v>
      </c>
      <c r="AC68" s="142">
        <v>0</v>
      </c>
      <c r="AD68" s="142">
        <v>0</v>
      </c>
      <c r="AE68" s="190" t="s">
        <v>1697</v>
      </c>
      <c r="AF68" s="191" t="s">
        <v>1698</v>
      </c>
      <c r="AG68" s="191" t="s">
        <v>1725</v>
      </c>
      <c r="AH68" s="191" t="s">
        <v>1726</v>
      </c>
      <c r="AI68" s="143">
        <v>580</v>
      </c>
      <c r="AJ68" s="157">
        <v>546865</v>
      </c>
      <c r="AK68" s="191" t="s">
        <v>1727</v>
      </c>
      <c r="AL68" s="152"/>
      <c r="AM68" s="142" t="s">
        <v>395</v>
      </c>
      <c r="AN68" s="142" t="s">
        <v>395</v>
      </c>
      <c r="AO68" s="142" t="s">
        <v>395</v>
      </c>
      <c r="AP68" s="142" t="s">
        <v>395</v>
      </c>
      <c r="AQ68" s="142" t="s">
        <v>395</v>
      </c>
      <c r="AR68" s="142" t="s">
        <v>395</v>
      </c>
      <c r="AS68" s="142" t="s">
        <v>395</v>
      </c>
      <c r="AT68" s="142" t="s">
        <v>395</v>
      </c>
      <c r="AU68" s="142" t="s">
        <v>395</v>
      </c>
      <c r="AV68" s="142" t="s">
        <v>395</v>
      </c>
      <c r="AW68" s="142" t="s">
        <v>395</v>
      </c>
      <c r="AX68" s="192" t="s">
        <v>1702</v>
      </c>
      <c r="AY68" s="152"/>
    </row>
    <row r="69" spans="1:51" ht="240" x14ac:dyDescent="0.25">
      <c r="A69" s="139" t="s">
        <v>49</v>
      </c>
      <c r="B69" s="139" t="s">
        <v>1451</v>
      </c>
      <c r="C69" s="926"/>
      <c r="D69" s="926"/>
      <c r="E69" s="926"/>
      <c r="F69" s="139" t="s">
        <v>1693</v>
      </c>
      <c r="G69" s="926"/>
      <c r="H69" s="151" t="s">
        <v>1728</v>
      </c>
      <c r="I69" s="151" t="s">
        <v>1729</v>
      </c>
      <c r="J69" s="151">
        <v>0</v>
      </c>
      <c r="K69" s="151" t="s">
        <v>323</v>
      </c>
      <c r="L69" s="153">
        <v>0.1</v>
      </c>
      <c r="M69" s="154">
        <v>0.05</v>
      </c>
      <c r="N69" s="151" t="s">
        <v>1729</v>
      </c>
      <c r="O69" s="154">
        <v>0.01</v>
      </c>
      <c r="P69" s="157">
        <v>129500</v>
      </c>
      <c r="Q69" s="157">
        <v>23500</v>
      </c>
      <c r="R69" s="142">
        <v>0</v>
      </c>
      <c r="S69" s="142">
        <v>0</v>
      </c>
      <c r="T69" s="142">
        <v>0</v>
      </c>
      <c r="U69" s="157">
        <v>106000</v>
      </c>
      <c r="V69" s="142">
        <v>0</v>
      </c>
      <c r="W69" s="142">
        <v>0</v>
      </c>
      <c r="X69" s="142">
        <v>0</v>
      </c>
      <c r="Y69" s="142">
        <v>0</v>
      </c>
      <c r="Z69" s="142">
        <v>0</v>
      </c>
      <c r="AA69" s="142">
        <v>0</v>
      </c>
      <c r="AB69" s="142">
        <v>0</v>
      </c>
      <c r="AC69" s="142">
        <v>0</v>
      </c>
      <c r="AD69" s="142">
        <v>0</v>
      </c>
      <c r="AE69" s="194" t="s">
        <v>1697</v>
      </c>
      <c r="AF69" s="191" t="s">
        <v>1698</v>
      </c>
      <c r="AG69" s="191">
        <v>42</v>
      </c>
      <c r="AH69" s="191">
        <v>7</v>
      </c>
      <c r="AI69" s="143">
        <v>50</v>
      </c>
      <c r="AJ69" s="157">
        <v>546865</v>
      </c>
      <c r="AK69" s="191" t="s">
        <v>1730</v>
      </c>
      <c r="AL69" s="152"/>
      <c r="AM69" s="142" t="s">
        <v>395</v>
      </c>
      <c r="AN69" s="142" t="s">
        <v>395</v>
      </c>
      <c r="AO69" s="142" t="s">
        <v>395</v>
      </c>
      <c r="AP69" s="142" t="s">
        <v>395</v>
      </c>
      <c r="AQ69" s="142" t="s">
        <v>395</v>
      </c>
      <c r="AR69" s="142" t="s">
        <v>395</v>
      </c>
      <c r="AS69" s="142" t="s">
        <v>395</v>
      </c>
      <c r="AT69" s="142" t="s">
        <v>395</v>
      </c>
      <c r="AU69" s="142" t="s">
        <v>395</v>
      </c>
      <c r="AV69" s="142" t="s">
        <v>395</v>
      </c>
      <c r="AW69" s="142" t="s">
        <v>395</v>
      </c>
      <c r="AX69" s="192" t="s">
        <v>1702</v>
      </c>
      <c r="AY69" s="152"/>
    </row>
    <row r="70" spans="1:51" ht="409.5" x14ac:dyDescent="0.25">
      <c r="A70" s="15" t="s">
        <v>223</v>
      </c>
      <c r="B70" s="150" t="s">
        <v>1637</v>
      </c>
      <c r="C70" s="919" t="s">
        <v>1731</v>
      </c>
      <c r="D70" s="919" t="s">
        <v>1732</v>
      </c>
      <c r="E70" s="919" t="s">
        <v>1733</v>
      </c>
      <c r="F70" s="139" t="s">
        <v>1734</v>
      </c>
      <c r="G70" s="919" t="s">
        <v>1735</v>
      </c>
      <c r="H70" s="150" t="s">
        <v>1736</v>
      </c>
      <c r="I70" s="150" t="s">
        <v>1737</v>
      </c>
      <c r="J70" s="151">
        <v>0</v>
      </c>
      <c r="K70" s="151" t="s">
        <v>323</v>
      </c>
      <c r="L70" s="151">
        <v>1</v>
      </c>
      <c r="M70" s="142">
        <v>0.3</v>
      </c>
      <c r="N70" s="143" t="s">
        <v>1737</v>
      </c>
      <c r="O70" s="142">
        <v>0.15</v>
      </c>
      <c r="P70" s="157">
        <v>35000</v>
      </c>
      <c r="Q70" s="157">
        <v>15000</v>
      </c>
      <c r="R70" s="142">
        <v>0</v>
      </c>
      <c r="S70" s="142">
        <v>0</v>
      </c>
      <c r="T70" s="142">
        <v>0</v>
      </c>
      <c r="U70" s="142">
        <v>0</v>
      </c>
      <c r="V70" s="142">
        <v>0</v>
      </c>
      <c r="W70" s="142">
        <v>0</v>
      </c>
      <c r="X70" s="142">
        <v>0</v>
      </c>
      <c r="Y70" s="157">
        <v>10000</v>
      </c>
      <c r="Z70" s="142">
        <v>0</v>
      </c>
      <c r="AA70" s="142">
        <v>0</v>
      </c>
      <c r="AB70" s="157">
        <v>10000</v>
      </c>
      <c r="AC70" s="142">
        <v>0</v>
      </c>
      <c r="AD70" s="142">
        <v>0</v>
      </c>
      <c r="AE70" s="143" t="s">
        <v>1738</v>
      </c>
      <c r="AF70" s="143" t="s">
        <v>1739</v>
      </c>
      <c r="AG70" s="142">
        <v>42</v>
      </c>
      <c r="AH70" s="142">
        <v>7</v>
      </c>
      <c r="AI70" s="142" t="s">
        <v>1740</v>
      </c>
      <c r="AJ70" s="157">
        <v>423636000</v>
      </c>
      <c r="AK70" s="149" t="s">
        <v>1741</v>
      </c>
      <c r="AL70" s="152"/>
      <c r="AM70" s="142" t="s">
        <v>395</v>
      </c>
      <c r="AN70" s="142" t="s">
        <v>395</v>
      </c>
      <c r="AO70" s="142" t="s">
        <v>395</v>
      </c>
      <c r="AP70" s="142" t="s">
        <v>395</v>
      </c>
      <c r="AQ70" s="142" t="s">
        <v>395</v>
      </c>
      <c r="AR70" s="142" t="s">
        <v>395</v>
      </c>
      <c r="AS70" s="142" t="s">
        <v>395</v>
      </c>
      <c r="AT70" s="142" t="s">
        <v>395</v>
      </c>
      <c r="AU70" s="142" t="s">
        <v>395</v>
      </c>
      <c r="AV70" s="142" t="s">
        <v>395</v>
      </c>
      <c r="AW70" s="142" t="s">
        <v>395</v>
      </c>
      <c r="AX70" s="149" t="s">
        <v>1742</v>
      </c>
      <c r="AY70" s="149" t="s">
        <v>1743</v>
      </c>
    </row>
    <row r="71" spans="1:51" ht="409.5" x14ac:dyDescent="0.25">
      <c r="A71" s="15" t="s">
        <v>223</v>
      </c>
      <c r="B71" s="139" t="s">
        <v>224</v>
      </c>
      <c r="C71" s="919"/>
      <c r="D71" s="919"/>
      <c r="E71" s="919"/>
      <c r="F71" s="139" t="s">
        <v>1734</v>
      </c>
      <c r="G71" s="919"/>
      <c r="H71" s="150" t="s">
        <v>1744</v>
      </c>
      <c r="I71" s="150" t="s">
        <v>1745</v>
      </c>
      <c r="J71" s="159">
        <v>0</v>
      </c>
      <c r="K71" s="159" t="s">
        <v>323</v>
      </c>
      <c r="L71" s="160">
        <v>1</v>
      </c>
      <c r="M71" s="154">
        <v>0.25</v>
      </c>
      <c r="N71" s="151" t="s">
        <v>1745</v>
      </c>
      <c r="O71" s="154">
        <v>0.25</v>
      </c>
      <c r="P71" s="157">
        <v>20000</v>
      </c>
      <c r="Q71" s="157">
        <v>10000</v>
      </c>
      <c r="R71" s="142">
        <v>0</v>
      </c>
      <c r="S71" s="142">
        <v>0</v>
      </c>
      <c r="T71" s="142">
        <v>0</v>
      </c>
      <c r="U71" s="142">
        <v>0</v>
      </c>
      <c r="V71" s="142">
        <v>0</v>
      </c>
      <c r="W71" s="142">
        <v>0</v>
      </c>
      <c r="X71" s="142">
        <v>0</v>
      </c>
      <c r="Y71" s="157">
        <v>5000</v>
      </c>
      <c r="Z71" s="142">
        <v>0</v>
      </c>
      <c r="AA71" s="142">
        <v>0</v>
      </c>
      <c r="AB71" s="157">
        <v>5000</v>
      </c>
      <c r="AC71" s="142">
        <v>0</v>
      </c>
      <c r="AD71" s="142">
        <v>0</v>
      </c>
      <c r="AE71" s="143" t="s">
        <v>1738</v>
      </c>
      <c r="AF71" s="143" t="s">
        <v>1739</v>
      </c>
      <c r="AG71" s="142">
        <v>42</v>
      </c>
      <c r="AH71" s="142">
        <v>7</v>
      </c>
      <c r="AI71" s="142" t="s">
        <v>1740</v>
      </c>
      <c r="AJ71" s="157">
        <v>423636000</v>
      </c>
      <c r="AK71" s="149" t="s">
        <v>1741</v>
      </c>
      <c r="AL71" s="152"/>
      <c r="AM71" s="142" t="s">
        <v>395</v>
      </c>
      <c r="AN71" s="142" t="s">
        <v>395</v>
      </c>
      <c r="AO71" s="142" t="s">
        <v>395</v>
      </c>
      <c r="AP71" s="142" t="s">
        <v>395</v>
      </c>
      <c r="AQ71" s="142" t="s">
        <v>395</v>
      </c>
      <c r="AR71" s="142" t="s">
        <v>395</v>
      </c>
      <c r="AS71" s="142" t="s">
        <v>395</v>
      </c>
      <c r="AT71" s="142" t="s">
        <v>395</v>
      </c>
      <c r="AU71" s="142" t="s">
        <v>395</v>
      </c>
      <c r="AV71" s="142" t="s">
        <v>395</v>
      </c>
      <c r="AW71" s="142" t="s">
        <v>395</v>
      </c>
      <c r="AX71" s="149" t="s">
        <v>1742</v>
      </c>
      <c r="AY71" s="149" t="s">
        <v>1743</v>
      </c>
    </row>
    <row r="72" spans="1:51" ht="409.5" x14ac:dyDescent="0.25">
      <c r="A72" s="15" t="s">
        <v>223</v>
      </c>
      <c r="B72" s="150" t="s">
        <v>1637</v>
      </c>
      <c r="C72" s="919"/>
      <c r="D72" s="919"/>
      <c r="E72" s="919"/>
      <c r="F72" s="139" t="s">
        <v>1734</v>
      </c>
      <c r="G72" s="919"/>
      <c r="H72" s="150" t="s">
        <v>1746</v>
      </c>
      <c r="I72" s="150" t="s">
        <v>1747</v>
      </c>
      <c r="J72" s="151" t="s">
        <v>1748</v>
      </c>
      <c r="K72" s="151" t="s">
        <v>323</v>
      </c>
      <c r="L72" s="153">
        <v>0.8</v>
      </c>
      <c r="M72" s="154">
        <v>0.2</v>
      </c>
      <c r="N72" s="151" t="s">
        <v>1747</v>
      </c>
      <c r="O72" s="154">
        <v>0.2</v>
      </c>
      <c r="P72" s="157">
        <v>12500</v>
      </c>
      <c r="Q72" s="157">
        <v>7500</v>
      </c>
      <c r="R72" s="142">
        <v>0</v>
      </c>
      <c r="S72" s="142">
        <v>0</v>
      </c>
      <c r="T72" s="142">
        <v>0</v>
      </c>
      <c r="U72" s="142">
        <v>0</v>
      </c>
      <c r="V72" s="142">
        <v>0</v>
      </c>
      <c r="W72" s="142">
        <v>0</v>
      </c>
      <c r="X72" s="142">
        <v>0</v>
      </c>
      <c r="Y72" s="142">
        <v>0</v>
      </c>
      <c r="Z72" s="142">
        <v>0</v>
      </c>
      <c r="AA72" s="142">
        <v>0</v>
      </c>
      <c r="AB72" s="157">
        <v>5000</v>
      </c>
      <c r="AC72" s="142">
        <v>0</v>
      </c>
      <c r="AD72" s="142">
        <v>0</v>
      </c>
      <c r="AE72" s="143" t="s">
        <v>1738</v>
      </c>
      <c r="AF72" s="143" t="s">
        <v>1739</v>
      </c>
      <c r="AG72" s="142">
        <v>42</v>
      </c>
      <c r="AH72" s="142">
        <v>7</v>
      </c>
      <c r="AI72" s="142" t="s">
        <v>1740</v>
      </c>
      <c r="AJ72" s="157">
        <v>423636000</v>
      </c>
      <c r="AK72" s="149" t="s">
        <v>1741</v>
      </c>
      <c r="AL72" s="152"/>
      <c r="AM72" s="142" t="s">
        <v>395</v>
      </c>
      <c r="AN72" s="142" t="s">
        <v>395</v>
      </c>
      <c r="AO72" s="142" t="s">
        <v>395</v>
      </c>
      <c r="AP72" s="142" t="s">
        <v>395</v>
      </c>
      <c r="AQ72" s="142" t="s">
        <v>395</v>
      </c>
      <c r="AR72" s="142" t="s">
        <v>395</v>
      </c>
      <c r="AS72" s="142" t="s">
        <v>395</v>
      </c>
      <c r="AT72" s="142" t="s">
        <v>395</v>
      </c>
      <c r="AU72" s="142" t="s">
        <v>395</v>
      </c>
      <c r="AV72" s="142" t="s">
        <v>395</v>
      </c>
      <c r="AW72" s="142" t="s">
        <v>395</v>
      </c>
      <c r="AX72" s="149" t="s">
        <v>1742</v>
      </c>
      <c r="AY72" s="149" t="s">
        <v>1743</v>
      </c>
    </row>
    <row r="73" spans="1:51" ht="409.5" x14ac:dyDescent="0.25">
      <c r="A73" s="15" t="s">
        <v>223</v>
      </c>
      <c r="B73" s="150" t="s">
        <v>1637</v>
      </c>
      <c r="C73" s="919"/>
      <c r="D73" s="919"/>
      <c r="E73" s="919"/>
      <c r="F73" s="139" t="s">
        <v>1734</v>
      </c>
      <c r="G73" s="919"/>
      <c r="H73" s="150" t="s">
        <v>1749</v>
      </c>
      <c r="I73" s="151" t="s">
        <v>1750</v>
      </c>
      <c r="J73" s="159">
        <v>0</v>
      </c>
      <c r="K73" s="159" t="s">
        <v>323</v>
      </c>
      <c r="L73" s="159">
        <v>1</v>
      </c>
      <c r="M73" s="142" t="s">
        <v>1751</v>
      </c>
      <c r="N73" s="151" t="s">
        <v>1750</v>
      </c>
      <c r="O73" s="142">
        <v>0.1</v>
      </c>
      <c r="P73" s="157">
        <v>17000</v>
      </c>
      <c r="Q73" s="157">
        <v>7000</v>
      </c>
      <c r="R73" s="142">
        <v>0</v>
      </c>
      <c r="S73" s="142">
        <v>0</v>
      </c>
      <c r="T73" s="142">
        <v>0</v>
      </c>
      <c r="U73" s="142">
        <v>0</v>
      </c>
      <c r="V73" s="142">
        <v>0</v>
      </c>
      <c r="W73" s="142">
        <v>0</v>
      </c>
      <c r="X73" s="142">
        <v>0</v>
      </c>
      <c r="Y73" s="157">
        <v>10000</v>
      </c>
      <c r="Z73" s="142">
        <v>0</v>
      </c>
      <c r="AA73" s="142">
        <v>0</v>
      </c>
      <c r="AB73" s="142">
        <v>0</v>
      </c>
      <c r="AC73" s="142">
        <v>0</v>
      </c>
      <c r="AD73" s="142">
        <v>0</v>
      </c>
      <c r="AE73" s="143" t="s">
        <v>1738</v>
      </c>
      <c r="AF73" s="143" t="s">
        <v>1739</v>
      </c>
      <c r="AG73" s="142">
        <v>42</v>
      </c>
      <c r="AH73" s="142">
        <v>7</v>
      </c>
      <c r="AI73" s="142" t="s">
        <v>1740</v>
      </c>
      <c r="AJ73" s="157">
        <v>423636000</v>
      </c>
      <c r="AK73" s="149" t="s">
        <v>1741</v>
      </c>
      <c r="AL73" s="152"/>
      <c r="AM73" s="142" t="s">
        <v>395</v>
      </c>
      <c r="AN73" s="142" t="s">
        <v>395</v>
      </c>
      <c r="AO73" s="142" t="s">
        <v>395</v>
      </c>
      <c r="AP73" s="142" t="s">
        <v>395</v>
      </c>
      <c r="AQ73" s="142" t="s">
        <v>395</v>
      </c>
      <c r="AR73" s="142" t="s">
        <v>395</v>
      </c>
      <c r="AS73" s="142" t="s">
        <v>395</v>
      </c>
      <c r="AT73" s="142" t="s">
        <v>395</v>
      </c>
      <c r="AU73" s="142" t="s">
        <v>395</v>
      </c>
      <c r="AV73" s="142" t="s">
        <v>395</v>
      </c>
      <c r="AW73" s="142" t="s">
        <v>395</v>
      </c>
      <c r="AX73" s="149" t="s">
        <v>1742</v>
      </c>
      <c r="AY73" s="149" t="s">
        <v>1743</v>
      </c>
    </row>
    <row r="74" spans="1:51" ht="409.5" x14ac:dyDescent="0.25">
      <c r="A74" s="15" t="s">
        <v>223</v>
      </c>
      <c r="B74" s="150" t="s">
        <v>1637</v>
      </c>
      <c r="C74" s="919"/>
      <c r="D74" s="919"/>
      <c r="E74" s="919"/>
      <c r="F74" s="139" t="s">
        <v>1734</v>
      </c>
      <c r="G74" s="919"/>
      <c r="H74" s="150" t="s">
        <v>1752</v>
      </c>
      <c r="I74" s="151" t="s">
        <v>1753</v>
      </c>
      <c r="J74" s="159">
        <v>0</v>
      </c>
      <c r="K74" s="159" t="s">
        <v>323</v>
      </c>
      <c r="L74" s="159">
        <v>1</v>
      </c>
      <c r="M74" s="142" t="s">
        <v>1751</v>
      </c>
      <c r="N74" s="151" t="s">
        <v>1753</v>
      </c>
      <c r="O74" s="142">
        <v>0.1</v>
      </c>
      <c r="P74" s="157">
        <v>20000</v>
      </c>
      <c r="Q74" s="157">
        <v>10000</v>
      </c>
      <c r="R74" s="142">
        <v>0</v>
      </c>
      <c r="S74" s="142">
        <v>0</v>
      </c>
      <c r="T74" s="142">
        <v>0</v>
      </c>
      <c r="U74" s="142">
        <v>0</v>
      </c>
      <c r="V74" s="142">
        <v>0</v>
      </c>
      <c r="W74" s="142">
        <v>0</v>
      </c>
      <c r="X74" s="142">
        <v>0</v>
      </c>
      <c r="Y74" s="142">
        <v>0</v>
      </c>
      <c r="Z74" s="142"/>
      <c r="AA74" s="142">
        <v>0</v>
      </c>
      <c r="AB74" s="157">
        <v>10000</v>
      </c>
      <c r="AC74" s="142">
        <v>0</v>
      </c>
      <c r="AD74" s="142">
        <v>0</v>
      </c>
      <c r="AE74" s="143" t="s">
        <v>1738</v>
      </c>
      <c r="AF74" s="143" t="s">
        <v>1739</v>
      </c>
      <c r="AG74" s="142">
        <v>42</v>
      </c>
      <c r="AH74" s="142">
        <v>7</v>
      </c>
      <c r="AI74" s="142" t="s">
        <v>1740</v>
      </c>
      <c r="AJ74" s="157">
        <v>423636000</v>
      </c>
      <c r="AK74" s="149" t="s">
        <v>1741</v>
      </c>
      <c r="AL74" s="152"/>
      <c r="AM74" s="142" t="s">
        <v>395</v>
      </c>
      <c r="AN74" s="142" t="s">
        <v>395</v>
      </c>
      <c r="AO74" s="142" t="s">
        <v>395</v>
      </c>
      <c r="AP74" s="142" t="s">
        <v>395</v>
      </c>
      <c r="AQ74" s="142" t="s">
        <v>395</v>
      </c>
      <c r="AR74" s="142" t="s">
        <v>395</v>
      </c>
      <c r="AS74" s="142" t="s">
        <v>395</v>
      </c>
      <c r="AT74" s="142" t="s">
        <v>395</v>
      </c>
      <c r="AU74" s="142" t="s">
        <v>395</v>
      </c>
      <c r="AV74" s="142" t="s">
        <v>395</v>
      </c>
      <c r="AW74" s="142" t="s">
        <v>395</v>
      </c>
      <c r="AX74" s="149" t="s">
        <v>1742</v>
      </c>
      <c r="AY74" s="149" t="s">
        <v>1743</v>
      </c>
    </row>
    <row r="75" spans="1:51" ht="409.5" x14ac:dyDescent="0.25">
      <c r="A75" s="15" t="s">
        <v>223</v>
      </c>
      <c r="B75" s="150" t="s">
        <v>1637</v>
      </c>
      <c r="C75" s="150" t="s">
        <v>1754</v>
      </c>
      <c r="D75" s="150" t="s">
        <v>1755</v>
      </c>
      <c r="E75" s="150">
        <v>0</v>
      </c>
      <c r="F75" s="139" t="s">
        <v>1734</v>
      </c>
      <c r="G75" s="919"/>
      <c r="H75" s="150" t="s">
        <v>1756</v>
      </c>
      <c r="I75" s="151" t="s">
        <v>1757</v>
      </c>
      <c r="J75" s="159">
        <v>0</v>
      </c>
      <c r="K75" s="159" t="s">
        <v>323</v>
      </c>
      <c r="L75" s="142">
        <v>1</v>
      </c>
      <c r="M75" s="142">
        <v>0.3</v>
      </c>
      <c r="N75" s="151" t="s">
        <v>1757</v>
      </c>
      <c r="O75" s="142">
        <v>0.1</v>
      </c>
      <c r="P75" s="157">
        <v>110000</v>
      </c>
      <c r="Q75" s="157">
        <v>50000</v>
      </c>
      <c r="R75" s="142">
        <v>0</v>
      </c>
      <c r="S75" s="142">
        <v>0</v>
      </c>
      <c r="T75" s="142">
        <v>0</v>
      </c>
      <c r="U75" s="142">
        <v>0</v>
      </c>
      <c r="V75" s="142">
        <v>0</v>
      </c>
      <c r="W75" s="142">
        <v>0</v>
      </c>
      <c r="X75" s="142">
        <v>0</v>
      </c>
      <c r="Y75" s="142">
        <v>0</v>
      </c>
      <c r="Z75" s="142">
        <v>0</v>
      </c>
      <c r="AA75" s="142">
        <v>0</v>
      </c>
      <c r="AB75" s="157">
        <v>60000</v>
      </c>
      <c r="AC75" s="142">
        <v>0</v>
      </c>
      <c r="AD75" s="142">
        <v>0</v>
      </c>
      <c r="AE75" s="143" t="s">
        <v>1738</v>
      </c>
      <c r="AF75" s="143" t="s">
        <v>1739</v>
      </c>
      <c r="AG75" s="142">
        <v>42</v>
      </c>
      <c r="AH75" s="142">
        <v>7</v>
      </c>
      <c r="AI75" s="142" t="s">
        <v>1740</v>
      </c>
      <c r="AJ75" s="157">
        <v>423636000</v>
      </c>
      <c r="AK75" s="149" t="s">
        <v>1741</v>
      </c>
      <c r="AL75" s="152"/>
      <c r="AM75" s="142" t="s">
        <v>395</v>
      </c>
      <c r="AN75" s="142" t="s">
        <v>395</v>
      </c>
      <c r="AO75" s="142" t="s">
        <v>395</v>
      </c>
      <c r="AP75" s="142" t="s">
        <v>395</v>
      </c>
      <c r="AQ75" s="142" t="s">
        <v>395</v>
      </c>
      <c r="AR75" s="142" t="s">
        <v>395</v>
      </c>
      <c r="AS75" s="142" t="s">
        <v>395</v>
      </c>
      <c r="AT75" s="142" t="s">
        <v>395</v>
      </c>
      <c r="AU75" s="142" t="s">
        <v>395</v>
      </c>
      <c r="AV75" s="142" t="s">
        <v>395</v>
      </c>
      <c r="AW75" s="142" t="s">
        <v>395</v>
      </c>
      <c r="AX75" s="149" t="s">
        <v>1742</v>
      </c>
      <c r="AY75" s="149" t="s">
        <v>1743</v>
      </c>
    </row>
  </sheetData>
  <sheetProtection password="C71C" sheet="1" objects="1" scenarios="1"/>
  <mergeCells count="59">
    <mergeCell ref="F14:F15"/>
    <mergeCell ref="A2:L2"/>
    <mergeCell ref="A3:L3"/>
    <mergeCell ref="A5:L5"/>
    <mergeCell ref="A6:L6"/>
    <mergeCell ref="A9:M9"/>
    <mergeCell ref="A11:M11"/>
    <mergeCell ref="A14:A15"/>
    <mergeCell ref="B14:B15"/>
    <mergeCell ref="C14:C15"/>
    <mergeCell ref="D14:D15"/>
    <mergeCell ref="E14:E15"/>
    <mergeCell ref="AE14:AE15"/>
    <mergeCell ref="AF14:AF15"/>
    <mergeCell ref="G14:G15"/>
    <mergeCell ref="H14:H15"/>
    <mergeCell ref="I14:I15"/>
    <mergeCell ref="J14:J15"/>
    <mergeCell ref="K14:K15"/>
    <mergeCell ref="L14:L15"/>
    <mergeCell ref="AX14:AX15"/>
    <mergeCell ref="AY14:AY15"/>
    <mergeCell ref="C16:C28"/>
    <mergeCell ref="D16:D28"/>
    <mergeCell ref="E16:E28"/>
    <mergeCell ref="G16:G28"/>
    <mergeCell ref="AG14:AG15"/>
    <mergeCell ref="AH14:AH15"/>
    <mergeCell ref="AI14:AI15"/>
    <mergeCell ref="AJ14:AJ15"/>
    <mergeCell ref="AK14:AK15"/>
    <mergeCell ref="AL14:AW14"/>
    <mergeCell ref="M14:M15"/>
    <mergeCell ref="N14:O14"/>
    <mergeCell ref="P14:P15"/>
    <mergeCell ref="Q14:AD14"/>
    <mergeCell ref="C29:C46"/>
    <mergeCell ref="D29:D46"/>
    <mergeCell ref="E29:E46"/>
    <mergeCell ref="G29:G46"/>
    <mergeCell ref="C47:C53"/>
    <mergeCell ref="D47:D53"/>
    <mergeCell ref="E47:E53"/>
    <mergeCell ref="G47:G53"/>
    <mergeCell ref="C54:C58"/>
    <mergeCell ref="D54:D58"/>
    <mergeCell ref="E54:E58"/>
    <mergeCell ref="G54:G62"/>
    <mergeCell ref="C59:C62"/>
    <mergeCell ref="D59:D62"/>
    <mergeCell ref="E59:E62"/>
    <mergeCell ref="C63:C69"/>
    <mergeCell ref="D63:D69"/>
    <mergeCell ref="E63:E69"/>
    <mergeCell ref="G63:G69"/>
    <mergeCell ref="C70:C74"/>
    <mergeCell ref="D70:D74"/>
    <mergeCell ref="E70:E74"/>
    <mergeCell ref="G70:G7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6"/>
  <sheetViews>
    <sheetView workbookViewId="0">
      <selection activeCell="N12" sqref="N12"/>
    </sheetView>
  </sheetViews>
  <sheetFormatPr baseColWidth="10" defaultRowHeight="15" x14ac:dyDescent="0.25"/>
  <cols>
    <col min="38" max="49" width="4.7109375" customWidth="1"/>
  </cols>
  <sheetData>
    <row r="1" spans="1:51" ht="18" x14ac:dyDescent="0.25">
      <c r="A1" s="910" t="s">
        <v>0</v>
      </c>
      <c r="B1" s="910"/>
      <c r="C1" s="910"/>
      <c r="D1" s="910"/>
      <c r="E1" s="910"/>
      <c r="F1" s="910"/>
      <c r="G1" s="910"/>
      <c r="H1" s="910"/>
      <c r="I1" s="910"/>
      <c r="J1" s="910"/>
      <c r="K1" s="910"/>
      <c r="L1" s="910"/>
      <c r="M1" s="129"/>
      <c r="N1" s="129"/>
      <c r="O1" s="129"/>
      <c r="P1" s="129"/>
      <c r="Q1" s="659"/>
      <c r="R1" s="129"/>
      <c r="S1" s="129"/>
      <c r="T1" s="129"/>
      <c r="U1" s="129"/>
      <c r="V1" s="129"/>
      <c r="W1" s="129"/>
      <c r="X1" s="129"/>
      <c r="Y1" s="129"/>
      <c r="Z1" s="129"/>
      <c r="AA1" s="129"/>
      <c r="AB1" s="129"/>
      <c r="AC1" s="129"/>
      <c r="AD1" s="129"/>
      <c r="AE1" s="129"/>
      <c r="AF1" s="129"/>
      <c r="AG1" s="129"/>
      <c r="AH1" s="129"/>
      <c r="AI1" s="129"/>
      <c r="AJ1" s="660"/>
      <c r="AK1" s="129"/>
      <c r="AL1" s="129"/>
      <c r="AM1" s="129"/>
      <c r="AN1" s="129"/>
      <c r="AO1" s="129"/>
      <c r="AP1" s="129"/>
      <c r="AQ1" s="129"/>
      <c r="AR1" s="129"/>
      <c r="AS1" s="129"/>
      <c r="AT1" s="129"/>
      <c r="AU1" s="129"/>
      <c r="AV1" s="129"/>
      <c r="AW1" s="129"/>
      <c r="AX1" s="129"/>
      <c r="AY1" s="129"/>
    </row>
    <row r="2" spans="1:51" ht="18" x14ac:dyDescent="0.25">
      <c r="A2" s="911" t="s">
        <v>1</v>
      </c>
      <c r="B2" s="911"/>
      <c r="C2" s="911"/>
      <c r="D2" s="911"/>
      <c r="E2" s="911"/>
      <c r="F2" s="911"/>
      <c r="G2" s="911"/>
      <c r="H2" s="911"/>
      <c r="I2" s="911"/>
      <c r="J2" s="911"/>
      <c r="K2" s="911"/>
      <c r="L2" s="911"/>
      <c r="M2" s="129"/>
      <c r="N2" s="129"/>
      <c r="O2" s="129"/>
      <c r="P2" s="129"/>
      <c r="Q2" s="659"/>
      <c r="R2" s="129"/>
      <c r="S2" s="129"/>
      <c r="T2" s="129"/>
      <c r="U2" s="129"/>
      <c r="V2" s="129"/>
      <c r="W2" s="129"/>
      <c r="X2" s="129"/>
      <c r="Y2" s="129"/>
      <c r="Z2" s="129"/>
      <c r="AA2" s="129"/>
      <c r="AB2" s="129"/>
      <c r="AC2" s="129"/>
      <c r="AD2" s="129"/>
      <c r="AE2" s="129"/>
      <c r="AF2" s="129"/>
      <c r="AG2" s="129"/>
      <c r="AH2" s="129"/>
      <c r="AI2" s="129"/>
      <c r="AJ2" s="660"/>
      <c r="AK2" s="129"/>
      <c r="AL2" s="129"/>
      <c r="AM2" s="129"/>
      <c r="AN2" s="129"/>
      <c r="AO2" s="129"/>
      <c r="AP2" s="129"/>
      <c r="AQ2" s="129"/>
      <c r="AR2" s="129"/>
      <c r="AS2" s="129"/>
      <c r="AT2" s="129"/>
      <c r="AU2" s="129"/>
      <c r="AV2" s="129"/>
      <c r="AW2" s="129"/>
      <c r="AX2" s="129"/>
      <c r="AY2" s="129"/>
    </row>
    <row r="3" spans="1:51" ht="18" x14ac:dyDescent="0.25">
      <c r="A3" s="912" t="s">
        <v>2</v>
      </c>
      <c r="B3" s="912"/>
      <c r="C3" s="912"/>
      <c r="D3" s="912"/>
      <c r="E3" s="912"/>
      <c r="F3" s="912"/>
      <c r="G3" s="912"/>
      <c r="H3" s="912"/>
      <c r="I3" s="912"/>
      <c r="J3" s="912"/>
      <c r="K3" s="912"/>
      <c r="L3" s="912"/>
      <c r="M3" s="129"/>
      <c r="N3" s="129"/>
      <c r="O3" s="129"/>
      <c r="P3" s="129"/>
      <c r="Q3" s="659"/>
      <c r="R3" s="129"/>
      <c r="S3" s="129"/>
      <c r="T3" s="129"/>
      <c r="U3" s="129"/>
      <c r="V3" s="129"/>
      <c r="W3" s="129"/>
      <c r="X3" s="129"/>
      <c r="Y3" s="129"/>
      <c r="Z3" s="129"/>
      <c r="AA3" s="129"/>
      <c r="AB3" s="129"/>
      <c r="AC3" s="129"/>
      <c r="AD3" s="129"/>
      <c r="AE3" s="129"/>
      <c r="AF3" s="129"/>
      <c r="AG3" s="129"/>
      <c r="AH3" s="129"/>
      <c r="AI3" s="129"/>
      <c r="AJ3" s="660"/>
      <c r="AK3" s="129"/>
      <c r="AL3" s="129"/>
      <c r="AM3" s="129"/>
      <c r="AN3" s="129"/>
      <c r="AO3" s="129"/>
      <c r="AP3" s="129"/>
      <c r="AQ3" s="129"/>
      <c r="AR3" s="129"/>
      <c r="AS3" s="129"/>
      <c r="AT3" s="129"/>
      <c r="AU3" s="129"/>
      <c r="AV3" s="129"/>
      <c r="AW3" s="129"/>
      <c r="AX3" s="129"/>
      <c r="AY3" s="129"/>
    </row>
    <row r="4" spans="1:51" ht="18" x14ac:dyDescent="0.25">
      <c r="A4" s="910" t="s">
        <v>321</v>
      </c>
      <c r="B4" s="910"/>
      <c r="C4" s="910"/>
      <c r="D4" s="910"/>
      <c r="E4" s="910"/>
      <c r="F4" s="910"/>
      <c r="G4" s="910"/>
      <c r="H4" s="910"/>
      <c r="I4" s="910"/>
      <c r="J4" s="910"/>
      <c r="K4" s="910"/>
      <c r="L4" s="910"/>
      <c r="M4" s="129"/>
      <c r="N4" s="129"/>
      <c r="O4" s="129"/>
      <c r="P4" s="129"/>
      <c r="Q4" s="659"/>
      <c r="R4" s="129"/>
      <c r="S4" s="129"/>
      <c r="T4" s="129"/>
      <c r="U4" s="129"/>
      <c r="V4" s="129"/>
      <c r="W4" s="129"/>
      <c r="X4" s="129"/>
      <c r="Y4" s="129"/>
      <c r="Z4" s="129"/>
      <c r="AA4" s="129"/>
      <c r="AB4" s="129"/>
      <c r="AC4" s="129"/>
      <c r="AD4" s="129"/>
      <c r="AE4" s="129"/>
      <c r="AF4" s="129"/>
      <c r="AG4" s="129"/>
      <c r="AH4" s="129"/>
      <c r="AI4" s="129"/>
      <c r="AJ4" s="660"/>
      <c r="AK4" s="129"/>
      <c r="AL4" s="129"/>
      <c r="AM4" s="129"/>
      <c r="AN4" s="129"/>
      <c r="AO4" s="129"/>
      <c r="AP4" s="129"/>
      <c r="AQ4" s="129"/>
      <c r="AR4" s="129"/>
      <c r="AS4" s="129"/>
      <c r="AT4" s="129"/>
      <c r="AU4" s="129"/>
      <c r="AV4" s="129"/>
      <c r="AW4" s="129"/>
      <c r="AX4" s="129"/>
      <c r="AY4" s="129"/>
    </row>
    <row r="5" spans="1:51" ht="18" x14ac:dyDescent="0.25">
      <c r="A5" s="650"/>
      <c r="B5" s="650"/>
      <c r="C5" s="650"/>
      <c r="D5" s="650"/>
      <c r="E5" s="650"/>
      <c r="F5" s="650"/>
      <c r="G5" s="650"/>
      <c r="H5" s="650"/>
      <c r="I5" s="650"/>
      <c r="J5" s="650"/>
      <c r="K5" s="650"/>
      <c r="L5" s="650"/>
      <c r="M5" s="129"/>
      <c r="N5" s="129"/>
      <c r="O5" s="129"/>
      <c r="P5" s="129"/>
      <c r="Q5" s="659"/>
      <c r="R5" s="129"/>
      <c r="S5" s="129"/>
      <c r="T5" s="129"/>
      <c r="U5" s="129"/>
      <c r="V5" s="129"/>
      <c r="W5" s="129"/>
      <c r="X5" s="129"/>
      <c r="Y5" s="129"/>
      <c r="Z5" s="129"/>
      <c r="AA5" s="129"/>
      <c r="AB5" s="129"/>
      <c r="AC5" s="129"/>
      <c r="AD5" s="129"/>
      <c r="AE5" s="129"/>
      <c r="AF5" s="129"/>
      <c r="AG5" s="129"/>
      <c r="AH5" s="129"/>
      <c r="AI5" s="129"/>
      <c r="AJ5" s="660"/>
      <c r="AK5" s="129"/>
      <c r="AL5" s="129"/>
      <c r="AM5" s="129"/>
      <c r="AN5" s="129"/>
      <c r="AO5" s="129"/>
      <c r="AP5" s="129"/>
      <c r="AQ5" s="129"/>
      <c r="AR5" s="129"/>
      <c r="AS5" s="129"/>
      <c r="AT5" s="129"/>
      <c r="AU5" s="129"/>
      <c r="AV5" s="129"/>
      <c r="AW5" s="129"/>
      <c r="AX5" s="129"/>
      <c r="AY5" s="129"/>
    </row>
    <row r="6" spans="1:51" x14ac:dyDescent="0.25">
      <c r="A6" s="861" t="s">
        <v>3209</v>
      </c>
      <c r="B6" s="861"/>
      <c r="C6" s="861"/>
      <c r="D6" s="861"/>
      <c r="E6" s="861"/>
      <c r="F6" s="861"/>
      <c r="G6" s="861"/>
      <c r="H6" s="861"/>
      <c r="I6" s="861"/>
      <c r="J6" s="861"/>
      <c r="K6" s="861"/>
      <c r="L6" s="861"/>
      <c r="M6" s="861"/>
      <c r="N6" s="861"/>
      <c r="O6" s="129"/>
      <c r="P6" s="129"/>
      <c r="Q6" s="659"/>
      <c r="R6" s="129"/>
      <c r="S6" s="129"/>
      <c r="T6" s="129"/>
      <c r="U6" s="129"/>
      <c r="V6" s="129"/>
      <c r="W6" s="129"/>
      <c r="X6" s="129"/>
      <c r="Y6" s="129"/>
      <c r="Z6" s="129"/>
      <c r="AA6" s="129"/>
      <c r="AB6" s="129"/>
      <c r="AC6" s="129"/>
      <c r="AD6" s="129"/>
      <c r="AE6" s="129"/>
      <c r="AF6" s="129"/>
      <c r="AG6" s="129"/>
      <c r="AH6" s="129"/>
      <c r="AI6" s="129"/>
      <c r="AJ6" s="660"/>
      <c r="AK6" s="129"/>
      <c r="AL6" s="129"/>
      <c r="AM6" s="129"/>
      <c r="AN6" s="129"/>
      <c r="AO6" s="129"/>
      <c r="AP6" s="129"/>
      <c r="AQ6" s="129"/>
      <c r="AR6" s="129"/>
      <c r="AS6" s="129"/>
      <c r="AT6" s="129"/>
      <c r="AU6" s="129"/>
      <c r="AV6" s="129"/>
      <c r="AW6" s="129"/>
      <c r="AX6" s="129"/>
      <c r="AY6" s="129"/>
    </row>
    <row r="7" spans="1:51" x14ac:dyDescent="0.25">
      <c r="A7" s="932" t="s">
        <v>3210</v>
      </c>
      <c r="B7" s="932"/>
      <c r="C7" s="932"/>
      <c r="D7" s="932"/>
      <c r="E7" s="932"/>
      <c r="F7" s="932"/>
      <c r="G7" s="932"/>
      <c r="H7" s="932"/>
      <c r="I7" s="932"/>
      <c r="J7" s="932"/>
      <c r="K7" s="932"/>
      <c r="L7" s="932"/>
      <c r="M7" s="932"/>
      <c r="N7" s="932"/>
      <c r="O7" s="129"/>
      <c r="P7" s="129"/>
      <c r="Q7" s="659"/>
      <c r="R7" s="129"/>
      <c r="S7" s="129"/>
      <c r="T7" s="129"/>
      <c r="U7" s="129"/>
      <c r="V7" s="129"/>
      <c r="W7" s="129"/>
      <c r="X7" s="129"/>
      <c r="Y7" s="129"/>
      <c r="Z7" s="129"/>
      <c r="AA7" s="129"/>
      <c r="AB7" s="129"/>
      <c r="AC7" s="129"/>
      <c r="AD7" s="129"/>
      <c r="AE7" s="129"/>
      <c r="AF7" s="129"/>
      <c r="AG7" s="129"/>
      <c r="AH7" s="129"/>
      <c r="AI7" s="129"/>
      <c r="AJ7" s="660"/>
      <c r="AK7" s="129"/>
      <c r="AL7" s="129"/>
      <c r="AM7" s="129"/>
      <c r="AN7" s="129"/>
      <c r="AO7" s="129"/>
      <c r="AP7" s="129"/>
      <c r="AQ7" s="129"/>
      <c r="AR7" s="129"/>
      <c r="AS7" s="129"/>
      <c r="AT7" s="129"/>
      <c r="AU7" s="129"/>
      <c r="AV7" s="129"/>
      <c r="AW7" s="129"/>
      <c r="AX7" s="129"/>
      <c r="AY7" s="129"/>
    </row>
    <row r="8" spans="1:51" ht="18" x14ac:dyDescent="0.25">
      <c r="A8" s="650"/>
      <c r="B8" s="650"/>
      <c r="C8" s="650"/>
      <c r="D8" s="650"/>
      <c r="E8" s="650"/>
      <c r="F8" s="650"/>
      <c r="G8" s="650"/>
      <c r="H8" s="650"/>
      <c r="I8" s="650"/>
      <c r="J8" s="650"/>
      <c r="K8" s="650"/>
      <c r="L8" s="650"/>
      <c r="M8" s="129"/>
      <c r="N8" s="129"/>
      <c r="O8" s="129"/>
      <c r="P8" s="129"/>
      <c r="Q8" s="659"/>
      <c r="R8" s="129"/>
      <c r="S8" s="129"/>
      <c r="T8" s="129"/>
      <c r="U8" s="129"/>
      <c r="V8" s="129"/>
      <c r="W8" s="129"/>
      <c r="X8" s="129"/>
      <c r="Y8" s="129"/>
      <c r="Z8" s="129"/>
      <c r="AA8" s="129"/>
      <c r="AB8" s="129"/>
      <c r="AC8" s="129"/>
      <c r="AD8" s="129"/>
      <c r="AE8" s="129"/>
      <c r="AF8" s="129"/>
      <c r="AG8" s="129"/>
      <c r="AH8" s="129"/>
      <c r="AI8" s="129"/>
      <c r="AJ8" s="660"/>
      <c r="AK8" s="129"/>
      <c r="AL8" s="129"/>
      <c r="AM8" s="129"/>
      <c r="AN8" s="129"/>
      <c r="AO8" s="129"/>
      <c r="AP8" s="129"/>
      <c r="AQ8" s="129"/>
      <c r="AR8" s="129"/>
      <c r="AS8" s="129"/>
      <c r="AT8" s="129"/>
      <c r="AU8" s="129"/>
      <c r="AV8" s="129"/>
      <c r="AW8" s="129"/>
      <c r="AX8" s="129"/>
      <c r="AY8" s="129"/>
    </row>
    <row r="9" spans="1:51" x14ac:dyDescent="0.25">
      <c r="A9" s="126"/>
      <c r="B9" s="126"/>
      <c r="C9" s="126"/>
      <c r="D9" s="126"/>
      <c r="E9" s="126"/>
      <c r="F9" s="126"/>
      <c r="G9" s="126"/>
      <c r="H9" s="127"/>
      <c r="I9" s="126"/>
      <c r="J9" s="126"/>
      <c r="K9" s="126"/>
      <c r="L9" s="126"/>
      <c r="M9" s="129"/>
      <c r="N9" s="129"/>
      <c r="O9" s="129"/>
      <c r="P9" s="129"/>
      <c r="Q9" s="659"/>
      <c r="R9" s="129"/>
      <c r="S9" s="129"/>
      <c r="T9" s="129"/>
      <c r="U9" s="129"/>
      <c r="V9" s="129"/>
      <c r="W9" s="129"/>
      <c r="X9" s="129"/>
      <c r="Y9" s="129"/>
      <c r="Z9" s="129"/>
      <c r="AA9" s="129"/>
      <c r="AB9" s="129"/>
      <c r="AC9" s="129"/>
      <c r="AD9" s="129"/>
      <c r="AE9" s="129"/>
      <c r="AF9" s="129"/>
      <c r="AG9" s="129"/>
      <c r="AH9" s="129"/>
      <c r="AI9" s="129"/>
      <c r="AJ9" s="660"/>
      <c r="AK9" s="129"/>
      <c r="AL9" s="129"/>
      <c r="AM9" s="129"/>
      <c r="AN9" s="129"/>
      <c r="AO9" s="129"/>
      <c r="AP9" s="129"/>
      <c r="AQ9" s="129"/>
      <c r="AR9" s="129"/>
      <c r="AS9" s="129"/>
      <c r="AT9" s="129"/>
      <c r="AU9" s="129"/>
      <c r="AV9" s="129"/>
      <c r="AW9" s="129"/>
      <c r="AX9" s="129"/>
      <c r="AY9" s="129"/>
    </row>
    <row r="10" spans="1:51" x14ac:dyDescent="0.25">
      <c r="A10" s="866" t="s">
        <v>3</v>
      </c>
      <c r="B10" s="866" t="s">
        <v>4</v>
      </c>
      <c r="C10" s="864" t="s">
        <v>5</v>
      </c>
      <c r="D10" s="864" t="s">
        <v>6</v>
      </c>
      <c r="E10" s="864" t="s">
        <v>7</v>
      </c>
      <c r="F10" s="864" t="s">
        <v>8</v>
      </c>
      <c r="G10" s="864" t="s">
        <v>9</v>
      </c>
      <c r="H10" s="864" t="s">
        <v>10</v>
      </c>
      <c r="I10" s="864" t="s">
        <v>11</v>
      </c>
      <c r="J10" s="864" t="s">
        <v>12</v>
      </c>
      <c r="K10" s="864" t="s">
        <v>13</v>
      </c>
      <c r="L10" s="864" t="s">
        <v>14</v>
      </c>
      <c r="M10" s="936" t="s">
        <v>325</v>
      </c>
      <c r="N10" s="853" t="s">
        <v>11</v>
      </c>
      <c r="O10" s="853"/>
      <c r="P10" s="853" t="s">
        <v>326</v>
      </c>
      <c r="Q10" s="915" t="s">
        <v>15</v>
      </c>
      <c r="R10" s="915"/>
      <c r="S10" s="915"/>
      <c r="T10" s="915"/>
      <c r="U10" s="915"/>
      <c r="V10" s="915"/>
      <c r="W10" s="915"/>
      <c r="X10" s="915"/>
      <c r="Y10" s="915"/>
      <c r="Z10" s="915"/>
      <c r="AA10" s="915"/>
      <c r="AB10" s="915"/>
      <c r="AC10" s="915"/>
      <c r="AD10" s="915"/>
      <c r="AE10" s="915" t="s">
        <v>16</v>
      </c>
      <c r="AF10" s="915" t="s">
        <v>17</v>
      </c>
      <c r="AG10" s="915" t="s">
        <v>618</v>
      </c>
      <c r="AH10" s="921" t="s">
        <v>19</v>
      </c>
      <c r="AI10" s="915" t="s">
        <v>619</v>
      </c>
      <c r="AJ10" s="935" t="s">
        <v>2774</v>
      </c>
      <c r="AK10" s="915" t="s">
        <v>21</v>
      </c>
      <c r="AL10" s="916" t="s">
        <v>22</v>
      </c>
      <c r="AM10" s="916"/>
      <c r="AN10" s="916"/>
      <c r="AO10" s="916"/>
      <c r="AP10" s="916"/>
      <c r="AQ10" s="916"/>
      <c r="AR10" s="916"/>
      <c r="AS10" s="916"/>
      <c r="AT10" s="916"/>
      <c r="AU10" s="916"/>
      <c r="AV10" s="916"/>
      <c r="AW10" s="916"/>
      <c r="AX10" s="916" t="s">
        <v>23</v>
      </c>
      <c r="AY10" s="917" t="s">
        <v>24</v>
      </c>
    </row>
    <row r="11" spans="1:51" ht="63.75" x14ac:dyDescent="0.25">
      <c r="A11" s="867"/>
      <c r="B11" s="867"/>
      <c r="C11" s="868"/>
      <c r="D11" s="868"/>
      <c r="E11" s="868"/>
      <c r="F11" s="868"/>
      <c r="G11" s="868"/>
      <c r="H11" s="868"/>
      <c r="I11" s="868"/>
      <c r="J11" s="868"/>
      <c r="K11" s="868"/>
      <c r="L11" s="868"/>
      <c r="M11" s="937"/>
      <c r="N11" s="642" t="s">
        <v>25</v>
      </c>
      <c r="O11" s="642" t="s">
        <v>26</v>
      </c>
      <c r="P11" s="853"/>
      <c r="Q11" s="641" t="s">
        <v>27</v>
      </c>
      <c r="R11" s="641" t="s">
        <v>28</v>
      </c>
      <c r="S11" s="641" t="s">
        <v>29</v>
      </c>
      <c r="T11" s="641" t="s">
        <v>623</v>
      </c>
      <c r="U11" s="641" t="s">
        <v>30</v>
      </c>
      <c r="V11" s="641" t="s">
        <v>1449</v>
      </c>
      <c r="W11" s="641" t="s">
        <v>1450</v>
      </c>
      <c r="X11" s="641" t="s">
        <v>33</v>
      </c>
      <c r="Y11" s="641" t="s">
        <v>34</v>
      </c>
      <c r="Z11" s="641" t="s">
        <v>3211</v>
      </c>
      <c r="AA11" s="641" t="s">
        <v>36</v>
      </c>
      <c r="AB11" s="641" t="s">
        <v>37</v>
      </c>
      <c r="AC11" s="641" t="s">
        <v>38</v>
      </c>
      <c r="AD11" s="641" t="s">
        <v>39</v>
      </c>
      <c r="AE11" s="915"/>
      <c r="AF11" s="915"/>
      <c r="AG11" s="915"/>
      <c r="AH11" s="922"/>
      <c r="AI11" s="915"/>
      <c r="AJ11" s="915"/>
      <c r="AK11" s="923"/>
      <c r="AL11" s="648" t="s">
        <v>40</v>
      </c>
      <c r="AM11" s="648" t="s">
        <v>41</v>
      </c>
      <c r="AN11" s="648" t="s">
        <v>42</v>
      </c>
      <c r="AO11" s="648" t="s">
        <v>43</v>
      </c>
      <c r="AP11" s="648" t="s">
        <v>42</v>
      </c>
      <c r="AQ11" s="648" t="s">
        <v>44</v>
      </c>
      <c r="AR11" s="648" t="s">
        <v>44</v>
      </c>
      <c r="AS11" s="648" t="s">
        <v>43</v>
      </c>
      <c r="AT11" s="648" t="s">
        <v>45</v>
      </c>
      <c r="AU11" s="648" t="s">
        <v>46</v>
      </c>
      <c r="AV11" s="648" t="s">
        <v>47</v>
      </c>
      <c r="AW11" s="648" t="s">
        <v>48</v>
      </c>
      <c r="AX11" s="916"/>
      <c r="AY11" s="918"/>
    </row>
    <row r="12" spans="1:51" ht="299.25" x14ac:dyDescent="0.25">
      <c r="A12" s="252" t="s">
        <v>49</v>
      </c>
      <c r="B12" s="252" t="s">
        <v>1451</v>
      </c>
      <c r="C12" s="933" t="s">
        <v>3212</v>
      </c>
      <c r="D12" s="933" t="s">
        <v>3213</v>
      </c>
      <c r="E12" s="934">
        <v>0</v>
      </c>
      <c r="F12" s="731" t="s">
        <v>3214</v>
      </c>
      <c r="G12" s="934" t="s">
        <v>3215</v>
      </c>
      <c r="H12" s="732" t="s">
        <v>3216</v>
      </c>
      <c r="I12" s="731" t="s">
        <v>3217</v>
      </c>
      <c r="J12" s="177">
        <v>0</v>
      </c>
      <c r="K12" s="177" t="s">
        <v>323</v>
      </c>
      <c r="L12" s="177">
        <v>14</v>
      </c>
      <c r="M12" s="177">
        <v>5</v>
      </c>
      <c r="N12" s="731" t="s">
        <v>3217</v>
      </c>
      <c r="O12" s="733"/>
      <c r="P12" s="734">
        <f>SUM(Q12+R12+S12+T12+U12+V12+W12+X12+Y12+Z12+AA12+AB12+AC12+AD12)</f>
        <v>123998</v>
      </c>
      <c r="Q12" s="735">
        <v>17142</v>
      </c>
      <c r="R12" s="735"/>
      <c r="S12" s="735"/>
      <c r="T12" s="735"/>
      <c r="U12" s="735">
        <v>34286</v>
      </c>
      <c r="V12" s="567"/>
      <c r="W12" s="567"/>
      <c r="X12" s="567"/>
      <c r="Y12" s="735">
        <v>4571</v>
      </c>
      <c r="Z12" s="735">
        <v>25714</v>
      </c>
      <c r="AA12" s="735"/>
      <c r="AB12" s="735">
        <v>9143</v>
      </c>
      <c r="AC12" s="735">
        <v>33142</v>
      </c>
      <c r="AD12" s="567"/>
      <c r="AE12" s="736" t="s">
        <v>3218</v>
      </c>
      <c r="AF12" s="733" t="s">
        <v>3219</v>
      </c>
      <c r="AG12" s="733" t="s">
        <v>3220</v>
      </c>
      <c r="AH12" s="733" t="s">
        <v>3221</v>
      </c>
      <c r="AI12" s="733">
        <v>480</v>
      </c>
      <c r="AJ12" s="733"/>
      <c r="AK12" s="737"/>
      <c r="AL12" s="738"/>
      <c r="AM12" s="738"/>
      <c r="AN12" s="738"/>
      <c r="AO12" s="738"/>
      <c r="AP12" s="738"/>
      <c r="AQ12" s="738"/>
      <c r="AR12" s="738"/>
      <c r="AS12" s="738"/>
      <c r="AT12" s="738"/>
      <c r="AU12" s="738"/>
      <c r="AV12" s="738"/>
      <c r="AW12" s="738"/>
      <c r="AX12" s="738"/>
      <c r="AY12" s="739"/>
    </row>
    <row r="13" spans="1:51" ht="346.5" x14ac:dyDescent="0.25">
      <c r="A13" s="252" t="s">
        <v>49</v>
      </c>
      <c r="B13" s="252" t="s">
        <v>1451</v>
      </c>
      <c r="C13" s="933"/>
      <c r="D13" s="933"/>
      <c r="E13" s="934"/>
      <c r="F13" s="731" t="s">
        <v>3214</v>
      </c>
      <c r="G13" s="934"/>
      <c r="H13" s="732" t="s">
        <v>3222</v>
      </c>
      <c r="I13" s="731" t="s">
        <v>3223</v>
      </c>
      <c r="J13" s="177">
        <v>0</v>
      </c>
      <c r="K13" s="177" t="s">
        <v>323</v>
      </c>
      <c r="L13" s="177">
        <v>1</v>
      </c>
      <c r="M13" s="177">
        <v>1</v>
      </c>
      <c r="N13" s="731" t="s">
        <v>3223</v>
      </c>
      <c r="O13" s="733"/>
      <c r="P13" s="734">
        <f t="shared" ref="P13:P41" si="0">SUM(Q13+R13+S13+T13+U13+V13+W13+X13+Y13+Z13+AA13+AB13+AC13+AD13)</f>
        <v>15000</v>
      </c>
      <c r="Q13" s="735">
        <v>2186</v>
      </c>
      <c r="R13" s="735"/>
      <c r="S13" s="735"/>
      <c r="T13" s="735"/>
      <c r="U13" s="735">
        <v>6428</v>
      </c>
      <c r="V13" s="567"/>
      <c r="W13" s="567"/>
      <c r="X13" s="567"/>
      <c r="Y13" s="735">
        <v>857</v>
      </c>
      <c r="Z13" s="735">
        <v>2143</v>
      </c>
      <c r="AA13" s="735"/>
      <c r="AB13" s="735">
        <v>857</v>
      </c>
      <c r="AC13" s="735">
        <v>2529</v>
      </c>
      <c r="AD13" s="567"/>
      <c r="AE13" s="736" t="s">
        <v>3218</v>
      </c>
      <c r="AF13" s="733" t="s">
        <v>3219</v>
      </c>
      <c r="AG13" s="733">
        <v>42</v>
      </c>
      <c r="AH13" s="733" t="s">
        <v>554</v>
      </c>
      <c r="AI13" s="740">
        <f>821924/1000</f>
        <v>821.92399999999998</v>
      </c>
      <c r="AJ13" s="733"/>
      <c r="AK13" s="737"/>
      <c r="AL13" s="738"/>
      <c r="AM13" s="738"/>
      <c r="AN13" s="738"/>
      <c r="AO13" s="738"/>
      <c r="AP13" s="738"/>
      <c r="AQ13" s="738"/>
      <c r="AR13" s="738"/>
      <c r="AS13" s="738"/>
      <c r="AT13" s="738"/>
      <c r="AU13" s="738"/>
      <c r="AV13" s="738"/>
      <c r="AW13" s="738"/>
      <c r="AX13" s="738"/>
      <c r="AY13" s="741"/>
    </row>
    <row r="14" spans="1:51" ht="362.25" x14ac:dyDescent="0.25">
      <c r="A14" s="252" t="s">
        <v>49</v>
      </c>
      <c r="B14" s="252" t="s">
        <v>1451</v>
      </c>
      <c r="C14" s="933"/>
      <c r="D14" s="933"/>
      <c r="E14" s="934"/>
      <c r="F14" s="731" t="s">
        <v>3214</v>
      </c>
      <c r="G14" s="934"/>
      <c r="H14" s="732" t="s">
        <v>3224</v>
      </c>
      <c r="I14" s="731" t="s">
        <v>3225</v>
      </c>
      <c r="J14" s="643" t="s">
        <v>3226</v>
      </c>
      <c r="K14" s="643" t="s">
        <v>323</v>
      </c>
      <c r="L14" s="643">
        <v>14</v>
      </c>
      <c r="M14" s="177">
        <v>5</v>
      </c>
      <c r="N14" s="731" t="s">
        <v>3225</v>
      </c>
      <c r="O14" s="733"/>
      <c r="P14" s="734">
        <f t="shared" si="0"/>
        <v>124001</v>
      </c>
      <c r="Q14" s="735">
        <v>17143</v>
      </c>
      <c r="R14" s="735"/>
      <c r="S14" s="735"/>
      <c r="T14" s="735"/>
      <c r="U14" s="735">
        <v>34286</v>
      </c>
      <c r="V14" s="567"/>
      <c r="W14" s="567"/>
      <c r="X14" s="567"/>
      <c r="Y14" s="735">
        <v>4571</v>
      </c>
      <c r="Z14" s="735">
        <v>25715</v>
      </c>
      <c r="AA14" s="735"/>
      <c r="AB14" s="735">
        <v>9143</v>
      </c>
      <c r="AC14" s="735">
        <v>33143</v>
      </c>
      <c r="AD14" s="567"/>
      <c r="AE14" s="736" t="s">
        <v>3218</v>
      </c>
      <c r="AF14" s="733" t="s">
        <v>3219</v>
      </c>
      <c r="AG14" s="733" t="s">
        <v>3220</v>
      </c>
      <c r="AH14" s="733" t="s">
        <v>3221</v>
      </c>
      <c r="AI14" s="733">
        <v>480</v>
      </c>
      <c r="AJ14" s="733"/>
      <c r="AK14" s="737"/>
      <c r="AL14" s="738"/>
      <c r="AM14" s="738"/>
      <c r="AN14" s="738"/>
      <c r="AO14" s="738"/>
      <c r="AP14" s="738"/>
      <c r="AQ14" s="738"/>
      <c r="AR14" s="738"/>
      <c r="AS14" s="738"/>
      <c r="AT14" s="738"/>
      <c r="AU14" s="738"/>
      <c r="AV14" s="738"/>
      <c r="AW14" s="738"/>
      <c r="AX14" s="738"/>
      <c r="AY14" s="739"/>
    </row>
    <row r="15" spans="1:51" ht="285" x14ac:dyDescent="0.25">
      <c r="A15" s="252" t="s">
        <v>49</v>
      </c>
      <c r="B15" s="252" t="s">
        <v>1451</v>
      </c>
      <c r="C15" s="934" t="s">
        <v>3227</v>
      </c>
      <c r="D15" s="934" t="s">
        <v>3228</v>
      </c>
      <c r="E15" s="934" t="s">
        <v>3229</v>
      </c>
      <c r="F15" s="731" t="s">
        <v>3214</v>
      </c>
      <c r="G15" s="934"/>
      <c r="H15" s="732" t="s">
        <v>3230</v>
      </c>
      <c r="I15" s="732" t="s">
        <v>3231</v>
      </c>
      <c r="J15" s="177">
        <v>2</v>
      </c>
      <c r="K15" s="177" t="s">
        <v>323</v>
      </c>
      <c r="L15" s="177">
        <v>7</v>
      </c>
      <c r="M15" s="177">
        <v>3</v>
      </c>
      <c r="N15" s="732" t="s">
        <v>3231</v>
      </c>
      <c r="O15" s="733"/>
      <c r="P15" s="734">
        <f t="shared" si="0"/>
        <v>217000</v>
      </c>
      <c r="Q15" s="735">
        <v>30000</v>
      </c>
      <c r="R15" s="735"/>
      <c r="S15" s="735"/>
      <c r="T15" s="735"/>
      <c r="U15" s="735">
        <v>60000</v>
      </c>
      <c r="V15" s="567"/>
      <c r="W15" s="567"/>
      <c r="X15" s="567"/>
      <c r="Y15" s="735">
        <v>8000</v>
      </c>
      <c r="Z15" s="735">
        <v>45000</v>
      </c>
      <c r="AA15" s="735"/>
      <c r="AB15" s="735">
        <v>16000</v>
      </c>
      <c r="AC15" s="735">
        <v>58000</v>
      </c>
      <c r="AD15" s="567"/>
      <c r="AE15" s="736" t="s">
        <v>3218</v>
      </c>
      <c r="AF15" s="733" t="s">
        <v>3219</v>
      </c>
      <c r="AG15" s="733" t="s">
        <v>3232</v>
      </c>
      <c r="AH15" s="733" t="s">
        <v>3233</v>
      </c>
      <c r="AI15" s="733">
        <v>480</v>
      </c>
      <c r="AJ15" s="733"/>
      <c r="AK15" s="737"/>
      <c r="AL15" s="738"/>
      <c r="AM15" s="738"/>
      <c r="AN15" s="738"/>
      <c r="AO15" s="738"/>
      <c r="AP15" s="738"/>
      <c r="AQ15" s="738"/>
      <c r="AR15" s="738"/>
      <c r="AS15" s="738"/>
      <c r="AT15" s="738"/>
      <c r="AU15" s="738"/>
      <c r="AV15" s="738"/>
      <c r="AW15" s="738"/>
      <c r="AX15" s="738"/>
      <c r="AY15" s="739"/>
    </row>
    <row r="16" spans="1:51" ht="315" x14ac:dyDescent="0.25">
      <c r="A16" s="252" t="s">
        <v>49</v>
      </c>
      <c r="B16" s="252" t="s">
        <v>1451</v>
      </c>
      <c r="C16" s="934"/>
      <c r="D16" s="934"/>
      <c r="E16" s="934"/>
      <c r="F16" s="731" t="s">
        <v>3214</v>
      </c>
      <c r="G16" s="934"/>
      <c r="H16" s="732" t="s">
        <v>3234</v>
      </c>
      <c r="I16" s="732" t="s">
        <v>3235</v>
      </c>
      <c r="J16" s="177">
        <v>0</v>
      </c>
      <c r="K16" s="177" t="s">
        <v>323</v>
      </c>
      <c r="L16" s="177">
        <v>1</v>
      </c>
      <c r="M16" s="177">
        <v>0.4</v>
      </c>
      <c r="N16" s="732" t="s">
        <v>3235</v>
      </c>
      <c r="O16" s="733"/>
      <c r="P16" s="734">
        <f t="shared" si="0"/>
        <v>92999</v>
      </c>
      <c r="Q16" s="735">
        <v>12857</v>
      </c>
      <c r="R16" s="735"/>
      <c r="S16" s="735"/>
      <c r="T16" s="735"/>
      <c r="U16" s="735">
        <v>25714</v>
      </c>
      <c r="V16" s="567"/>
      <c r="W16" s="567"/>
      <c r="X16" s="567"/>
      <c r="Y16" s="735">
        <v>3429</v>
      </c>
      <c r="Z16" s="735">
        <v>19285</v>
      </c>
      <c r="AA16" s="735"/>
      <c r="AB16" s="735">
        <v>6857</v>
      </c>
      <c r="AC16" s="735">
        <v>24857</v>
      </c>
      <c r="AD16" s="567"/>
      <c r="AE16" s="736" t="s">
        <v>3218</v>
      </c>
      <c r="AF16" s="733" t="s">
        <v>3219</v>
      </c>
      <c r="AG16" s="733" t="s">
        <v>3220</v>
      </c>
      <c r="AH16" s="733" t="s">
        <v>3221</v>
      </c>
      <c r="AI16" s="733">
        <v>480</v>
      </c>
      <c r="AJ16" s="733"/>
      <c r="AK16" s="737"/>
      <c r="AL16" s="738"/>
      <c r="AM16" s="738"/>
      <c r="AN16" s="738"/>
      <c r="AO16" s="738"/>
      <c r="AP16" s="738"/>
      <c r="AQ16" s="738"/>
      <c r="AR16" s="738"/>
      <c r="AS16" s="738"/>
      <c r="AT16" s="738"/>
      <c r="AU16" s="738"/>
      <c r="AV16" s="738"/>
      <c r="AW16" s="738"/>
      <c r="AX16" s="738"/>
      <c r="AY16" s="739"/>
    </row>
    <row r="17" spans="1:51" ht="135" x14ac:dyDescent="0.25">
      <c r="A17" s="252" t="s">
        <v>49</v>
      </c>
      <c r="B17" s="252" t="s">
        <v>1451</v>
      </c>
      <c r="C17" s="934"/>
      <c r="D17" s="934"/>
      <c r="E17" s="934"/>
      <c r="F17" s="731" t="s">
        <v>3214</v>
      </c>
      <c r="G17" s="934"/>
      <c r="H17" s="732" t="s">
        <v>3236</v>
      </c>
      <c r="I17" s="732" t="s">
        <v>3237</v>
      </c>
      <c r="J17" s="177">
        <v>0</v>
      </c>
      <c r="K17" s="177" t="s">
        <v>323</v>
      </c>
      <c r="L17" s="177">
        <v>2</v>
      </c>
      <c r="M17" s="177">
        <v>1</v>
      </c>
      <c r="N17" s="732" t="s">
        <v>3237</v>
      </c>
      <c r="O17" s="733"/>
      <c r="P17" s="734">
        <f t="shared" si="0"/>
        <v>186001</v>
      </c>
      <c r="Q17" s="735">
        <v>25714</v>
      </c>
      <c r="R17" s="735"/>
      <c r="S17" s="735"/>
      <c r="T17" s="735"/>
      <c r="U17" s="735">
        <v>51429</v>
      </c>
      <c r="V17" s="567"/>
      <c r="W17" s="567"/>
      <c r="X17" s="567"/>
      <c r="Y17" s="735">
        <v>6857</v>
      </c>
      <c r="Z17" s="735">
        <v>38572</v>
      </c>
      <c r="AA17" s="735"/>
      <c r="AB17" s="735">
        <v>13715</v>
      </c>
      <c r="AC17" s="735">
        <v>49714</v>
      </c>
      <c r="AD17" s="567"/>
      <c r="AE17" s="736" t="s">
        <v>3218</v>
      </c>
      <c r="AF17" s="733" t="s">
        <v>3219</v>
      </c>
      <c r="AG17" s="733" t="s">
        <v>3220</v>
      </c>
      <c r="AH17" s="733" t="s">
        <v>3221</v>
      </c>
      <c r="AI17" s="733">
        <v>480</v>
      </c>
      <c r="AJ17" s="733"/>
      <c r="AK17" s="737"/>
      <c r="AL17" s="738"/>
      <c r="AM17" s="738"/>
      <c r="AN17" s="738"/>
      <c r="AO17" s="738"/>
      <c r="AP17" s="738"/>
      <c r="AQ17" s="738"/>
      <c r="AR17" s="738"/>
      <c r="AS17" s="738"/>
      <c r="AT17" s="738"/>
      <c r="AU17" s="738"/>
      <c r="AV17" s="738"/>
      <c r="AW17" s="738"/>
      <c r="AX17" s="738"/>
      <c r="AY17" s="739"/>
    </row>
    <row r="18" spans="1:51" ht="165" x14ac:dyDescent="0.25">
      <c r="A18" s="252" t="s">
        <v>49</v>
      </c>
      <c r="B18" s="252" t="s">
        <v>1451</v>
      </c>
      <c r="C18" s="934"/>
      <c r="D18" s="934"/>
      <c r="E18" s="934"/>
      <c r="F18" s="731" t="s">
        <v>3214</v>
      </c>
      <c r="G18" s="934"/>
      <c r="H18" s="732" t="s">
        <v>3238</v>
      </c>
      <c r="I18" s="732" t="s">
        <v>3239</v>
      </c>
      <c r="J18" s="177">
        <v>0</v>
      </c>
      <c r="K18" s="177" t="s">
        <v>323</v>
      </c>
      <c r="L18" s="177">
        <v>8</v>
      </c>
      <c r="M18" s="177">
        <v>2</v>
      </c>
      <c r="N18" s="732" t="s">
        <v>3239</v>
      </c>
      <c r="O18" s="733"/>
      <c r="P18" s="734">
        <f t="shared" si="0"/>
        <v>77143</v>
      </c>
      <c r="Q18" s="735">
        <v>17143</v>
      </c>
      <c r="R18" s="735"/>
      <c r="S18" s="735"/>
      <c r="T18" s="735"/>
      <c r="U18" s="735">
        <v>34286</v>
      </c>
      <c r="V18" s="567"/>
      <c r="W18" s="567"/>
      <c r="X18" s="567"/>
      <c r="Y18" s="735">
        <v>4571</v>
      </c>
      <c r="Z18" s="735">
        <v>14286</v>
      </c>
      <c r="AA18" s="735"/>
      <c r="AB18" s="735">
        <v>6857</v>
      </c>
      <c r="AC18" s="735"/>
      <c r="AD18" s="567"/>
      <c r="AE18" s="736" t="s">
        <v>3218</v>
      </c>
      <c r="AF18" s="733" t="s">
        <v>3219</v>
      </c>
      <c r="AG18" s="733" t="s">
        <v>3220</v>
      </c>
      <c r="AH18" s="733" t="s">
        <v>3221</v>
      </c>
      <c r="AI18" s="733">
        <v>480</v>
      </c>
      <c r="AJ18" s="733"/>
      <c r="AK18" s="737"/>
      <c r="AL18" s="738"/>
      <c r="AM18" s="738"/>
      <c r="AN18" s="738"/>
      <c r="AO18" s="738"/>
      <c r="AP18" s="738"/>
      <c r="AQ18" s="738"/>
      <c r="AR18" s="738"/>
      <c r="AS18" s="738"/>
      <c r="AT18" s="738"/>
      <c r="AU18" s="738"/>
      <c r="AV18" s="738"/>
      <c r="AW18" s="738"/>
      <c r="AX18" s="738"/>
      <c r="AY18" s="739"/>
    </row>
    <row r="19" spans="1:51" ht="210" x14ac:dyDescent="0.25">
      <c r="A19" s="252" t="s">
        <v>49</v>
      </c>
      <c r="B19" s="252" t="s">
        <v>1451</v>
      </c>
      <c r="C19" s="934"/>
      <c r="D19" s="934"/>
      <c r="E19" s="934"/>
      <c r="F19" s="731" t="s">
        <v>3214</v>
      </c>
      <c r="G19" s="934"/>
      <c r="H19" s="732" t="s">
        <v>3240</v>
      </c>
      <c r="I19" s="732" t="s">
        <v>3241</v>
      </c>
      <c r="J19" s="177">
        <v>0</v>
      </c>
      <c r="K19" s="177" t="s">
        <v>323</v>
      </c>
      <c r="L19" s="177">
        <v>7</v>
      </c>
      <c r="M19" s="177">
        <v>3</v>
      </c>
      <c r="N19" s="732" t="s">
        <v>3241</v>
      </c>
      <c r="O19" s="733"/>
      <c r="P19" s="734">
        <f t="shared" si="0"/>
        <v>7071</v>
      </c>
      <c r="Q19" s="735">
        <v>1286</v>
      </c>
      <c r="R19" s="735"/>
      <c r="S19" s="735"/>
      <c r="T19" s="735"/>
      <c r="U19" s="735">
        <v>2570</v>
      </c>
      <c r="V19" s="567"/>
      <c r="W19" s="567"/>
      <c r="X19" s="567"/>
      <c r="Y19" s="735">
        <v>344</v>
      </c>
      <c r="Z19" s="735">
        <v>1070</v>
      </c>
      <c r="AA19" s="735"/>
      <c r="AB19" s="735">
        <v>515</v>
      </c>
      <c r="AC19" s="735">
        <v>1286</v>
      </c>
      <c r="AD19" s="567"/>
      <c r="AE19" s="736" t="s">
        <v>3218</v>
      </c>
      <c r="AF19" s="733" t="s">
        <v>3219</v>
      </c>
      <c r="AG19" s="733" t="s">
        <v>3220</v>
      </c>
      <c r="AH19" s="733" t="s">
        <v>3221</v>
      </c>
      <c r="AI19" s="733">
        <v>480</v>
      </c>
      <c r="AJ19" s="733"/>
      <c r="AK19" s="737"/>
      <c r="AL19" s="738"/>
      <c r="AM19" s="738"/>
      <c r="AN19" s="738"/>
      <c r="AO19" s="738"/>
      <c r="AP19" s="738"/>
      <c r="AQ19" s="738"/>
      <c r="AR19" s="738"/>
      <c r="AS19" s="738"/>
      <c r="AT19" s="738"/>
      <c r="AU19" s="738"/>
      <c r="AV19" s="738"/>
      <c r="AW19" s="738"/>
      <c r="AX19" s="738"/>
      <c r="AY19" s="739"/>
    </row>
    <row r="20" spans="1:51" ht="270" x14ac:dyDescent="0.25">
      <c r="A20" s="252" t="s">
        <v>49</v>
      </c>
      <c r="B20" s="252" t="s">
        <v>1451</v>
      </c>
      <c r="C20" s="742" t="s">
        <v>3242</v>
      </c>
      <c r="D20" s="742" t="s">
        <v>3243</v>
      </c>
      <c r="E20" s="691">
        <v>0</v>
      </c>
      <c r="F20" s="731" t="s">
        <v>3214</v>
      </c>
      <c r="G20" s="934"/>
      <c r="H20" s="743" t="s">
        <v>3244</v>
      </c>
      <c r="I20" s="743" t="s">
        <v>3245</v>
      </c>
      <c r="J20" s="177">
        <v>0</v>
      </c>
      <c r="K20" s="177" t="s">
        <v>323</v>
      </c>
      <c r="L20" s="704">
        <v>1</v>
      </c>
      <c r="M20" s="704">
        <v>0.1</v>
      </c>
      <c r="N20" s="743" t="s">
        <v>3245</v>
      </c>
      <c r="O20" s="733"/>
      <c r="P20" s="734">
        <f t="shared" si="0"/>
        <v>12815</v>
      </c>
      <c r="Q20" s="735">
        <v>3343</v>
      </c>
      <c r="R20" s="735"/>
      <c r="S20" s="735"/>
      <c r="T20" s="735"/>
      <c r="U20" s="735">
        <v>6686</v>
      </c>
      <c r="V20" s="567"/>
      <c r="W20" s="567"/>
      <c r="X20" s="567"/>
      <c r="Y20" s="735"/>
      <c r="Z20" s="735">
        <v>2786</v>
      </c>
      <c r="AA20" s="735"/>
      <c r="AB20" s="735"/>
      <c r="AC20" s="735"/>
      <c r="AD20" s="567"/>
      <c r="AE20" s="736" t="s">
        <v>3218</v>
      </c>
      <c r="AF20" s="733" t="s">
        <v>3219</v>
      </c>
      <c r="AG20" s="733" t="s">
        <v>3220</v>
      </c>
      <c r="AH20" s="733" t="s">
        <v>3221</v>
      </c>
      <c r="AI20" s="740">
        <f>237736/1000</f>
        <v>237.73599999999999</v>
      </c>
      <c r="AJ20" s="733"/>
      <c r="AK20" s="737"/>
      <c r="AL20" s="738"/>
      <c r="AM20" s="738"/>
      <c r="AN20" s="738"/>
      <c r="AO20" s="738"/>
      <c r="AP20" s="738"/>
      <c r="AQ20" s="738"/>
      <c r="AR20" s="738"/>
      <c r="AS20" s="738"/>
      <c r="AT20" s="738"/>
      <c r="AU20" s="738"/>
      <c r="AV20" s="738"/>
      <c r="AW20" s="738"/>
      <c r="AX20" s="738"/>
      <c r="AY20" s="739"/>
    </row>
    <row r="21" spans="1:51" ht="236.25" x14ac:dyDescent="0.25">
      <c r="A21" s="252" t="s">
        <v>49</v>
      </c>
      <c r="B21" s="252" t="s">
        <v>1451</v>
      </c>
      <c r="C21" s="742" t="s">
        <v>3246</v>
      </c>
      <c r="D21" s="742" t="s">
        <v>3247</v>
      </c>
      <c r="E21" s="744" t="s">
        <v>3248</v>
      </c>
      <c r="F21" s="731" t="s">
        <v>3249</v>
      </c>
      <c r="G21" s="934" t="s">
        <v>3250</v>
      </c>
      <c r="H21" s="252" t="s">
        <v>3251</v>
      </c>
      <c r="I21" s="252" t="s">
        <v>3252</v>
      </c>
      <c r="J21" s="177">
        <v>0</v>
      </c>
      <c r="K21" s="177" t="s">
        <v>323</v>
      </c>
      <c r="L21" s="569">
        <v>1260</v>
      </c>
      <c r="M21" s="177">
        <v>760</v>
      </c>
      <c r="N21" s="252" t="s">
        <v>3252</v>
      </c>
      <c r="O21" s="733"/>
      <c r="P21" s="734">
        <f t="shared" si="0"/>
        <v>175227</v>
      </c>
      <c r="Q21" s="735">
        <v>24545</v>
      </c>
      <c r="R21" s="567"/>
      <c r="S21" s="745"/>
      <c r="T21" s="567"/>
      <c r="U21" s="745"/>
      <c r="V21" s="745"/>
      <c r="W21" s="745"/>
      <c r="X21" s="567"/>
      <c r="Y21" s="735">
        <v>32728</v>
      </c>
      <c r="Z21" s="745">
        <v>52500</v>
      </c>
      <c r="AA21" s="745"/>
      <c r="AB21" s="735">
        <v>24545</v>
      </c>
      <c r="AC21" s="735">
        <v>40909</v>
      </c>
      <c r="AD21" s="567"/>
      <c r="AE21" s="746" t="s">
        <v>3253</v>
      </c>
      <c r="AF21" s="733" t="s">
        <v>3219</v>
      </c>
      <c r="AG21" s="733" t="s">
        <v>3254</v>
      </c>
      <c r="AH21" s="733" t="s">
        <v>3255</v>
      </c>
      <c r="AI21" s="733">
        <v>540</v>
      </c>
      <c r="AJ21" s="733"/>
      <c r="AK21" s="737"/>
      <c r="AL21" s="738"/>
      <c r="AM21" s="738"/>
      <c r="AN21" s="738"/>
      <c r="AO21" s="738"/>
      <c r="AP21" s="738"/>
      <c r="AQ21" s="738"/>
      <c r="AR21" s="738"/>
      <c r="AS21" s="738"/>
      <c r="AT21" s="738"/>
      <c r="AU21" s="738"/>
      <c r="AV21" s="738"/>
      <c r="AW21" s="738"/>
      <c r="AX21" s="738"/>
      <c r="AY21" s="741"/>
    </row>
    <row r="22" spans="1:51" ht="236.25" x14ac:dyDescent="0.25">
      <c r="A22" s="252" t="s">
        <v>49</v>
      </c>
      <c r="B22" s="252" t="s">
        <v>1451</v>
      </c>
      <c r="C22" s="938" t="s">
        <v>3256</v>
      </c>
      <c r="D22" s="938" t="s">
        <v>3257</v>
      </c>
      <c r="E22" s="938" t="s">
        <v>3258</v>
      </c>
      <c r="F22" s="731" t="s">
        <v>3249</v>
      </c>
      <c r="G22" s="934"/>
      <c r="H22" s="639" t="s">
        <v>3259</v>
      </c>
      <c r="I22" s="639" t="s">
        <v>3260</v>
      </c>
      <c r="J22" s="177">
        <v>0</v>
      </c>
      <c r="K22" s="177" t="s">
        <v>323</v>
      </c>
      <c r="L22" s="177">
        <v>1</v>
      </c>
      <c r="M22" s="177">
        <v>0.5</v>
      </c>
      <c r="N22" s="639" t="s">
        <v>3260</v>
      </c>
      <c r="O22" s="733"/>
      <c r="P22" s="734">
        <f t="shared" si="0"/>
        <v>175227</v>
      </c>
      <c r="Q22" s="735">
        <v>24545</v>
      </c>
      <c r="R22" s="567"/>
      <c r="S22" s="745"/>
      <c r="T22" s="567"/>
      <c r="U22" s="745"/>
      <c r="V22" s="745"/>
      <c r="W22" s="745"/>
      <c r="X22" s="567"/>
      <c r="Y22" s="735">
        <v>32728</v>
      </c>
      <c r="Z22" s="745">
        <v>52500</v>
      </c>
      <c r="AA22" s="745"/>
      <c r="AB22" s="735">
        <v>24545</v>
      </c>
      <c r="AC22" s="735">
        <v>40909</v>
      </c>
      <c r="AD22" s="567"/>
      <c r="AE22" s="746" t="s">
        <v>3261</v>
      </c>
      <c r="AF22" s="733" t="s">
        <v>3219</v>
      </c>
      <c r="AG22" s="733" t="s">
        <v>3254</v>
      </c>
      <c r="AH22" s="733" t="s">
        <v>3262</v>
      </c>
      <c r="AI22" s="733">
        <v>540</v>
      </c>
      <c r="AJ22" s="733"/>
      <c r="AK22" s="737"/>
      <c r="AL22" s="738"/>
      <c r="AM22" s="738"/>
      <c r="AN22" s="738"/>
      <c r="AO22" s="738"/>
      <c r="AP22" s="738"/>
      <c r="AQ22" s="738"/>
      <c r="AR22" s="738"/>
      <c r="AS22" s="738"/>
      <c r="AT22" s="738"/>
      <c r="AU22" s="738"/>
      <c r="AV22" s="738"/>
      <c r="AW22" s="738"/>
      <c r="AX22" s="738"/>
      <c r="AY22" s="739"/>
    </row>
    <row r="23" spans="1:51" ht="375" x14ac:dyDescent="0.25">
      <c r="A23" s="252" t="s">
        <v>49</v>
      </c>
      <c r="B23" s="252" t="s">
        <v>1451</v>
      </c>
      <c r="C23" s="938"/>
      <c r="D23" s="938"/>
      <c r="E23" s="938"/>
      <c r="F23" s="731" t="s">
        <v>3249</v>
      </c>
      <c r="G23" s="934"/>
      <c r="H23" s="743" t="s">
        <v>3263</v>
      </c>
      <c r="I23" s="743" t="s">
        <v>3264</v>
      </c>
      <c r="J23" s="177">
        <v>0</v>
      </c>
      <c r="K23" s="177" t="s">
        <v>323</v>
      </c>
      <c r="L23" s="569">
        <v>1260</v>
      </c>
      <c r="M23" s="177">
        <v>760</v>
      </c>
      <c r="N23" s="743" t="s">
        <v>3264</v>
      </c>
      <c r="O23" s="733"/>
      <c r="P23" s="734">
        <f t="shared" si="0"/>
        <v>175227</v>
      </c>
      <c r="Q23" s="735">
        <v>24545</v>
      </c>
      <c r="R23" s="567"/>
      <c r="S23" s="745"/>
      <c r="T23" s="567"/>
      <c r="U23" s="745"/>
      <c r="V23" s="745"/>
      <c r="W23" s="745"/>
      <c r="X23" s="567"/>
      <c r="Y23" s="735">
        <v>32728</v>
      </c>
      <c r="Z23" s="745">
        <v>52500</v>
      </c>
      <c r="AA23" s="745"/>
      <c r="AB23" s="735">
        <v>24545</v>
      </c>
      <c r="AC23" s="735">
        <v>40909</v>
      </c>
      <c r="AD23" s="567"/>
      <c r="AE23" s="746" t="s">
        <v>3261</v>
      </c>
      <c r="AF23" s="733" t="s">
        <v>3219</v>
      </c>
      <c r="AG23" s="733" t="s">
        <v>3254</v>
      </c>
      <c r="AH23" s="733" t="s">
        <v>3262</v>
      </c>
      <c r="AI23" s="733">
        <v>540</v>
      </c>
      <c r="AJ23" s="733"/>
      <c r="AK23" s="737"/>
      <c r="AL23" s="738"/>
      <c r="AM23" s="738"/>
      <c r="AN23" s="738"/>
      <c r="AO23" s="738"/>
      <c r="AP23" s="738"/>
      <c r="AQ23" s="738"/>
      <c r="AR23" s="738"/>
      <c r="AS23" s="738"/>
      <c r="AT23" s="738"/>
      <c r="AU23" s="738"/>
      <c r="AV23" s="738"/>
      <c r="AW23" s="738"/>
      <c r="AX23" s="738"/>
      <c r="AY23" s="739"/>
    </row>
    <row r="24" spans="1:51" ht="330" x14ac:dyDescent="0.25">
      <c r="A24" s="252" t="s">
        <v>49</v>
      </c>
      <c r="B24" s="252" t="s">
        <v>1451</v>
      </c>
      <c r="C24" s="938"/>
      <c r="D24" s="938"/>
      <c r="E24" s="938"/>
      <c r="F24" s="731" t="s">
        <v>3249</v>
      </c>
      <c r="G24" s="934"/>
      <c r="H24" s="732" t="s">
        <v>3265</v>
      </c>
      <c r="I24" s="732" t="s">
        <v>3266</v>
      </c>
      <c r="J24" s="177">
        <v>0</v>
      </c>
      <c r="K24" s="177" t="s">
        <v>322</v>
      </c>
      <c r="L24" s="177">
        <v>21</v>
      </c>
      <c r="M24" s="177">
        <v>21</v>
      </c>
      <c r="N24" s="732" t="s">
        <v>3266</v>
      </c>
      <c r="O24" s="733"/>
      <c r="P24" s="734">
        <f t="shared" si="0"/>
        <v>75000</v>
      </c>
      <c r="Q24" s="745">
        <v>34091</v>
      </c>
      <c r="R24" s="567"/>
      <c r="S24" s="745"/>
      <c r="T24" s="567"/>
      <c r="U24" s="745"/>
      <c r="V24" s="745"/>
      <c r="W24" s="745"/>
      <c r="X24" s="567"/>
      <c r="Y24" s="745">
        <v>0</v>
      </c>
      <c r="Z24" s="745">
        <v>0</v>
      </c>
      <c r="AA24" s="745"/>
      <c r="AB24" s="745">
        <v>40909</v>
      </c>
      <c r="AC24" s="745">
        <v>0</v>
      </c>
      <c r="AD24" s="567"/>
      <c r="AE24" s="746" t="s">
        <v>3261</v>
      </c>
      <c r="AF24" s="733" t="s">
        <v>3219</v>
      </c>
      <c r="AG24" s="733" t="s">
        <v>3254</v>
      </c>
      <c r="AH24" s="733" t="s">
        <v>3262</v>
      </c>
      <c r="AI24" s="733" t="s">
        <v>3267</v>
      </c>
      <c r="AJ24" s="733"/>
      <c r="AK24" s="737"/>
      <c r="AL24" s="738"/>
      <c r="AM24" s="738"/>
      <c r="AN24" s="738"/>
      <c r="AO24" s="738"/>
      <c r="AP24" s="738"/>
      <c r="AQ24" s="738"/>
      <c r="AR24" s="738"/>
      <c r="AS24" s="738"/>
      <c r="AT24" s="738"/>
      <c r="AU24" s="738"/>
      <c r="AV24" s="738"/>
      <c r="AW24" s="738"/>
      <c r="AX24" s="738"/>
      <c r="AY24" s="747"/>
    </row>
    <row r="25" spans="1:51" ht="270" x14ac:dyDescent="0.25">
      <c r="A25" s="252" t="s">
        <v>49</v>
      </c>
      <c r="B25" s="252" t="s">
        <v>1451</v>
      </c>
      <c r="C25" s="933" t="s">
        <v>3268</v>
      </c>
      <c r="D25" s="933" t="s">
        <v>3269</v>
      </c>
      <c r="E25" s="933" t="s">
        <v>3270</v>
      </c>
      <c r="F25" s="731" t="s">
        <v>3271</v>
      </c>
      <c r="G25" s="934" t="s">
        <v>3272</v>
      </c>
      <c r="H25" s="732" t="s">
        <v>3273</v>
      </c>
      <c r="I25" s="732" t="s">
        <v>3274</v>
      </c>
      <c r="J25" s="643" t="s">
        <v>3270</v>
      </c>
      <c r="K25" s="643" t="s">
        <v>323</v>
      </c>
      <c r="L25" s="643">
        <v>150</v>
      </c>
      <c r="M25" s="643">
        <v>30</v>
      </c>
      <c r="N25" s="732" t="s">
        <v>3274</v>
      </c>
      <c r="O25" s="733"/>
      <c r="P25" s="734">
        <f t="shared" si="0"/>
        <v>116780</v>
      </c>
      <c r="Q25" s="745">
        <v>12500</v>
      </c>
      <c r="R25" s="567"/>
      <c r="S25" s="567"/>
      <c r="T25" s="567"/>
      <c r="U25" s="745">
        <v>41667</v>
      </c>
      <c r="V25" s="745">
        <v>0</v>
      </c>
      <c r="W25" s="745">
        <v>0</v>
      </c>
      <c r="X25" s="567"/>
      <c r="Y25" s="745">
        <v>11667</v>
      </c>
      <c r="Z25" s="745">
        <v>3750</v>
      </c>
      <c r="AA25" s="745"/>
      <c r="AB25" s="745">
        <v>13636</v>
      </c>
      <c r="AC25" s="745">
        <v>33560</v>
      </c>
      <c r="AD25" s="567"/>
      <c r="AE25" s="746" t="s">
        <v>3275</v>
      </c>
      <c r="AF25" s="733" t="s">
        <v>3219</v>
      </c>
      <c r="AG25" s="733" t="s">
        <v>3276</v>
      </c>
      <c r="AH25" s="733" t="s">
        <v>3277</v>
      </c>
      <c r="AI25" s="733">
        <v>600</v>
      </c>
      <c r="AJ25" s="733"/>
      <c r="AK25" s="737"/>
      <c r="AL25" s="738"/>
      <c r="AM25" s="738"/>
      <c r="AN25" s="738"/>
      <c r="AO25" s="738"/>
      <c r="AP25" s="738"/>
      <c r="AQ25" s="738"/>
      <c r="AR25" s="738"/>
      <c r="AS25" s="738"/>
      <c r="AT25" s="738"/>
      <c r="AU25" s="738"/>
      <c r="AV25" s="738"/>
      <c r="AW25" s="738"/>
      <c r="AX25" s="738"/>
      <c r="AY25" s="739"/>
    </row>
    <row r="26" spans="1:51" ht="255" x14ac:dyDescent="0.25">
      <c r="A26" s="252" t="s">
        <v>49</v>
      </c>
      <c r="B26" s="252" t="s">
        <v>1451</v>
      </c>
      <c r="C26" s="933"/>
      <c r="D26" s="933"/>
      <c r="E26" s="933"/>
      <c r="F26" s="731" t="s">
        <v>3271</v>
      </c>
      <c r="G26" s="934"/>
      <c r="H26" s="252" t="s">
        <v>3278</v>
      </c>
      <c r="I26" s="732" t="s">
        <v>3279</v>
      </c>
      <c r="J26" s="177">
        <v>0</v>
      </c>
      <c r="K26" s="177" t="s">
        <v>323</v>
      </c>
      <c r="L26" s="177">
        <v>150</v>
      </c>
      <c r="M26" s="643">
        <v>30</v>
      </c>
      <c r="N26" s="732" t="s">
        <v>3279</v>
      </c>
      <c r="O26" s="733"/>
      <c r="P26" s="734">
        <f t="shared" si="0"/>
        <v>134027</v>
      </c>
      <c r="Q26" s="745">
        <v>20833</v>
      </c>
      <c r="R26" s="567"/>
      <c r="S26" s="567"/>
      <c r="T26" s="567"/>
      <c r="U26" s="745">
        <v>69444</v>
      </c>
      <c r="V26" s="745">
        <v>0</v>
      </c>
      <c r="W26" s="745">
        <v>0</v>
      </c>
      <c r="X26" s="567"/>
      <c r="Y26" s="745">
        <v>19444</v>
      </c>
      <c r="Z26" s="745">
        <v>6250</v>
      </c>
      <c r="AA26" s="745"/>
      <c r="AB26" s="745"/>
      <c r="AC26" s="745">
        <v>18056</v>
      </c>
      <c r="AD26" s="567"/>
      <c r="AE26" s="746" t="s">
        <v>3280</v>
      </c>
      <c r="AF26" s="733" t="s">
        <v>3219</v>
      </c>
      <c r="AG26" s="733" t="s">
        <v>3276</v>
      </c>
      <c r="AH26" s="733" t="s">
        <v>3277</v>
      </c>
      <c r="AI26" s="733">
        <v>600</v>
      </c>
      <c r="AJ26" s="733"/>
      <c r="AK26" s="737"/>
      <c r="AL26" s="738"/>
      <c r="AM26" s="738"/>
      <c r="AN26" s="738"/>
      <c r="AO26" s="738"/>
      <c r="AP26" s="738"/>
      <c r="AQ26" s="738"/>
      <c r="AR26" s="738"/>
      <c r="AS26" s="738"/>
      <c r="AT26" s="738"/>
      <c r="AU26" s="738"/>
      <c r="AV26" s="738"/>
      <c r="AW26" s="738"/>
      <c r="AX26" s="738"/>
      <c r="AY26" s="739"/>
    </row>
    <row r="27" spans="1:51" ht="220.5" x14ac:dyDescent="0.25">
      <c r="A27" s="252" t="s">
        <v>49</v>
      </c>
      <c r="B27" s="252" t="s">
        <v>1451</v>
      </c>
      <c r="C27" s="933"/>
      <c r="D27" s="933"/>
      <c r="E27" s="933"/>
      <c r="F27" s="731" t="s">
        <v>3271</v>
      </c>
      <c r="G27" s="934"/>
      <c r="H27" s="732" t="s">
        <v>3281</v>
      </c>
      <c r="I27" s="732" t="s">
        <v>3282</v>
      </c>
      <c r="J27" s="177">
        <v>0</v>
      </c>
      <c r="K27" s="177" t="s">
        <v>323</v>
      </c>
      <c r="L27" s="177">
        <v>150</v>
      </c>
      <c r="M27" s="643">
        <v>30</v>
      </c>
      <c r="N27" s="732" t="s">
        <v>3282</v>
      </c>
      <c r="O27" s="733"/>
      <c r="P27" s="734">
        <f t="shared" si="0"/>
        <v>134027</v>
      </c>
      <c r="Q27" s="745">
        <v>20833</v>
      </c>
      <c r="R27" s="567"/>
      <c r="S27" s="567"/>
      <c r="T27" s="567"/>
      <c r="U27" s="745">
        <v>69444</v>
      </c>
      <c r="V27" s="745">
        <v>0</v>
      </c>
      <c r="W27" s="745">
        <v>0</v>
      </c>
      <c r="X27" s="567"/>
      <c r="Y27" s="745">
        <v>19444</v>
      </c>
      <c r="Z27" s="745">
        <v>6250</v>
      </c>
      <c r="AA27" s="745"/>
      <c r="AB27" s="745"/>
      <c r="AC27" s="745">
        <v>18056</v>
      </c>
      <c r="AD27" s="567"/>
      <c r="AE27" s="746" t="s">
        <v>3275</v>
      </c>
      <c r="AF27" s="733" t="s">
        <v>3219</v>
      </c>
      <c r="AG27" s="733" t="s">
        <v>3276</v>
      </c>
      <c r="AH27" s="733" t="s">
        <v>3277</v>
      </c>
      <c r="AI27" s="733">
        <v>600</v>
      </c>
      <c r="AJ27" s="733"/>
      <c r="AK27" s="737"/>
      <c r="AL27" s="738"/>
      <c r="AM27" s="738"/>
      <c r="AN27" s="738"/>
      <c r="AO27" s="738"/>
      <c r="AP27" s="738"/>
      <c r="AQ27" s="738"/>
      <c r="AR27" s="738"/>
      <c r="AS27" s="738"/>
      <c r="AT27" s="738"/>
      <c r="AU27" s="738"/>
      <c r="AV27" s="738"/>
      <c r="AW27" s="738"/>
      <c r="AX27" s="738"/>
      <c r="AY27" s="739"/>
    </row>
    <row r="28" spans="1:51" ht="220.5" x14ac:dyDescent="0.25">
      <c r="A28" s="252" t="s">
        <v>49</v>
      </c>
      <c r="B28" s="252" t="s">
        <v>1451</v>
      </c>
      <c r="C28" s="933" t="s">
        <v>3283</v>
      </c>
      <c r="D28" s="933" t="s">
        <v>3284</v>
      </c>
      <c r="E28" s="934">
        <v>7</v>
      </c>
      <c r="F28" s="731" t="s">
        <v>3271</v>
      </c>
      <c r="G28" s="934"/>
      <c r="H28" s="743" t="s">
        <v>3285</v>
      </c>
      <c r="I28" s="732" t="s">
        <v>3286</v>
      </c>
      <c r="J28" s="177">
        <v>0</v>
      </c>
      <c r="K28" s="177" t="s">
        <v>323</v>
      </c>
      <c r="L28" s="569">
        <v>1260</v>
      </c>
      <c r="M28" s="177">
        <v>390</v>
      </c>
      <c r="N28" s="732" t="s">
        <v>3286</v>
      </c>
      <c r="O28" s="733"/>
      <c r="P28" s="734">
        <f t="shared" si="0"/>
        <v>121365</v>
      </c>
      <c r="Q28" s="745">
        <v>16667</v>
      </c>
      <c r="R28" s="567"/>
      <c r="S28" s="567"/>
      <c r="T28" s="567"/>
      <c r="U28" s="745">
        <v>55556</v>
      </c>
      <c r="V28" s="745">
        <v>0</v>
      </c>
      <c r="W28" s="745">
        <v>0</v>
      </c>
      <c r="X28" s="567"/>
      <c r="Y28" s="745">
        <v>43031</v>
      </c>
      <c r="Z28" s="745">
        <v>2778</v>
      </c>
      <c r="AA28" s="745"/>
      <c r="AB28" s="745"/>
      <c r="AC28" s="745">
        <v>3333</v>
      </c>
      <c r="AD28" s="567"/>
      <c r="AE28" s="746" t="s">
        <v>3275</v>
      </c>
      <c r="AF28" s="733" t="s">
        <v>3219</v>
      </c>
      <c r="AG28" s="733" t="s">
        <v>3276</v>
      </c>
      <c r="AH28" s="733" t="s">
        <v>3277</v>
      </c>
      <c r="AI28" s="733">
        <v>390</v>
      </c>
      <c r="AJ28" s="733"/>
      <c r="AK28" s="737"/>
      <c r="AL28" s="738"/>
      <c r="AM28" s="738"/>
      <c r="AN28" s="738"/>
      <c r="AO28" s="738"/>
      <c r="AP28" s="738"/>
      <c r="AQ28" s="738"/>
      <c r="AR28" s="738"/>
      <c r="AS28" s="738"/>
      <c r="AT28" s="738"/>
      <c r="AU28" s="738"/>
      <c r="AV28" s="738"/>
      <c r="AW28" s="738"/>
      <c r="AX28" s="738"/>
      <c r="AY28" s="739"/>
    </row>
    <row r="29" spans="1:51" ht="285" x14ac:dyDescent="0.25">
      <c r="A29" s="252" t="s">
        <v>49</v>
      </c>
      <c r="B29" s="252" t="s">
        <v>1451</v>
      </c>
      <c r="C29" s="933"/>
      <c r="D29" s="933"/>
      <c r="E29" s="934"/>
      <c r="F29" s="731" t="s">
        <v>3271</v>
      </c>
      <c r="G29" s="934"/>
      <c r="H29" s="743" t="s">
        <v>3287</v>
      </c>
      <c r="I29" s="732" t="s">
        <v>3288</v>
      </c>
      <c r="J29" s="177">
        <v>0</v>
      </c>
      <c r="K29" s="177" t="s">
        <v>323</v>
      </c>
      <c r="L29" s="177">
        <v>4</v>
      </c>
      <c r="M29" s="177">
        <v>1</v>
      </c>
      <c r="N29" s="732" t="s">
        <v>3288</v>
      </c>
      <c r="O29" s="733"/>
      <c r="P29" s="734">
        <f t="shared" si="0"/>
        <v>195682</v>
      </c>
      <c r="Q29" s="745">
        <v>25000</v>
      </c>
      <c r="R29" s="567"/>
      <c r="S29" s="567"/>
      <c r="T29" s="567"/>
      <c r="U29" s="745">
        <v>83333</v>
      </c>
      <c r="V29" s="745">
        <v>0</v>
      </c>
      <c r="W29" s="745">
        <v>0</v>
      </c>
      <c r="X29" s="567"/>
      <c r="Y29" s="745">
        <v>10000</v>
      </c>
      <c r="Z29" s="745">
        <v>4167</v>
      </c>
      <c r="AA29" s="745"/>
      <c r="AB29" s="745"/>
      <c r="AC29" s="745">
        <v>73182</v>
      </c>
      <c r="AD29" s="567"/>
      <c r="AE29" s="746" t="s">
        <v>3275</v>
      </c>
      <c r="AF29" s="733" t="s">
        <v>3219</v>
      </c>
      <c r="AG29" s="733" t="s">
        <v>3276</v>
      </c>
      <c r="AH29" s="733" t="s">
        <v>3277</v>
      </c>
      <c r="AI29" s="733">
        <v>600</v>
      </c>
      <c r="AJ29" s="733"/>
      <c r="AK29" s="737"/>
      <c r="AL29" s="738"/>
      <c r="AM29" s="738"/>
      <c r="AN29" s="738"/>
      <c r="AO29" s="738"/>
      <c r="AP29" s="738"/>
      <c r="AQ29" s="738"/>
      <c r="AR29" s="738"/>
      <c r="AS29" s="738"/>
      <c r="AT29" s="738"/>
      <c r="AU29" s="738"/>
      <c r="AV29" s="738"/>
      <c r="AW29" s="738"/>
      <c r="AX29" s="738"/>
      <c r="AY29" s="739"/>
    </row>
    <row r="30" spans="1:51" ht="220.5" x14ac:dyDescent="0.25">
      <c r="A30" s="252" t="s">
        <v>49</v>
      </c>
      <c r="B30" s="252" t="s">
        <v>1451</v>
      </c>
      <c r="C30" s="933"/>
      <c r="D30" s="933"/>
      <c r="E30" s="934"/>
      <c r="F30" s="731" t="s">
        <v>3271</v>
      </c>
      <c r="G30" s="934"/>
      <c r="H30" s="732" t="s">
        <v>3289</v>
      </c>
      <c r="I30" s="732" t="s">
        <v>3290</v>
      </c>
      <c r="J30" s="177">
        <v>0</v>
      </c>
      <c r="K30" s="177" t="s">
        <v>323</v>
      </c>
      <c r="L30" s="177">
        <v>10</v>
      </c>
      <c r="M30" s="177">
        <v>3</v>
      </c>
      <c r="N30" s="732" t="s">
        <v>3290</v>
      </c>
      <c r="O30" s="733"/>
      <c r="P30" s="734">
        <f t="shared" si="0"/>
        <v>268056</v>
      </c>
      <c r="Q30" s="745">
        <v>41667</v>
      </c>
      <c r="R30" s="567"/>
      <c r="S30" s="567"/>
      <c r="T30" s="567"/>
      <c r="U30" s="745">
        <v>138889</v>
      </c>
      <c r="V30" s="745">
        <v>0</v>
      </c>
      <c r="W30" s="745">
        <v>0</v>
      </c>
      <c r="X30" s="567"/>
      <c r="Y30" s="745">
        <v>38889</v>
      </c>
      <c r="Z30" s="745">
        <v>12500</v>
      </c>
      <c r="AA30" s="745"/>
      <c r="AB30" s="745"/>
      <c r="AC30" s="745">
        <v>36111</v>
      </c>
      <c r="AD30" s="567"/>
      <c r="AE30" s="746" t="s">
        <v>3275</v>
      </c>
      <c r="AF30" s="733" t="s">
        <v>3219</v>
      </c>
      <c r="AG30" s="733" t="s">
        <v>3276</v>
      </c>
      <c r="AH30" s="733" t="s">
        <v>3277</v>
      </c>
      <c r="AI30" s="733">
        <v>180</v>
      </c>
      <c r="AJ30" s="733"/>
      <c r="AK30" s="737"/>
      <c r="AL30" s="738"/>
      <c r="AM30" s="738"/>
      <c r="AN30" s="738"/>
      <c r="AO30" s="738"/>
      <c r="AP30" s="738"/>
      <c r="AQ30" s="738"/>
      <c r="AR30" s="738"/>
      <c r="AS30" s="738"/>
      <c r="AT30" s="738"/>
      <c r="AU30" s="738"/>
      <c r="AV30" s="738"/>
      <c r="AW30" s="738"/>
      <c r="AX30" s="738"/>
      <c r="AY30" s="739"/>
    </row>
    <row r="31" spans="1:51" ht="220.5" x14ac:dyDescent="0.25">
      <c r="A31" s="252" t="s">
        <v>49</v>
      </c>
      <c r="B31" s="252" t="s">
        <v>1451</v>
      </c>
      <c r="C31" s="933"/>
      <c r="D31" s="933"/>
      <c r="E31" s="934"/>
      <c r="F31" s="731" t="s">
        <v>3271</v>
      </c>
      <c r="G31" s="934"/>
      <c r="H31" s="732" t="s">
        <v>3291</v>
      </c>
      <c r="I31" s="732" t="s">
        <v>3292</v>
      </c>
      <c r="J31" s="177">
        <v>0</v>
      </c>
      <c r="K31" s="177" t="s">
        <v>323</v>
      </c>
      <c r="L31" s="177">
        <v>7</v>
      </c>
      <c r="M31" s="177">
        <v>2</v>
      </c>
      <c r="N31" s="732" t="s">
        <v>3292</v>
      </c>
      <c r="O31" s="733"/>
      <c r="P31" s="734">
        <f t="shared" si="0"/>
        <v>63750</v>
      </c>
      <c r="Q31" s="745">
        <v>12500</v>
      </c>
      <c r="R31" s="567"/>
      <c r="S31" s="567"/>
      <c r="T31" s="567"/>
      <c r="U31" s="745">
        <v>41667</v>
      </c>
      <c r="V31" s="745">
        <v>0</v>
      </c>
      <c r="W31" s="745">
        <v>0</v>
      </c>
      <c r="X31" s="567"/>
      <c r="Y31" s="745">
        <v>5000</v>
      </c>
      <c r="Z31" s="745">
        <v>2083</v>
      </c>
      <c r="AA31" s="745"/>
      <c r="AB31" s="745"/>
      <c r="AC31" s="745">
        <v>2500</v>
      </c>
      <c r="AD31" s="567"/>
      <c r="AE31" s="746" t="s">
        <v>3275</v>
      </c>
      <c r="AF31" s="733" t="s">
        <v>3219</v>
      </c>
      <c r="AG31" s="733" t="s">
        <v>3276</v>
      </c>
      <c r="AH31" s="733" t="s">
        <v>3277</v>
      </c>
      <c r="AI31" s="733">
        <v>120</v>
      </c>
      <c r="AJ31" s="733"/>
      <c r="AK31" s="737"/>
      <c r="AL31" s="738"/>
      <c r="AM31" s="738"/>
      <c r="AN31" s="738"/>
      <c r="AO31" s="738"/>
      <c r="AP31" s="738"/>
      <c r="AQ31" s="738"/>
      <c r="AR31" s="738"/>
      <c r="AS31" s="738"/>
      <c r="AT31" s="738"/>
      <c r="AU31" s="738"/>
      <c r="AV31" s="738"/>
      <c r="AW31" s="738"/>
      <c r="AX31" s="738"/>
      <c r="AY31" s="739"/>
    </row>
    <row r="32" spans="1:51" ht="285" x14ac:dyDescent="0.25">
      <c r="A32" s="252" t="s">
        <v>49</v>
      </c>
      <c r="B32" s="252" t="s">
        <v>1451</v>
      </c>
      <c r="C32" s="934" t="s">
        <v>3293</v>
      </c>
      <c r="D32" s="934" t="s">
        <v>3294</v>
      </c>
      <c r="E32" s="934">
        <v>0</v>
      </c>
      <c r="F32" s="731" t="s">
        <v>3295</v>
      </c>
      <c r="G32" s="934" t="s">
        <v>3296</v>
      </c>
      <c r="H32" s="639" t="s">
        <v>3297</v>
      </c>
      <c r="I32" s="639" t="s">
        <v>3298</v>
      </c>
      <c r="J32" s="177">
        <v>0</v>
      </c>
      <c r="K32" s="177" t="s">
        <v>323</v>
      </c>
      <c r="L32" s="177">
        <v>4</v>
      </c>
      <c r="M32" s="177">
        <v>1</v>
      </c>
      <c r="N32" s="639" t="s">
        <v>3298</v>
      </c>
      <c r="O32" s="733"/>
      <c r="P32" s="734">
        <f t="shared" si="0"/>
        <v>111201</v>
      </c>
      <c r="Q32" s="745">
        <v>17143</v>
      </c>
      <c r="R32" s="567"/>
      <c r="S32" s="567"/>
      <c r="T32" s="567"/>
      <c r="U32" s="745">
        <v>45714</v>
      </c>
      <c r="V32" s="745">
        <v>0</v>
      </c>
      <c r="W32" s="745">
        <v>0</v>
      </c>
      <c r="X32" s="567"/>
      <c r="Y32" s="745">
        <v>4571</v>
      </c>
      <c r="Z32" s="745">
        <v>13372</v>
      </c>
      <c r="AA32" s="745"/>
      <c r="AB32" s="745">
        <v>9143</v>
      </c>
      <c r="AC32" s="745">
        <v>21258</v>
      </c>
      <c r="AD32" s="567"/>
      <c r="AE32" s="746" t="s">
        <v>3299</v>
      </c>
      <c r="AF32" s="733" t="s">
        <v>3219</v>
      </c>
      <c r="AG32" s="733" t="s">
        <v>3300</v>
      </c>
      <c r="AH32" s="733" t="s">
        <v>481</v>
      </c>
      <c r="AI32" s="733">
        <v>100</v>
      </c>
      <c r="AJ32" s="733"/>
      <c r="AK32" s="737"/>
      <c r="AL32" s="738"/>
      <c r="AM32" s="738"/>
      <c r="AN32" s="738"/>
      <c r="AO32" s="738"/>
      <c r="AP32" s="738"/>
      <c r="AQ32" s="738"/>
      <c r="AR32" s="738"/>
      <c r="AS32" s="738"/>
      <c r="AT32" s="738"/>
      <c r="AU32" s="738"/>
      <c r="AV32" s="738"/>
      <c r="AW32" s="738"/>
      <c r="AX32" s="738"/>
      <c r="AY32" s="739"/>
    </row>
    <row r="33" spans="1:51" ht="240" x14ac:dyDescent="0.25">
      <c r="A33" s="252" t="s">
        <v>49</v>
      </c>
      <c r="B33" s="252" t="s">
        <v>1451</v>
      </c>
      <c r="C33" s="934"/>
      <c r="D33" s="934"/>
      <c r="E33" s="934"/>
      <c r="F33" s="731" t="s">
        <v>3295</v>
      </c>
      <c r="G33" s="934"/>
      <c r="H33" s="639" t="s">
        <v>3301</v>
      </c>
      <c r="I33" s="639" t="s">
        <v>3302</v>
      </c>
      <c r="J33" s="177">
        <v>0</v>
      </c>
      <c r="K33" s="177" t="s">
        <v>323</v>
      </c>
      <c r="L33" s="177">
        <v>4</v>
      </c>
      <c r="M33" s="177">
        <v>1</v>
      </c>
      <c r="N33" s="639" t="s">
        <v>3302</v>
      </c>
      <c r="O33" s="733"/>
      <c r="P33" s="734">
        <f t="shared" si="0"/>
        <v>77840</v>
      </c>
      <c r="Q33" s="745">
        <v>12000</v>
      </c>
      <c r="R33" s="567"/>
      <c r="S33" s="567"/>
      <c r="T33" s="567"/>
      <c r="U33" s="745">
        <v>32000</v>
      </c>
      <c r="V33" s="745">
        <v>0</v>
      </c>
      <c r="W33" s="745">
        <v>0</v>
      </c>
      <c r="X33" s="567"/>
      <c r="Y33" s="745">
        <v>3200</v>
      </c>
      <c r="Z33" s="745">
        <v>9360</v>
      </c>
      <c r="AA33" s="745"/>
      <c r="AB33" s="745">
        <v>6400</v>
      </c>
      <c r="AC33" s="745">
        <v>14880</v>
      </c>
      <c r="AD33" s="567"/>
      <c r="AE33" s="746" t="s">
        <v>3299</v>
      </c>
      <c r="AF33" s="733" t="s">
        <v>3219</v>
      </c>
      <c r="AG33" s="733" t="s">
        <v>3300</v>
      </c>
      <c r="AH33" s="733" t="s">
        <v>481</v>
      </c>
      <c r="AI33" s="733">
        <v>60</v>
      </c>
      <c r="AJ33" s="733"/>
      <c r="AK33" s="737"/>
      <c r="AL33" s="738"/>
      <c r="AM33" s="738"/>
      <c r="AN33" s="738"/>
      <c r="AO33" s="738"/>
      <c r="AP33" s="738"/>
      <c r="AQ33" s="738"/>
      <c r="AR33" s="738"/>
      <c r="AS33" s="738"/>
      <c r="AT33" s="738"/>
      <c r="AU33" s="738"/>
      <c r="AV33" s="738"/>
      <c r="AW33" s="738"/>
      <c r="AX33" s="738"/>
      <c r="AY33" s="739"/>
    </row>
    <row r="34" spans="1:51" ht="315" x14ac:dyDescent="0.25">
      <c r="A34" s="252" t="s">
        <v>49</v>
      </c>
      <c r="B34" s="252" t="s">
        <v>1451</v>
      </c>
      <c r="C34" s="934"/>
      <c r="D34" s="934"/>
      <c r="E34" s="934"/>
      <c r="F34" s="731" t="s">
        <v>3295</v>
      </c>
      <c r="G34" s="934"/>
      <c r="H34" s="639" t="s">
        <v>3303</v>
      </c>
      <c r="I34" s="639" t="s">
        <v>3304</v>
      </c>
      <c r="J34" s="177">
        <v>0</v>
      </c>
      <c r="K34" s="177" t="s">
        <v>323</v>
      </c>
      <c r="L34" s="177">
        <v>2</v>
      </c>
      <c r="M34" s="177">
        <v>1</v>
      </c>
      <c r="N34" s="639" t="s">
        <v>3305</v>
      </c>
      <c r="O34" s="733"/>
      <c r="P34" s="734"/>
      <c r="Q34" s="745">
        <v>16200</v>
      </c>
      <c r="R34" s="567"/>
      <c r="S34" s="567"/>
      <c r="T34" s="567"/>
      <c r="U34" s="745">
        <v>92571</v>
      </c>
      <c r="V34" s="745"/>
      <c r="W34" s="745"/>
      <c r="X34" s="567"/>
      <c r="Y34" s="745">
        <v>9257</v>
      </c>
      <c r="Z34" s="745">
        <v>15042</v>
      </c>
      <c r="AA34" s="745">
        <v>11572</v>
      </c>
      <c r="AB34" s="745">
        <v>32399</v>
      </c>
      <c r="AC34" s="745"/>
      <c r="AD34" s="567"/>
      <c r="AE34" s="746" t="s">
        <v>3299</v>
      </c>
      <c r="AF34" s="733" t="s">
        <v>3219</v>
      </c>
      <c r="AG34" s="733" t="s">
        <v>3300</v>
      </c>
      <c r="AH34" s="733" t="s">
        <v>481</v>
      </c>
      <c r="AI34" s="733">
        <v>60</v>
      </c>
      <c r="AJ34" s="733"/>
      <c r="AK34" s="737"/>
      <c r="AL34" s="738"/>
      <c r="AM34" s="738"/>
      <c r="AN34" s="738"/>
      <c r="AO34" s="738"/>
      <c r="AP34" s="738"/>
      <c r="AQ34" s="738"/>
      <c r="AR34" s="738"/>
      <c r="AS34" s="738"/>
      <c r="AT34" s="738"/>
      <c r="AU34" s="738"/>
      <c r="AV34" s="738"/>
      <c r="AW34" s="738"/>
      <c r="AX34" s="738"/>
      <c r="AY34" s="739"/>
    </row>
    <row r="35" spans="1:51" ht="255" x14ac:dyDescent="0.25">
      <c r="A35" s="252" t="s">
        <v>49</v>
      </c>
      <c r="B35" s="252" t="s">
        <v>1451</v>
      </c>
      <c r="C35" s="934"/>
      <c r="D35" s="934"/>
      <c r="E35" s="934"/>
      <c r="F35" s="731" t="s">
        <v>3295</v>
      </c>
      <c r="G35" s="934"/>
      <c r="H35" s="639" t="s">
        <v>3306</v>
      </c>
      <c r="I35" s="639" t="s">
        <v>3307</v>
      </c>
      <c r="J35" s="177">
        <v>0</v>
      </c>
      <c r="K35" s="177" t="s">
        <v>323</v>
      </c>
      <c r="L35" s="569">
        <v>4000</v>
      </c>
      <c r="M35" s="177">
        <v>1890</v>
      </c>
      <c r="N35" s="639" t="s">
        <v>3307</v>
      </c>
      <c r="O35" s="733"/>
      <c r="P35" s="734">
        <f t="shared" si="0"/>
        <v>112429</v>
      </c>
      <c r="Q35" s="745">
        <v>21429</v>
      </c>
      <c r="R35" s="567"/>
      <c r="S35" s="567"/>
      <c r="T35" s="567"/>
      <c r="U35" s="745">
        <v>57143</v>
      </c>
      <c r="V35" s="745">
        <v>0</v>
      </c>
      <c r="W35" s="745">
        <v>0</v>
      </c>
      <c r="X35" s="567"/>
      <c r="Y35" s="745">
        <v>5714</v>
      </c>
      <c r="Z35" s="745">
        <v>9286</v>
      </c>
      <c r="AA35" s="745"/>
      <c r="AB35" s="745">
        <v>8571</v>
      </c>
      <c r="AC35" s="745">
        <v>10286</v>
      </c>
      <c r="AD35" s="567"/>
      <c r="AE35" s="746" t="s">
        <v>3299</v>
      </c>
      <c r="AF35" s="733" t="s">
        <v>3219</v>
      </c>
      <c r="AG35" s="733" t="s">
        <v>3300</v>
      </c>
      <c r="AH35" s="733" t="s">
        <v>481</v>
      </c>
      <c r="AI35" s="733">
        <v>1890</v>
      </c>
      <c r="AJ35" s="733"/>
      <c r="AK35" s="737"/>
      <c r="AL35" s="738"/>
      <c r="AM35" s="738"/>
      <c r="AN35" s="738"/>
      <c r="AO35" s="738"/>
      <c r="AP35" s="738"/>
      <c r="AQ35" s="738"/>
      <c r="AR35" s="738"/>
      <c r="AS35" s="738"/>
      <c r="AT35" s="738"/>
      <c r="AU35" s="738"/>
      <c r="AV35" s="738"/>
      <c r="AW35" s="738"/>
      <c r="AX35" s="738"/>
      <c r="AY35" s="739"/>
    </row>
    <row r="36" spans="1:51" ht="240" x14ac:dyDescent="0.25">
      <c r="A36" s="252" t="s">
        <v>49</v>
      </c>
      <c r="B36" s="252" t="s">
        <v>1451</v>
      </c>
      <c r="C36" s="934"/>
      <c r="D36" s="934"/>
      <c r="E36" s="934"/>
      <c r="F36" s="731" t="s">
        <v>3308</v>
      </c>
      <c r="G36" s="934"/>
      <c r="H36" s="732" t="s">
        <v>3309</v>
      </c>
      <c r="I36" s="639" t="s">
        <v>3310</v>
      </c>
      <c r="J36" s="748">
        <v>0</v>
      </c>
      <c r="K36" s="748" t="s">
        <v>323</v>
      </c>
      <c r="L36" s="748">
        <v>1</v>
      </c>
      <c r="M36" s="748">
        <v>0.3</v>
      </c>
      <c r="N36" s="639" t="s">
        <v>3310</v>
      </c>
      <c r="O36" s="733"/>
      <c r="P36" s="734">
        <f t="shared" si="0"/>
        <v>55599</v>
      </c>
      <c r="Q36" s="745">
        <v>8571</v>
      </c>
      <c r="R36" s="567"/>
      <c r="S36" s="567"/>
      <c r="T36" s="567"/>
      <c r="U36" s="745">
        <v>22857</v>
      </c>
      <c r="V36" s="745">
        <v>0</v>
      </c>
      <c r="W36" s="745">
        <v>0</v>
      </c>
      <c r="X36" s="567"/>
      <c r="Y36" s="745">
        <v>2286</v>
      </c>
      <c r="Z36" s="745">
        <v>6685</v>
      </c>
      <c r="AA36" s="745"/>
      <c r="AB36" s="745">
        <v>4572</v>
      </c>
      <c r="AC36" s="745">
        <v>10628</v>
      </c>
      <c r="AD36" s="567"/>
      <c r="AE36" s="746" t="s">
        <v>3299</v>
      </c>
      <c r="AF36" s="733" t="s">
        <v>3219</v>
      </c>
      <c r="AG36" s="733">
        <v>42</v>
      </c>
      <c r="AH36" s="733" t="s">
        <v>3311</v>
      </c>
      <c r="AI36" s="749">
        <f>821924/1000</f>
        <v>821.92399999999998</v>
      </c>
      <c r="AJ36" s="733"/>
      <c r="AK36" s="737"/>
      <c r="AL36" s="738"/>
      <c r="AM36" s="738"/>
      <c r="AN36" s="738"/>
      <c r="AO36" s="738"/>
      <c r="AP36" s="738"/>
      <c r="AQ36" s="738"/>
      <c r="AR36" s="738"/>
      <c r="AS36" s="738"/>
      <c r="AT36" s="738"/>
      <c r="AU36" s="738"/>
      <c r="AV36" s="738"/>
      <c r="AW36" s="738"/>
      <c r="AX36" s="738"/>
      <c r="AY36" s="733"/>
    </row>
    <row r="37" spans="1:51" ht="375" x14ac:dyDescent="0.25">
      <c r="A37" s="252" t="s">
        <v>49</v>
      </c>
      <c r="B37" s="252" t="s">
        <v>1451</v>
      </c>
      <c r="C37" s="938" t="s">
        <v>3312</v>
      </c>
      <c r="D37" s="938" t="s">
        <v>3313</v>
      </c>
      <c r="E37" s="934">
        <v>0</v>
      </c>
      <c r="F37" s="731" t="s">
        <v>3314</v>
      </c>
      <c r="G37" s="933" t="s">
        <v>3315</v>
      </c>
      <c r="H37" s="732" t="s">
        <v>3316</v>
      </c>
      <c r="I37" s="732" t="s">
        <v>3317</v>
      </c>
      <c r="J37" s="177">
        <v>0</v>
      </c>
      <c r="K37" s="748" t="s">
        <v>323</v>
      </c>
      <c r="L37" s="177">
        <v>1</v>
      </c>
      <c r="M37" s="177">
        <v>0.55000000000000004</v>
      </c>
      <c r="N37" s="732" t="s">
        <v>3317</v>
      </c>
      <c r="O37" s="733"/>
      <c r="P37" s="734">
        <f t="shared" si="0"/>
        <v>111932</v>
      </c>
      <c r="Q37" s="745">
        <v>5114</v>
      </c>
      <c r="R37" s="567"/>
      <c r="S37" s="567"/>
      <c r="T37" s="567"/>
      <c r="U37" s="745">
        <v>20455</v>
      </c>
      <c r="V37" s="745">
        <v>0</v>
      </c>
      <c r="W37" s="745">
        <v>0</v>
      </c>
      <c r="X37" s="567"/>
      <c r="Y37" s="745">
        <v>1364</v>
      </c>
      <c r="Z37" s="745">
        <v>82954</v>
      </c>
      <c r="AA37" s="745"/>
      <c r="AB37" s="745">
        <v>2045</v>
      </c>
      <c r="AC37" s="567"/>
      <c r="AD37" s="567"/>
      <c r="AE37" s="746" t="s">
        <v>3318</v>
      </c>
      <c r="AF37" s="733" t="s">
        <v>3219</v>
      </c>
      <c r="AG37" s="733">
        <v>42</v>
      </c>
      <c r="AH37" s="733" t="s">
        <v>3311</v>
      </c>
      <c r="AI37" s="749">
        <f>821924/1000</f>
        <v>821.92399999999998</v>
      </c>
      <c r="AJ37" s="733"/>
      <c r="AK37" s="737"/>
      <c r="AL37" s="738"/>
      <c r="AM37" s="738"/>
      <c r="AN37" s="738"/>
      <c r="AO37" s="738"/>
      <c r="AP37" s="738"/>
      <c r="AQ37" s="738"/>
      <c r="AR37" s="738"/>
      <c r="AS37" s="738"/>
      <c r="AT37" s="738"/>
      <c r="AU37" s="738"/>
      <c r="AV37" s="738"/>
      <c r="AW37" s="738"/>
      <c r="AX37" s="738"/>
      <c r="AY37" s="733"/>
    </row>
    <row r="38" spans="1:51" ht="240" x14ac:dyDescent="0.25">
      <c r="A38" s="252" t="s">
        <v>49</v>
      </c>
      <c r="B38" s="252" t="s">
        <v>1451</v>
      </c>
      <c r="C38" s="938"/>
      <c r="D38" s="938"/>
      <c r="E38" s="934"/>
      <c r="F38" s="731" t="s">
        <v>3314</v>
      </c>
      <c r="G38" s="933"/>
      <c r="H38" s="732" t="s">
        <v>3319</v>
      </c>
      <c r="I38" s="732" t="s">
        <v>3320</v>
      </c>
      <c r="J38" s="177">
        <v>0</v>
      </c>
      <c r="K38" s="748" t="s">
        <v>323</v>
      </c>
      <c r="L38" s="177">
        <v>1</v>
      </c>
      <c r="M38" s="177">
        <v>0.2</v>
      </c>
      <c r="N38" s="732" t="s">
        <v>3320</v>
      </c>
      <c r="O38" s="733"/>
      <c r="P38" s="734">
        <f t="shared" si="0"/>
        <v>64772</v>
      </c>
      <c r="Q38" s="745">
        <v>10227</v>
      </c>
      <c r="R38" s="567"/>
      <c r="S38" s="567"/>
      <c r="T38" s="567"/>
      <c r="U38" s="745">
        <v>40909</v>
      </c>
      <c r="V38" s="745">
        <v>0</v>
      </c>
      <c r="W38" s="745">
        <v>0</v>
      </c>
      <c r="X38" s="567"/>
      <c r="Y38" s="745">
        <v>2727</v>
      </c>
      <c r="Z38" s="745">
        <v>6818</v>
      </c>
      <c r="AA38" s="745"/>
      <c r="AB38" s="745">
        <v>4091</v>
      </c>
      <c r="AC38" s="567"/>
      <c r="AD38" s="567"/>
      <c r="AE38" s="746" t="s">
        <v>3318</v>
      </c>
      <c r="AF38" s="733" t="s">
        <v>3219</v>
      </c>
      <c r="AG38" s="733">
        <v>42</v>
      </c>
      <c r="AH38" s="733" t="s">
        <v>3311</v>
      </c>
      <c r="AI38" s="749">
        <f>821924/1000</f>
        <v>821.92399999999998</v>
      </c>
      <c r="AJ38" s="733"/>
      <c r="AK38" s="737"/>
      <c r="AL38" s="738"/>
      <c r="AM38" s="738"/>
      <c r="AN38" s="738"/>
      <c r="AO38" s="738"/>
      <c r="AP38" s="738"/>
      <c r="AQ38" s="738"/>
      <c r="AR38" s="738"/>
      <c r="AS38" s="738"/>
      <c r="AT38" s="738"/>
      <c r="AU38" s="738"/>
      <c r="AV38" s="738"/>
      <c r="AW38" s="738"/>
      <c r="AX38" s="738"/>
      <c r="AY38" s="733"/>
    </row>
    <row r="39" spans="1:51" ht="300" x14ac:dyDescent="0.25">
      <c r="A39" s="252" t="s">
        <v>49</v>
      </c>
      <c r="B39" s="252" t="s">
        <v>1451</v>
      </c>
      <c r="C39" s="938"/>
      <c r="D39" s="938"/>
      <c r="E39" s="934"/>
      <c r="F39" s="731" t="s">
        <v>3314</v>
      </c>
      <c r="G39" s="933"/>
      <c r="H39" s="732" t="s">
        <v>3321</v>
      </c>
      <c r="I39" s="732" t="s">
        <v>3322</v>
      </c>
      <c r="J39" s="177">
        <v>0</v>
      </c>
      <c r="K39" s="748" t="s">
        <v>323</v>
      </c>
      <c r="L39" s="177">
        <v>4</v>
      </c>
      <c r="M39" s="177">
        <v>1</v>
      </c>
      <c r="N39" s="732" t="s">
        <v>3322</v>
      </c>
      <c r="O39" s="733"/>
      <c r="P39" s="734">
        <f t="shared" si="0"/>
        <v>226704</v>
      </c>
      <c r="Q39" s="745">
        <v>35795</v>
      </c>
      <c r="R39" s="567"/>
      <c r="S39" s="567"/>
      <c r="T39" s="567"/>
      <c r="U39" s="745">
        <v>143182</v>
      </c>
      <c r="V39" s="745">
        <v>0</v>
      </c>
      <c r="W39" s="745">
        <v>0</v>
      </c>
      <c r="X39" s="567"/>
      <c r="Y39" s="745">
        <v>9545</v>
      </c>
      <c r="Z39" s="745">
        <v>23864</v>
      </c>
      <c r="AA39" s="745"/>
      <c r="AB39" s="745">
        <v>14318</v>
      </c>
      <c r="AC39" s="567"/>
      <c r="AD39" s="567"/>
      <c r="AE39" s="746" t="s">
        <v>3318</v>
      </c>
      <c r="AF39" s="733" t="s">
        <v>3219</v>
      </c>
      <c r="AG39" s="733">
        <v>42</v>
      </c>
      <c r="AH39" s="733" t="s">
        <v>3311</v>
      </c>
      <c r="AI39" s="749">
        <f>821924/1000</f>
        <v>821.92399999999998</v>
      </c>
      <c r="AJ39" s="733"/>
      <c r="AK39" s="737"/>
      <c r="AL39" s="738"/>
      <c r="AM39" s="738"/>
      <c r="AN39" s="738"/>
      <c r="AO39" s="738"/>
      <c r="AP39" s="738"/>
      <c r="AQ39" s="738"/>
      <c r="AR39" s="738"/>
      <c r="AS39" s="738"/>
      <c r="AT39" s="738"/>
      <c r="AU39" s="738"/>
      <c r="AV39" s="738"/>
      <c r="AW39" s="738"/>
      <c r="AX39" s="738"/>
      <c r="AY39" s="733"/>
    </row>
    <row r="40" spans="1:51" ht="126" x14ac:dyDescent="0.25">
      <c r="A40" s="252" t="s">
        <v>49</v>
      </c>
      <c r="B40" s="252" t="s">
        <v>1451</v>
      </c>
      <c r="C40" s="938"/>
      <c r="D40" s="938"/>
      <c r="E40" s="934"/>
      <c r="F40" s="731" t="s">
        <v>3314</v>
      </c>
      <c r="G40" s="933"/>
      <c r="H40" s="732" t="s">
        <v>3323</v>
      </c>
      <c r="I40" s="732" t="s">
        <v>3324</v>
      </c>
      <c r="J40" s="177">
        <v>0</v>
      </c>
      <c r="K40" s="748" t="s">
        <v>323</v>
      </c>
      <c r="L40" s="177">
        <v>1</v>
      </c>
      <c r="M40" s="177">
        <v>0.25</v>
      </c>
      <c r="N40" s="732" t="s">
        <v>3324</v>
      </c>
      <c r="O40" s="733"/>
      <c r="P40" s="734">
        <f t="shared" si="0"/>
        <v>151137</v>
      </c>
      <c r="Q40" s="745">
        <v>23864</v>
      </c>
      <c r="R40" s="567"/>
      <c r="S40" s="567"/>
      <c r="T40" s="567"/>
      <c r="U40" s="745">
        <v>95455</v>
      </c>
      <c r="V40" s="745">
        <v>0</v>
      </c>
      <c r="W40" s="745">
        <v>0</v>
      </c>
      <c r="X40" s="567"/>
      <c r="Y40" s="745">
        <v>6364</v>
      </c>
      <c r="Z40" s="745">
        <v>15909</v>
      </c>
      <c r="AA40" s="745"/>
      <c r="AB40" s="745">
        <v>9545</v>
      </c>
      <c r="AC40" s="567"/>
      <c r="AD40" s="567"/>
      <c r="AE40" s="746" t="s">
        <v>3318</v>
      </c>
      <c r="AF40" s="733" t="s">
        <v>3219</v>
      </c>
      <c r="AG40" s="733">
        <v>42</v>
      </c>
      <c r="AH40" s="733" t="s">
        <v>3311</v>
      </c>
      <c r="AI40" s="749">
        <f>821924/1000</f>
        <v>821.92399999999998</v>
      </c>
      <c r="AJ40" s="733"/>
      <c r="AK40" s="737"/>
      <c r="AL40" s="738"/>
      <c r="AM40" s="738"/>
      <c r="AN40" s="738"/>
      <c r="AO40" s="738"/>
      <c r="AP40" s="738"/>
      <c r="AQ40" s="738"/>
      <c r="AR40" s="738"/>
      <c r="AS40" s="738"/>
      <c r="AT40" s="738"/>
      <c r="AU40" s="738"/>
      <c r="AV40" s="738"/>
      <c r="AW40" s="738"/>
      <c r="AX40" s="738"/>
      <c r="AY40" s="733"/>
    </row>
    <row r="41" spans="1:51" ht="120" x14ac:dyDescent="0.25">
      <c r="A41" s="252" t="s">
        <v>49</v>
      </c>
      <c r="B41" s="252" t="s">
        <v>1451</v>
      </c>
      <c r="C41" s="933" t="s">
        <v>3325</v>
      </c>
      <c r="D41" s="933" t="s">
        <v>3326</v>
      </c>
      <c r="E41" s="934">
        <v>0</v>
      </c>
      <c r="F41" s="731" t="s">
        <v>3327</v>
      </c>
      <c r="G41" s="933" t="s">
        <v>3328</v>
      </c>
      <c r="H41" s="732" t="s">
        <v>3329</v>
      </c>
      <c r="I41" s="732" t="s">
        <v>3330</v>
      </c>
      <c r="J41" s="177">
        <v>0</v>
      </c>
      <c r="K41" s="748" t="s">
        <v>323</v>
      </c>
      <c r="L41" s="177">
        <v>4</v>
      </c>
      <c r="M41" s="177">
        <v>1</v>
      </c>
      <c r="N41" s="732" t="s">
        <v>3330</v>
      </c>
      <c r="O41" s="733"/>
      <c r="P41" s="734">
        <f t="shared" si="0"/>
        <v>140072</v>
      </c>
      <c r="Q41" s="745">
        <v>12890</v>
      </c>
      <c r="R41" s="567"/>
      <c r="S41" s="567"/>
      <c r="T41" s="567"/>
      <c r="U41" s="745">
        <v>68750</v>
      </c>
      <c r="V41" s="745">
        <v>0</v>
      </c>
      <c r="W41" s="745">
        <v>0</v>
      </c>
      <c r="X41" s="567"/>
      <c r="Y41" s="745">
        <v>13750</v>
      </c>
      <c r="Z41" s="745">
        <v>23201</v>
      </c>
      <c r="AA41" s="745"/>
      <c r="AB41" s="745">
        <v>6873</v>
      </c>
      <c r="AC41" s="745">
        <v>14608</v>
      </c>
      <c r="AD41" s="567"/>
      <c r="AE41" s="736" t="s">
        <v>3331</v>
      </c>
      <c r="AF41" s="733" t="s">
        <v>3219</v>
      </c>
      <c r="AG41" s="733" t="s">
        <v>3332</v>
      </c>
      <c r="AH41" s="733" t="s">
        <v>3333</v>
      </c>
      <c r="AI41" s="733">
        <v>300</v>
      </c>
      <c r="AJ41" s="733"/>
      <c r="AK41" s="737"/>
      <c r="AL41" s="738"/>
      <c r="AM41" s="738"/>
      <c r="AN41" s="738"/>
      <c r="AO41" s="738"/>
      <c r="AP41" s="738"/>
      <c r="AQ41" s="738"/>
      <c r="AR41" s="738"/>
      <c r="AS41" s="738"/>
      <c r="AT41" s="738"/>
      <c r="AU41" s="738"/>
      <c r="AV41" s="738"/>
      <c r="AW41" s="738"/>
      <c r="AX41" s="738"/>
      <c r="AY41" s="739"/>
    </row>
    <row r="42" spans="1:51" ht="120" x14ac:dyDescent="0.25">
      <c r="A42" s="252" t="s">
        <v>49</v>
      </c>
      <c r="B42" s="252" t="s">
        <v>1451</v>
      </c>
      <c r="C42" s="933"/>
      <c r="D42" s="933"/>
      <c r="E42" s="934"/>
      <c r="F42" s="731" t="s">
        <v>3327</v>
      </c>
      <c r="G42" s="933"/>
      <c r="H42" s="732" t="s">
        <v>3334</v>
      </c>
      <c r="I42" s="732" t="s">
        <v>3335</v>
      </c>
      <c r="J42" s="177">
        <v>0</v>
      </c>
      <c r="K42" s="177" t="s">
        <v>323</v>
      </c>
      <c r="L42" s="177">
        <v>4</v>
      </c>
      <c r="M42" s="177">
        <v>1</v>
      </c>
      <c r="N42" s="732" t="s">
        <v>3335</v>
      </c>
      <c r="O42" s="733"/>
      <c r="P42" s="734">
        <f>SUM(Q42+R42+S42+T42+U42+V42+W42+X42+Y42+Z42+AA42+AB42+AC42+AD42)</f>
        <v>140079</v>
      </c>
      <c r="Q42" s="745">
        <v>12891</v>
      </c>
      <c r="R42" s="567"/>
      <c r="S42" s="567"/>
      <c r="T42" s="567"/>
      <c r="U42" s="745">
        <v>68750</v>
      </c>
      <c r="V42" s="745">
        <v>0</v>
      </c>
      <c r="W42" s="745">
        <v>0</v>
      </c>
      <c r="X42" s="567"/>
      <c r="Y42" s="745">
        <v>13750</v>
      </c>
      <c r="Z42" s="745">
        <v>23204</v>
      </c>
      <c r="AA42" s="745"/>
      <c r="AB42" s="745">
        <v>6875</v>
      </c>
      <c r="AC42" s="745">
        <v>14609</v>
      </c>
      <c r="AD42" s="567"/>
      <c r="AE42" s="736" t="s">
        <v>3331</v>
      </c>
      <c r="AF42" s="733" t="s">
        <v>3219</v>
      </c>
      <c r="AG42" s="733" t="s">
        <v>3332</v>
      </c>
      <c r="AH42" s="733" t="s">
        <v>3333</v>
      </c>
      <c r="AI42" s="733">
        <v>300</v>
      </c>
      <c r="AJ42" s="733"/>
      <c r="AK42" s="737"/>
      <c r="AL42" s="738"/>
      <c r="AM42" s="738"/>
      <c r="AN42" s="738"/>
      <c r="AO42" s="738"/>
      <c r="AP42" s="738"/>
      <c r="AQ42" s="738"/>
      <c r="AR42" s="738"/>
      <c r="AS42" s="738"/>
      <c r="AT42" s="738"/>
      <c r="AU42" s="738"/>
      <c r="AV42" s="738"/>
      <c r="AW42" s="738"/>
      <c r="AX42" s="738"/>
      <c r="AY42" s="739"/>
    </row>
    <row r="43" spans="1:51" ht="195" x14ac:dyDescent="0.25">
      <c r="A43" s="252" t="s">
        <v>49</v>
      </c>
      <c r="B43" s="252" t="s">
        <v>1451</v>
      </c>
      <c r="C43" s="933"/>
      <c r="D43" s="933"/>
      <c r="E43" s="934"/>
      <c r="F43" s="731" t="s">
        <v>3327</v>
      </c>
      <c r="G43" s="933"/>
      <c r="H43" s="732" t="s">
        <v>3336</v>
      </c>
      <c r="I43" s="732" t="s">
        <v>3337</v>
      </c>
      <c r="J43" s="177">
        <v>0</v>
      </c>
      <c r="K43" s="177" t="s">
        <v>323</v>
      </c>
      <c r="L43" s="177">
        <v>4</v>
      </c>
      <c r="M43" s="177">
        <v>1</v>
      </c>
      <c r="N43" s="732" t="s">
        <v>3337</v>
      </c>
      <c r="O43" s="733"/>
      <c r="P43" s="734">
        <f>SUM(Q43+R43+S43+T43+U43+V43+W43+X43+Y43+Z43+AA43+AB43+AC43+AD43)</f>
        <v>140079</v>
      </c>
      <c r="Q43" s="745">
        <v>12891</v>
      </c>
      <c r="R43" s="567"/>
      <c r="S43" s="567"/>
      <c r="T43" s="567"/>
      <c r="U43" s="745">
        <v>68750</v>
      </c>
      <c r="V43" s="745">
        <v>0</v>
      </c>
      <c r="W43" s="745">
        <v>0</v>
      </c>
      <c r="X43" s="567"/>
      <c r="Y43" s="745">
        <v>13750</v>
      </c>
      <c r="Z43" s="745">
        <v>23204</v>
      </c>
      <c r="AA43" s="745"/>
      <c r="AB43" s="745">
        <v>6875</v>
      </c>
      <c r="AC43" s="745">
        <v>14609</v>
      </c>
      <c r="AD43" s="567"/>
      <c r="AE43" s="736" t="s">
        <v>3331</v>
      </c>
      <c r="AF43" s="733" t="s">
        <v>3219</v>
      </c>
      <c r="AG43" s="733" t="s">
        <v>3332</v>
      </c>
      <c r="AH43" s="733" t="s">
        <v>3333</v>
      </c>
      <c r="AI43" s="733">
        <v>300</v>
      </c>
      <c r="AJ43" s="733"/>
      <c r="AK43" s="737"/>
      <c r="AL43" s="738"/>
      <c r="AM43" s="738"/>
      <c r="AN43" s="738"/>
      <c r="AO43" s="738"/>
      <c r="AP43" s="738"/>
      <c r="AQ43" s="738"/>
      <c r="AR43" s="738"/>
      <c r="AS43" s="738"/>
      <c r="AT43" s="738"/>
      <c r="AU43" s="738"/>
      <c r="AV43" s="738"/>
      <c r="AW43" s="738"/>
      <c r="AX43" s="738"/>
      <c r="AY43" s="739"/>
    </row>
    <row r="44" spans="1:51" ht="165" x14ac:dyDescent="0.25">
      <c r="A44" s="252" t="s">
        <v>49</v>
      </c>
      <c r="B44" s="252" t="s">
        <v>1451</v>
      </c>
      <c r="C44" s="933"/>
      <c r="D44" s="933"/>
      <c r="E44" s="934"/>
      <c r="F44" s="731" t="s">
        <v>3327</v>
      </c>
      <c r="G44" s="933"/>
      <c r="H44" s="639" t="s">
        <v>3338</v>
      </c>
      <c r="I44" s="639" t="s">
        <v>3339</v>
      </c>
      <c r="J44" s="177">
        <v>0</v>
      </c>
      <c r="K44" s="177" t="s">
        <v>323</v>
      </c>
      <c r="L44" s="177">
        <v>4</v>
      </c>
      <c r="M44" s="177">
        <v>1</v>
      </c>
      <c r="N44" s="639" t="s">
        <v>3339</v>
      </c>
      <c r="O44" s="733"/>
      <c r="P44" s="734">
        <f>SUM(Q44+R44+S44+T44+U44+V44+W44+X44+Y44+Z44+AA44+AB44+AC44+AD44)</f>
        <v>140079</v>
      </c>
      <c r="Q44" s="745">
        <v>12891</v>
      </c>
      <c r="R44" s="567"/>
      <c r="S44" s="567"/>
      <c r="T44" s="567"/>
      <c r="U44" s="745">
        <v>68750</v>
      </c>
      <c r="V44" s="745">
        <v>0</v>
      </c>
      <c r="W44" s="745">
        <v>0</v>
      </c>
      <c r="X44" s="567"/>
      <c r="Y44" s="745">
        <v>13750</v>
      </c>
      <c r="Z44" s="745">
        <v>23204</v>
      </c>
      <c r="AA44" s="745"/>
      <c r="AB44" s="745">
        <v>6875</v>
      </c>
      <c r="AC44" s="745">
        <v>14609</v>
      </c>
      <c r="AD44" s="567"/>
      <c r="AE44" s="736" t="s">
        <v>3331</v>
      </c>
      <c r="AF44" s="733" t="s">
        <v>3219</v>
      </c>
      <c r="AG44" s="733" t="s">
        <v>3332</v>
      </c>
      <c r="AH44" s="733" t="s">
        <v>3333</v>
      </c>
      <c r="AI44" s="733">
        <v>300</v>
      </c>
      <c r="AJ44" s="733"/>
      <c r="AK44" s="737"/>
      <c r="AL44" s="738"/>
      <c r="AM44" s="738"/>
      <c r="AN44" s="738"/>
      <c r="AO44" s="738"/>
      <c r="AP44" s="738"/>
      <c r="AQ44" s="738"/>
      <c r="AR44" s="738"/>
      <c r="AS44" s="738"/>
      <c r="AT44" s="738"/>
      <c r="AU44" s="738"/>
      <c r="AV44" s="738"/>
      <c r="AW44" s="738"/>
      <c r="AX44" s="738"/>
      <c r="AY44" s="739"/>
    </row>
    <row r="45" spans="1:51" ht="225" x14ac:dyDescent="0.25">
      <c r="A45" s="252" t="s">
        <v>49</v>
      </c>
      <c r="B45" s="252" t="s">
        <v>1451</v>
      </c>
      <c r="C45" s="933"/>
      <c r="D45" s="933"/>
      <c r="E45" s="934"/>
      <c r="F45" s="731" t="s">
        <v>3327</v>
      </c>
      <c r="G45" s="933"/>
      <c r="H45" s="639" t="s">
        <v>3340</v>
      </c>
      <c r="I45" s="639" t="s">
        <v>3341</v>
      </c>
      <c r="J45" s="177">
        <v>0</v>
      </c>
      <c r="K45" s="177" t="s">
        <v>323</v>
      </c>
      <c r="L45" s="177">
        <v>7</v>
      </c>
      <c r="M45" s="177">
        <v>2</v>
      </c>
      <c r="N45" s="639" t="s">
        <v>3341</v>
      </c>
      <c r="O45" s="733"/>
      <c r="P45" s="734">
        <f>SUM(Q45+R45+S45+T45+U45+V45+W45+X45+Y45+Z45+AA45+AB45+AC45+AD45)</f>
        <v>150938</v>
      </c>
      <c r="Q45" s="745">
        <v>16406</v>
      </c>
      <c r="R45" s="567"/>
      <c r="S45" s="567"/>
      <c r="T45" s="567"/>
      <c r="U45" s="745">
        <v>87500</v>
      </c>
      <c r="V45" s="745">
        <v>0</v>
      </c>
      <c r="W45" s="745">
        <v>0</v>
      </c>
      <c r="X45" s="567"/>
      <c r="Y45" s="745">
        <v>17500</v>
      </c>
      <c r="Z45" s="745">
        <v>16406</v>
      </c>
      <c r="AA45" s="745"/>
      <c r="AB45" s="745">
        <v>6563</v>
      </c>
      <c r="AC45" s="745">
        <v>6563</v>
      </c>
      <c r="AD45" s="567"/>
      <c r="AE45" s="736" t="s">
        <v>3331</v>
      </c>
      <c r="AF45" s="733" t="s">
        <v>3219</v>
      </c>
      <c r="AG45" s="733" t="s">
        <v>3332</v>
      </c>
      <c r="AH45" s="733" t="s">
        <v>3333</v>
      </c>
      <c r="AI45" s="733">
        <v>300</v>
      </c>
      <c r="AJ45" s="733"/>
      <c r="AK45" s="737"/>
      <c r="AL45" s="738"/>
      <c r="AM45" s="738"/>
      <c r="AN45" s="738"/>
      <c r="AO45" s="738"/>
      <c r="AP45" s="738"/>
      <c r="AQ45" s="738"/>
      <c r="AR45" s="738"/>
      <c r="AS45" s="738"/>
      <c r="AT45" s="738"/>
      <c r="AU45" s="738"/>
      <c r="AV45" s="738"/>
      <c r="AW45" s="738"/>
      <c r="AX45" s="738"/>
      <c r="AY45" s="739"/>
    </row>
    <row r="46" spans="1:51" ht="330" x14ac:dyDescent="0.25">
      <c r="A46" s="252" t="s">
        <v>49</v>
      </c>
      <c r="B46" s="252" t="s">
        <v>1451</v>
      </c>
      <c r="C46" s="933"/>
      <c r="D46" s="933"/>
      <c r="E46" s="934"/>
      <c r="F46" s="731" t="s">
        <v>3342</v>
      </c>
      <c r="G46" s="933"/>
      <c r="H46" s="732" t="s">
        <v>3343</v>
      </c>
      <c r="I46" s="732" t="s">
        <v>3344</v>
      </c>
      <c r="J46" s="177">
        <v>0</v>
      </c>
      <c r="K46" s="177" t="s">
        <v>323</v>
      </c>
      <c r="L46" s="177">
        <v>3</v>
      </c>
      <c r="M46" s="177">
        <v>1</v>
      </c>
      <c r="N46" s="732" t="s">
        <v>3344</v>
      </c>
      <c r="O46" s="733"/>
      <c r="P46" s="734">
        <f>SUM(Q46+R46+S46+T46+U46+V46+W46+X46+Y46+Z46+AA46+AB46+AC46+AD46)</f>
        <v>76408</v>
      </c>
      <c r="Q46" s="745">
        <v>7031</v>
      </c>
      <c r="R46" s="567"/>
      <c r="S46" s="567"/>
      <c r="T46" s="567"/>
      <c r="U46" s="745">
        <v>37500</v>
      </c>
      <c r="V46" s="745">
        <v>0</v>
      </c>
      <c r="W46" s="745">
        <v>0</v>
      </c>
      <c r="X46" s="567"/>
      <c r="Y46" s="745">
        <v>7500</v>
      </c>
      <c r="Z46" s="745">
        <v>12656</v>
      </c>
      <c r="AA46" s="745">
        <v>3751</v>
      </c>
      <c r="AB46" s="745">
        <v>7970</v>
      </c>
      <c r="AC46" s="745"/>
      <c r="AD46" s="567"/>
      <c r="AE46" s="736" t="s">
        <v>3331</v>
      </c>
      <c r="AF46" s="733" t="s">
        <v>3219</v>
      </c>
      <c r="AG46" s="733" t="s">
        <v>3332</v>
      </c>
      <c r="AH46" s="733" t="s">
        <v>3333</v>
      </c>
      <c r="AI46" s="733">
        <v>50</v>
      </c>
      <c r="AJ46" s="733"/>
      <c r="AK46" s="737"/>
      <c r="AL46" s="738"/>
      <c r="AM46" s="738"/>
      <c r="AN46" s="738"/>
      <c r="AO46" s="738"/>
      <c r="AP46" s="738"/>
      <c r="AQ46" s="738"/>
      <c r="AR46" s="738"/>
      <c r="AS46" s="738"/>
      <c r="AT46" s="738"/>
      <c r="AU46" s="738"/>
      <c r="AV46" s="738"/>
      <c r="AW46" s="738"/>
      <c r="AX46" s="738"/>
      <c r="AY46" s="739"/>
    </row>
  </sheetData>
  <sheetProtection password="C71C" sheet="1" objects="1" scenarios="1"/>
  <mergeCells count="62">
    <mergeCell ref="C41:C46"/>
    <mergeCell ref="D41:D46"/>
    <mergeCell ref="E41:E46"/>
    <mergeCell ref="G41:G46"/>
    <mergeCell ref="E28:E31"/>
    <mergeCell ref="C32:C36"/>
    <mergeCell ref="D32:D36"/>
    <mergeCell ref="E32:E36"/>
    <mergeCell ref="G32:G36"/>
    <mergeCell ref="C37:C40"/>
    <mergeCell ref="D37:D40"/>
    <mergeCell ref="E37:E40"/>
    <mergeCell ref="G37:G40"/>
    <mergeCell ref="G21:G24"/>
    <mergeCell ref="C22:C24"/>
    <mergeCell ref="D22:D24"/>
    <mergeCell ref="E22:E24"/>
    <mergeCell ref="C25:C27"/>
    <mergeCell ref="D25:D27"/>
    <mergeCell ref="E25:E27"/>
    <mergeCell ref="G25:G31"/>
    <mergeCell ref="C28:C31"/>
    <mergeCell ref="D28:D31"/>
    <mergeCell ref="AX10:AX11"/>
    <mergeCell ref="AY10:AY11"/>
    <mergeCell ref="C12:C14"/>
    <mergeCell ref="D12:D14"/>
    <mergeCell ref="E12:E14"/>
    <mergeCell ref="G12:G20"/>
    <mergeCell ref="C15:C19"/>
    <mergeCell ref="D15:D19"/>
    <mergeCell ref="E15:E19"/>
    <mergeCell ref="AG10:AG11"/>
    <mergeCell ref="AH10:AH11"/>
    <mergeCell ref="AI10:AI11"/>
    <mergeCell ref="AJ10:AJ11"/>
    <mergeCell ref="AK10:AK11"/>
    <mergeCell ref="AL10:AW10"/>
    <mergeCell ref="M10:M11"/>
    <mergeCell ref="N10:O10"/>
    <mergeCell ref="P10:P11"/>
    <mergeCell ref="Q10:AD10"/>
    <mergeCell ref="AE10:AE11"/>
    <mergeCell ref="AF10:AF11"/>
    <mergeCell ref="L10:L11"/>
    <mergeCell ref="A10:A11"/>
    <mergeCell ref="B10:B11"/>
    <mergeCell ref="C10:C11"/>
    <mergeCell ref="D10:D11"/>
    <mergeCell ref="E10:E11"/>
    <mergeCell ref="F10:F11"/>
    <mergeCell ref="G10:G11"/>
    <mergeCell ref="H10:H11"/>
    <mergeCell ref="I10:I11"/>
    <mergeCell ref="J10:J11"/>
    <mergeCell ref="K10:K11"/>
    <mergeCell ref="A7:N7"/>
    <mergeCell ref="A1:L1"/>
    <mergeCell ref="A2:L2"/>
    <mergeCell ref="A3:L3"/>
    <mergeCell ref="A4:L4"/>
    <mergeCell ref="A6:N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EDUCACIÓN</vt:lpstr>
      <vt:lpstr>SALUD</vt:lpstr>
      <vt:lpstr>INFRAESTRUCTURA</vt:lpstr>
      <vt:lpstr>EMCASERVICIOS</vt:lpstr>
      <vt:lpstr>DESARROLLO ECONÓMICO</vt:lpstr>
      <vt:lpstr>AGRICULTURA</vt:lpstr>
      <vt:lpstr>INDEPORTES</vt:lpstr>
      <vt:lpstr>GOBIERNO</vt:lpstr>
      <vt:lpstr>MUJER</vt:lpstr>
      <vt:lpstr>GESTIÓN SOCIAL</vt:lpstr>
      <vt:lpstr>GESTIÓN DEL RIESGO</vt:lpstr>
      <vt:lpstr>HACIENDA</vt:lpstr>
      <vt:lpstr>PLANEACIÓN</vt:lpstr>
      <vt:lpstr>GENERAL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ePlaneacion-3</dc:creator>
  <cp:lastModifiedBy>JANUS</cp:lastModifiedBy>
  <cp:lastPrinted>2016-11-10T22:54:59Z</cp:lastPrinted>
  <dcterms:created xsi:type="dcterms:W3CDTF">2016-06-30T17:10:45Z</dcterms:created>
  <dcterms:modified xsi:type="dcterms:W3CDTF">2017-01-27T20:07:25Z</dcterms:modified>
</cp:coreProperties>
</file>