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0" yWindow="0" windowWidth="24000" windowHeight="10125" tabRatio="373"/>
  </bookViews>
  <sheets>
    <sheet name="AGRICULTURA Y DESARROLLO RURAL" sheetId="30" r:id="rId1"/>
    <sheet name="DESARROLLO ECONÓMICO" sheetId="31" r:id="rId2"/>
    <sheet name="SECRETARÍA DE LA MUJER" sheetId="34" r:id="rId3"/>
    <sheet name="GESTIÓN DEL RIESGO" sheetId="35" r:id="rId4"/>
    <sheet name="SECRETARÍA GENERAL" sheetId="33" r:id="rId5"/>
  </sheets>
  <definedNames>
    <definedName name="_xlnm._FilterDatabase" localSheetId="0" hidden="1">'AGRICULTURA Y DESARROLLO RURAL'!$A$16:$BA$16</definedName>
    <definedName name="_xlnm._FilterDatabase" localSheetId="1" hidden="1">'DESARROLLO ECONÓMICO'!$A$15:$BA$15</definedName>
    <definedName name="_xlnm._FilterDatabase" localSheetId="3" hidden="1">'GESTIÓN DEL RIESGO'!$A$15:$BA$15</definedName>
    <definedName name="_xlnm._FilterDatabase" localSheetId="2" hidden="1">'SECRETARÍA DE LA MUJER'!$A$15:$BA$15</definedName>
    <definedName name="_xlnm._FilterDatabase" localSheetId="4" hidden="1">'SECRETARÍA GENERAL'!$A$15:$BB$15</definedName>
  </definedNames>
  <calcPr calcId="144525"/>
</workbook>
</file>

<file path=xl/calcChain.xml><?xml version="1.0" encoding="utf-8"?>
<calcChain xmlns="http://schemas.openxmlformats.org/spreadsheetml/2006/main">
  <c r="AK28" i="33" l="1"/>
  <c r="P16" i="35" l="1"/>
  <c r="Q53" i="34" l="1"/>
  <c r="AL53" i="34" s="1"/>
  <c r="Q52" i="34"/>
  <c r="AL52" i="34" s="1"/>
  <c r="Q51" i="34"/>
  <c r="AL51" i="34" s="1"/>
  <c r="Q50" i="34"/>
  <c r="AL50" i="34" s="1"/>
  <c r="Q49" i="34"/>
  <c r="AL49" i="34" s="1"/>
  <c r="Q48" i="34"/>
  <c r="AL48" i="34" s="1"/>
  <c r="V47" i="34"/>
  <c r="AL47" i="34" s="1"/>
  <c r="O47" i="34"/>
  <c r="Z46" i="34"/>
  <c r="V46" i="34"/>
  <c r="AL46" i="34" s="1"/>
  <c r="O46" i="34"/>
  <c r="V45" i="34"/>
  <c r="O45" i="34"/>
  <c r="V44" i="34"/>
  <c r="AL44" i="34" s="1"/>
  <c r="O44" i="34"/>
  <c r="AL43" i="34"/>
  <c r="AD43" i="34"/>
  <c r="Q43" i="34"/>
  <c r="O42" i="34"/>
  <c r="AL41" i="34"/>
  <c r="Q41" i="34"/>
  <c r="O41" i="34"/>
  <c r="AL39" i="34"/>
  <c r="AD39" i="34"/>
  <c r="Q39" i="34"/>
  <c r="V37" i="34"/>
  <c r="AL37" i="34" s="1"/>
  <c r="O37" i="34"/>
  <c r="V36" i="34"/>
  <c r="AL36" i="34" s="1"/>
  <c r="O35" i="34"/>
  <c r="AL34" i="34"/>
  <c r="O34" i="34"/>
  <c r="O33" i="34"/>
  <c r="M33" i="34"/>
  <c r="O32" i="34"/>
  <c r="M32" i="34" s="1"/>
  <c r="O31" i="34"/>
  <c r="M31" i="34"/>
  <c r="AL30" i="34"/>
  <c r="Q30" i="34"/>
  <c r="O29" i="34"/>
  <c r="O27" i="34"/>
  <c r="AL26" i="34"/>
  <c r="AD26" i="34"/>
  <c r="Z26" i="34"/>
  <c r="Q26" i="34"/>
  <c r="V25" i="34"/>
  <c r="AL25" i="34" s="1"/>
  <c r="O25" i="34"/>
  <c r="V24" i="34"/>
  <c r="AL24" i="34" s="1"/>
  <c r="O24" i="34"/>
  <c r="V23" i="34"/>
  <c r="AL23" i="34" s="1"/>
  <c r="V22" i="34"/>
  <c r="O22" i="34"/>
  <c r="V21" i="34"/>
  <c r="AL21" i="34" s="1"/>
  <c r="V20" i="34"/>
  <c r="AL20" i="34" s="1"/>
  <c r="O20" i="34"/>
  <c r="V19" i="34"/>
  <c r="AL19" i="34" s="1"/>
  <c r="O19" i="34"/>
  <c r="V18" i="34"/>
  <c r="AL18" i="34" s="1"/>
  <c r="O18" i="34"/>
  <c r="V16" i="34"/>
  <c r="AL16" i="34" s="1"/>
  <c r="O16" i="34"/>
  <c r="AF36" i="34" l="1"/>
  <c r="AL22" i="34"/>
  <c r="AL49" i="31" l="1"/>
  <c r="N49" i="31"/>
  <c r="AL48" i="31"/>
  <c r="N48" i="31"/>
  <c r="AL47" i="31"/>
  <c r="N47" i="31"/>
  <c r="N46" i="31"/>
  <c r="P45" i="31"/>
  <c r="N45" i="31"/>
  <c r="N44" i="31"/>
  <c r="N43" i="31"/>
  <c r="N42" i="31"/>
  <c r="N41" i="31"/>
  <c r="N40" i="31"/>
  <c r="AD39" i="31"/>
  <c r="P39" i="31"/>
  <c r="N39" i="31"/>
  <c r="N38" i="31"/>
  <c r="P37" i="31"/>
  <c r="N37" i="31"/>
  <c r="N36" i="31"/>
  <c r="N35" i="31"/>
  <c r="N34" i="31"/>
  <c r="N33" i="31"/>
  <c r="N32" i="31"/>
  <c r="N31" i="31"/>
  <c r="N30" i="31"/>
  <c r="N29" i="31"/>
  <c r="N28" i="31"/>
  <c r="N27" i="31"/>
  <c r="AL26" i="31"/>
  <c r="AD26" i="31"/>
  <c r="P26" i="31" s="1"/>
  <c r="N26" i="31"/>
  <c r="AL25" i="31"/>
  <c r="AD25" i="31"/>
  <c r="P25" i="31" s="1"/>
  <c r="N25" i="31"/>
  <c r="AL24" i="31"/>
  <c r="P24" i="31"/>
  <c r="N24" i="31"/>
  <c r="AL23" i="31"/>
  <c r="N23" i="31"/>
  <c r="AL22" i="31"/>
  <c r="N22" i="31"/>
  <c r="AL21" i="31"/>
  <c r="N21" i="31"/>
  <c r="AL19" i="31"/>
  <c r="AD19" i="31"/>
  <c r="P19" i="31" s="1"/>
  <c r="N19" i="31"/>
  <c r="AL18" i="31"/>
  <c r="AD18" i="31"/>
  <c r="P18" i="31" s="1"/>
  <c r="N18" i="31"/>
  <c r="V17" i="31"/>
  <c r="P17" i="31"/>
  <c r="N17" i="31"/>
  <c r="AL16" i="31"/>
  <c r="N16" i="31"/>
  <c r="P54" i="30" l="1"/>
  <c r="P53" i="30"/>
  <c r="P51" i="30"/>
  <c r="P48" i="30"/>
  <c r="P47" i="30"/>
  <c r="P46" i="30"/>
  <c r="P44" i="30"/>
  <c r="P43" i="30"/>
  <c r="P42" i="30"/>
  <c r="P38" i="30"/>
  <c r="P35" i="30"/>
  <c r="P32" i="30"/>
  <c r="P24" i="30"/>
  <c r="P23" i="30"/>
  <c r="P22" i="30"/>
  <c r="P21" i="30"/>
  <c r="P19" i="30"/>
  <c r="P17" i="30"/>
  <c r="P33" i="30" l="1"/>
  <c r="W29" i="30" l="1"/>
  <c r="W30" i="30"/>
  <c r="W31" i="30"/>
  <c r="W26" i="30"/>
  <c r="W27" i="30"/>
  <c r="W28" i="30"/>
  <c r="W25" i="30"/>
  <c r="P25" i="30" l="1"/>
  <c r="P45" i="30" l="1"/>
  <c r="Q56" i="30" l="1"/>
  <c r="P61" i="30" l="1"/>
  <c r="P36" i="30"/>
  <c r="P49" i="30"/>
  <c r="P52" i="30"/>
  <c r="P55" i="30"/>
  <c r="P56" i="30"/>
  <c r="P58" i="30"/>
  <c r="AL58" i="30" s="1"/>
  <c r="P59" i="30"/>
  <c r="P60" i="30"/>
  <c r="AL56" i="30"/>
  <c r="P62" i="30" l="1"/>
  <c r="W57" i="30" l="1"/>
  <c r="AL57" i="30" s="1"/>
</calcChain>
</file>

<file path=xl/comments1.xml><?xml version="1.0" encoding="utf-8"?>
<comments xmlns="http://schemas.openxmlformats.org/spreadsheetml/2006/main">
  <authors>
    <author>planeacion_9</author>
    <author>Usuario</author>
    <author>Felipe Garcia</author>
    <author>Toshiba</author>
  </authors>
  <commentList>
    <comment ref="AK15" authorId="0">
      <text>
        <r>
          <rPr>
            <b/>
            <sz val="8"/>
            <color indexed="81"/>
            <rFont val="Tahoma"/>
            <family val="2"/>
          </rPr>
          <t>planeacion_9:</t>
        </r>
        <r>
          <rPr>
            <sz val="8"/>
            <color indexed="81"/>
            <rFont val="Tahoma"/>
            <family val="2"/>
          </rPr>
          <t xml:space="preserve">
EN OBSERVACIONES CARACTERIZAR LA POBLACION
</t>
        </r>
      </text>
    </comment>
    <comment ref="Q17" authorId="1">
      <text>
        <r>
          <rPr>
            <b/>
            <sz val="9"/>
            <color indexed="81"/>
            <rFont val="Tahoma"/>
            <family val="2"/>
          </rPr>
          <t>Usuario:</t>
        </r>
        <r>
          <rPr>
            <sz val="9"/>
            <color indexed="81"/>
            <rFont val="Tahoma"/>
            <family val="2"/>
          </rPr>
          <t xml:space="preserve">
Numero de eventos de capacitación en agroindustria realizados</t>
        </r>
      </text>
    </comment>
    <comment ref="Q21" authorId="1">
      <text>
        <r>
          <rPr>
            <b/>
            <sz val="9"/>
            <color indexed="81"/>
            <rFont val="Tahoma"/>
            <family val="2"/>
          </rPr>
          <t>Usuario:</t>
        </r>
        <r>
          <rPr>
            <sz val="9"/>
            <color indexed="81"/>
            <rFont val="Tahoma"/>
            <family val="2"/>
          </rPr>
          <t xml:space="preserve">
se suman 32 mll de PROGRAMA "Numero de Número de Instituciones educativas donde se mejoran las condiciones para el procesamiento de alimentos "</t>
        </r>
      </text>
    </comment>
    <comment ref="Q35" authorId="1">
      <text>
        <r>
          <rPr>
            <b/>
            <sz val="9"/>
            <color indexed="81"/>
            <rFont val="Tahoma"/>
            <family val="2"/>
          </rPr>
          <t>Usuario:</t>
        </r>
        <r>
          <rPr>
            <sz val="9"/>
            <color indexed="81"/>
            <rFont val="Tahoma"/>
            <family val="2"/>
          </rPr>
          <t xml:space="preserve">
SE SUMAN 5 MLL DEL PROGRAMA " Número de eventos productivos y/o comerciales con participación de organizaciones agropecuarias apoyados"</t>
        </r>
      </text>
    </comment>
    <comment ref="AD35" authorId="1">
      <text>
        <r>
          <rPr>
            <b/>
            <sz val="9"/>
            <color indexed="81"/>
            <rFont val="Tahoma"/>
            <family val="2"/>
          </rPr>
          <t>Usuario:</t>
        </r>
        <r>
          <rPr>
            <sz val="9"/>
            <color indexed="81"/>
            <rFont val="Tahoma"/>
            <family val="2"/>
          </rPr>
          <t xml:space="preserve">
SE SUMAN 5 MLL DEL PROGRAMA " Número de eventos productivos y/o comerciales con participación de organizaciones agropecuarias apoyados"</t>
        </r>
      </text>
    </comment>
    <comment ref="C45" authorId="2">
      <text>
        <r>
          <rPr>
            <b/>
            <sz val="9"/>
            <color indexed="81"/>
            <rFont val="Tahoma"/>
            <family val="2"/>
          </rPr>
          <t>Felipe García:</t>
        </r>
        <r>
          <rPr>
            <sz val="9"/>
            <color indexed="81"/>
            <rFont val="Tahoma"/>
            <family val="2"/>
          </rPr>
          <t xml:space="preserve">
Desarrollar 7 instrumentos de planificación</t>
        </r>
      </text>
    </comment>
    <comment ref="D45" authorId="2">
      <text>
        <r>
          <rPr>
            <b/>
            <sz val="9"/>
            <color indexed="81"/>
            <rFont val="Tahoma"/>
            <family val="2"/>
          </rPr>
          <t>Felipe García:</t>
        </r>
        <r>
          <rPr>
            <sz val="9"/>
            <color indexed="81"/>
            <rFont val="Tahoma"/>
            <family val="2"/>
          </rPr>
          <t xml:space="preserve">
Número de instrumentos de planificación desarrollados</t>
        </r>
      </text>
    </comment>
    <comment ref="AD50" authorId="1">
      <text>
        <r>
          <rPr>
            <b/>
            <sz val="9"/>
            <color indexed="81"/>
            <rFont val="Tahoma"/>
            <family val="2"/>
          </rPr>
          <t>Usuario:Recursos del programa "Número de diagnósticos nutricionales a niños menores de 5 años de 4000 familias vulnerables"</t>
        </r>
      </text>
    </comment>
    <comment ref="P55" authorId="3">
      <text>
        <r>
          <rPr>
            <b/>
            <sz val="9"/>
            <color indexed="81"/>
            <rFont val="Tahoma"/>
            <family val="2"/>
          </rPr>
          <t>Toshiba:</t>
        </r>
        <r>
          <rPr>
            <sz val="9"/>
            <color indexed="81"/>
            <rFont val="Tahoma"/>
            <family val="2"/>
          </rPr>
          <t xml:space="preserve">
$84.000.000 recursos  CRC para el cumplimiento de esta meta. </t>
        </r>
      </text>
    </comment>
    <comment ref="P57" authorId="3">
      <text>
        <r>
          <rPr>
            <b/>
            <sz val="9"/>
            <color indexed="81"/>
            <rFont val="Tahoma"/>
            <family val="2"/>
          </rPr>
          <t>Toshiba:</t>
        </r>
        <r>
          <rPr>
            <sz val="9"/>
            <color indexed="81"/>
            <rFont val="Tahoma"/>
            <family val="2"/>
          </rPr>
          <t xml:space="preserve">
$133.000.000 recursos  CRC para el cumplimiento de esta meta. </t>
        </r>
      </text>
    </comment>
    <comment ref="P60" authorId="3">
      <text>
        <r>
          <rPr>
            <b/>
            <sz val="9"/>
            <color indexed="81"/>
            <rFont val="Tahoma"/>
            <family val="2"/>
          </rPr>
          <t>Toshiba:</t>
        </r>
        <r>
          <rPr>
            <sz val="9"/>
            <color indexed="81"/>
            <rFont val="Tahoma"/>
            <family val="2"/>
          </rPr>
          <t xml:space="preserve">
$435.000.000 recursos  CRC para el cumplimiento de esta meta.</t>
        </r>
      </text>
    </comment>
    <comment ref="P61" authorId="3">
      <text>
        <r>
          <rPr>
            <b/>
            <sz val="9"/>
            <color indexed="81"/>
            <rFont val="Tahoma"/>
            <family val="2"/>
          </rPr>
          <t>Toshiba:</t>
        </r>
        <r>
          <rPr>
            <sz val="9"/>
            <color indexed="81"/>
            <rFont val="Tahoma"/>
            <family val="2"/>
          </rPr>
          <t xml:space="preserve">
$83.000.000 recursos  CRC para el cumplimiento de esta meta. </t>
        </r>
      </text>
    </comment>
    <comment ref="P62" authorId="3">
      <text>
        <r>
          <rPr>
            <b/>
            <sz val="9"/>
            <color indexed="81"/>
            <rFont val="Tahoma"/>
            <family val="2"/>
          </rPr>
          <t>Toshiba:</t>
        </r>
        <r>
          <rPr>
            <sz val="9"/>
            <color indexed="81"/>
            <rFont val="Tahoma"/>
            <family val="2"/>
          </rPr>
          <t xml:space="preserve">
$110.000.000 recursos  CRC para el cumplimiento de esta meta. </t>
        </r>
      </text>
    </comment>
  </commentList>
</comments>
</file>

<file path=xl/comments2.xml><?xml version="1.0" encoding="utf-8"?>
<comments xmlns="http://schemas.openxmlformats.org/spreadsheetml/2006/main">
  <authors>
    <author>planeacion_9</author>
    <author>CESAR PC</author>
    <author>Asus</author>
    <author>hp</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 ref="Q16" authorId="1">
      <text>
        <r>
          <rPr>
            <b/>
            <sz val="9"/>
            <color indexed="81"/>
            <rFont val="Tahoma"/>
            <family val="2"/>
          </rPr>
          <t>$25.000 trasladados de la 3ra meta de este programa</t>
        </r>
      </text>
    </comment>
    <comment ref="P17" authorId="1">
      <text>
        <r>
          <rPr>
            <sz val="9"/>
            <color indexed="81"/>
            <rFont val="Tahoma"/>
            <family val="2"/>
          </rPr>
          <t>Menos 700 millones que se ejecutó en 2018</t>
        </r>
      </text>
    </comment>
    <comment ref="V17" authorId="1">
      <text>
        <r>
          <rPr>
            <sz val="9"/>
            <color indexed="81"/>
            <rFont val="Tahoma"/>
            <family val="2"/>
          </rPr>
          <t>Corresponden a 1.500 millones de la tercera meta y 1.500 millones de la cuarta meta. Sin embargo, durante el 2018 se avanzó en la ejecución de 567 millones</t>
        </r>
      </text>
    </comment>
    <comment ref="AD18" authorId="2">
      <text>
        <r>
          <rPr>
            <sz val="9"/>
            <color indexed="81"/>
            <rFont val="Tahoma"/>
            <family val="2"/>
          </rPr>
          <t>Durante el año 2018 se realizó una ejecución adicional de $65.369</t>
        </r>
      </text>
    </comment>
    <comment ref="AD19" authorId="2">
      <text>
        <r>
          <rPr>
            <sz val="9"/>
            <color indexed="81"/>
            <rFont val="Tahoma"/>
            <family val="2"/>
          </rPr>
          <t>Durante el 2018 se realizó una ejecución adicional de $ 5.471</t>
        </r>
      </text>
    </comment>
    <comment ref="Q24" authorId="1">
      <text>
        <r>
          <rPr>
            <b/>
            <sz val="9"/>
            <color indexed="81"/>
            <rFont val="Tahoma"/>
            <family val="2"/>
          </rPr>
          <t>Trasladados de la segunda meta del presente programa</t>
        </r>
      </text>
    </comment>
    <comment ref="AD24" authorId="1">
      <text>
        <r>
          <rPr>
            <b/>
            <sz val="9"/>
            <color indexed="81"/>
            <rFont val="Tahoma"/>
            <family val="2"/>
          </rPr>
          <t>$40.000 de cofinanciación</t>
        </r>
      </text>
    </comment>
    <comment ref="M25" authorId="1">
      <text>
        <r>
          <rPr>
            <b/>
            <sz val="9"/>
            <color indexed="81"/>
            <rFont val="Tahoma"/>
            <family val="2"/>
          </rPr>
          <t>Se ajusta la meta debido a que en 2017 se cumplió en un 0,10 adicional</t>
        </r>
      </text>
    </comment>
    <comment ref="Q25" authorId="1">
      <text>
        <r>
          <rPr>
            <b/>
            <sz val="9"/>
            <color indexed="81"/>
            <rFont val="Tahoma"/>
            <family val="2"/>
          </rPr>
          <t>29 millones trasladados de la tercera meta del presente programa</t>
        </r>
      </text>
    </comment>
    <comment ref="AD25" authorId="1">
      <text>
        <r>
          <rPr>
            <b/>
            <sz val="9"/>
            <color indexed="81"/>
            <rFont val="Tahoma"/>
            <family val="2"/>
          </rPr>
          <t>$100.000 de cofinanciación</t>
        </r>
      </text>
    </comment>
    <comment ref="AD26" authorId="1">
      <text>
        <r>
          <rPr>
            <b/>
            <sz val="9"/>
            <color indexed="81"/>
            <rFont val="Tahoma"/>
            <family val="2"/>
          </rPr>
          <t>$40.000 de cofinanciación</t>
        </r>
      </text>
    </comment>
    <comment ref="AD39" authorId="3">
      <text>
        <r>
          <rPr>
            <b/>
            <sz val="9"/>
            <color indexed="81"/>
            <rFont val="Tahoma"/>
            <family val="2"/>
          </rPr>
          <t>hp:</t>
        </r>
        <r>
          <rPr>
            <sz val="9"/>
            <color indexed="81"/>
            <rFont val="Tahoma"/>
            <family val="2"/>
          </rPr>
          <t xml:space="preserve">
300.000.000 Corresponden a recursos inicialmente programados en el FCR, 600.000.000 no ejecutados en 2018 </t>
        </r>
      </text>
    </comment>
    <comment ref="Q40" authorId="3">
      <text>
        <r>
          <rPr>
            <sz val="9"/>
            <color indexed="81"/>
            <rFont val="Tahoma"/>
            <family val="2"/>
          </rPr>
          <t>No hay disponibilidad inicial</t>
        </r>
      </text>
    </comment>
    <comment ref="Q41" authorId="3">
      <text>
        <r>
          <rPr>
            <sz val="9"/>
            <color indexed="81"/>
            <rFont val="Tahoma"/>
            <family val="2"/>
          </rPr>
          <t>No hay disponibilidad inicial</t>
        </r>
      </text>
    </comment>
    <comment ref="AD45" authorId="3">
      <text>
        <r>
          <rPr>
            <b/>
            <sz val="9"/>
            <color indexed="81"/>
            <rFont val="Tahoma"/>
            <family val="2"/>
          </rPr>
          <t>hp:</t>
        </r>
        <r>
          <rPr>
            <sz val="9"/>
            <color indexed="81"/>
            <rFont val="Tahoma"/>
            <family val="2"/>
          </rPr>
          <t xml:space="preserve">
Durante la vigencia 2018 se realizo una ejecución adicional por 219.000.000</t>
        </r>
      </text>
    </comment>
    <comment ref="M46" authorId="1">
      <text>
        <r>
          <rPr>
            <sz val="9"/>
            <color indexed="81"/>
            <rFont val="Tahoma"/>
            <family val="2"/>
          </rPr>
          <t>Meta cumplida en su totalidad en la vigencia 2018</t>
        </r>
      </text>
    </comment>
    <comment ref="P47" authorId="1">
      <text>
        <r>
          <rPr>
            <sz val="9"/>
            <color indexed="81"/>
            <rFont val="Tahoma"/>
            <family val="2"/>
          </rPr>
          <t>Se incrementó en 80 millones de regalías directas  y 2 millones de recursos ppios que correspondían a la primera meta del programa</t>
        </r>
      </text>
    </comment>
    <comment ref="Q47" authorId="1">
      <text>
        <r>
          <rPr>
            <sz val="9"/>
            <color indexed="81"/>
            <rFont val="Tahoma"/>
            <family val="2"/>
          </rPr>
          <t>Estaban inicialmente programados en la primera meta del programa</t>
        </r>
      </text>
    </comment>
    <comment ref="X47" authorId="1">
      <text>
        <r>
          <rPr>
            <sz val="9"/>
            <color indexed="81"/>
            <rFont val="Tahoma"/>
            <family val="2"/>
          </rPr>
          <t xml:space="preserve">Más 80 millones de la primera meta del programa que estaban en regalías directas.
Más 25 millones de regalías directas que estaban en la presente meta.
</t>
        </r>
        <r>
          <rPr>
            <b/>
            <sz val="9"/>
            <color indexed="81"/>
            <rFont val="Tahoma"/>
            <family val="2"/>
          </rPr>
          <t>Pendiente por asignar recursos de regalías CTI que no se logren ejecutar en 2018.</t>
        </r>
      </text>
    </comment>
  </commentList>
</comments>
</file>

<file path=xl/comments3.xml><?xml version="1.0" encoding="utf-8"?>
<comments xmlns="http://schemas.openxmlformats.org/spreadsheetml/2006/main">
  <authors>
    <author>planeacion_9</author>
    <author>DELL</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 ref="AA27" authorId="1">
      <text>
        <r>
          <rPr>
            <b/>
            <sz val="9"/>
            <color indexed="81"/>
            <rFont val="Tahoma"/>
            <family val="2"/>
          </rPr>
          <t>DELL:</t>
        </r>
        <r>
          <rPr>
            <sz val="9"/>
            <color indexed="81"/>
            <rFont val="Tahoma"/>
            <family val="2"/>
          </rPr>
          <t xml:space="preserve">
23864,  se trasladaron a vigencia 2017</t>
        </r>
      </text>
    </comment>
    <comment ref="AC27" authorId="1">
      <text>
        <r>
          <rPr>
            <b/>
            <sz val="9"/>
            <color indexed="81"/>
            <rFont val="Tahoma"/>
            <family val="2"/>
          </rPr>
          <t>DELL:10227</t>
        </r>
        <r>
          <rPr>
            <sz val="9"/>
            <color indexed="81"/>
            <rFont val="Tahoma"/>
            <family val="2"/>
          </rPr>
          <t>,  se trasladaron a vigencia 2017</t>
        </r>
      </text>
    </comment>
    <comment ref="AD27" authorId="1">
      <text>
        <r>
          <rPr>
            <b/>
            <sz val="9"/>
            <color indexed="81"/>
            <rFont val="Tahoma"/>
            <family val="2"/>
          </rPr>
          <t>DELL:17045</t>
        </r>
        <r>
          <rPr>
            <sz val="9"/>
            <color indexed="81"/>
            <rFont val="Tahoma"/>
            <family val="2"/>
          </rPr>
          <t>,  se trasladaron a vigencia 2017</t>
        </r>
      </text>
    </comment>
    <comment ref="Q28" authorId="1">
      <text>
        <r>
          <rPr>
            <b/>
            <sz val="9"/>
            <color indexed="81"/>
            <rFont val="Tahoma"/>
            <family val="2"/>
          </rPr>
          <t>DELL:</t>
        </r>
        <r>
          <rPr>
            <sz val="9"/>
            <color indexed="81"/>
            <rFont val="Tahoma"/>
            <family val="2"/>
          </rPr>
          <t xml:space="preserve">
10227, se trasladaron a vigencia 2017</t>
        </r>
      </text>
    </comment>
    <comment ref="Z28" authorId="1">
      <text>
        <r>
          <rPr>
            <b/>
            <sz val="9"/>
            <color indexed="81"/>
            <rFont val="Tahoma"/>
            <family val="2"/>
          </rPr>
          <t>DELL:</t>
        </r>
        <r>
          <rPr>
            <sz val="9"/>
            <color indexed="81"/>
            <rFont val="Tahoma"/>
            <family val="2"/>
          </rPr>
          <t xml:space="preserve">
16364,  se trasladaron a vigencia 201</t>
        </r>
      </text>
    </comment>
    <comment ref="AA28" authorId="1">
      <text>
        <r>
          <rPr>
            <b/>
            <sz val="9"/>
            <color indexed="81"/>
            <rFont val="Tahoma"/>
            <family val="2"/>
          </rPr>
          <t>DELL:</t>
        </r>
        <r>
          <rPr>
            <sz val="9"/>
            <color indexed="81"/>
            <rFont val="Tahoma"/>
            <family val="2"/>
          </rPr>
          <t xml:space="preserve">
23864,  se trasladaron a vigencia 2017</t>
        </r>
      </text>
    </comment>
    <comment ref="AC28" authorId="1">
      <text>
        <r>
          <rPr>
            <b/>
            <sz val="9"/>
            <color indexed="81"/>
            <rFont val="Tahoma"/>
            <family val="2"/>
          </rPr>
          <t>DELL:10227</t>
        </r>
        <r>
          <rPr>
            <sz val="9"/>
            <color indexed="81"/>
            <rFont val="Tahoma"/>
            <family val="2"/>
          </rPr>
          <t>,  se trasladaron a vigencia 2017</t>
        </r>
      </text>
    </comment>
    <comment ref="AD28" authorId="1">
      <text>
        <r>
          <rPr>
            <b/>
            <sz val="9"/>
            <color indexed="81"/>
            <rFont val="Tahoma"/>
            <family val="2"/>
          </rPr>
          <t>DELL:17045</t>
        </r>
        <r>
          <rPr>
            <sz val="9"/>
            <color indexed="81"/>
            <rFont val="Tahoma"/>
            <family val="2"/>
          </rPr>
          <t>,  se trasladaron a vigencia 2017</t>
        </r>
      </text>
    </comment>
    <comment ref="Q29" authorId="1">
      <text>
        <r>
          <rPr>
            <b/>
            <sz val="9"/>
            <color indexed="81"/>
            <rFont val="Tahoma"/>
            <family val="2"/>
          </rPr>
          <t>DELL:</t>
        </r>
        <r>
          <rPr>
            <sz val="9"/>
            <color indexed="81"/>
            <rFont val="Tahoma"/>
            <family val="2"/>
          </rPr>
          <t xml:space="preserve">
10227, se trasladaron a vigencia 2017</t>
        </r>
      </text>
    </comment>
    <comment ref="Z29" authorId="1">
      <text>
        <r>
          <rPr>
            <b/>
            <sz val="9"/>
            <color indexed="81"/>
            <rFont val="Tahoma"/>
            <family val="2"/>
          </rPr>
          <t>DELL:</t>
        </r>
        <r>
          <rPr>
            <sz val="9"/>
            <color indexed="81"/>
            <rFont val="Tahoma"/>
            <family val="2"/>
          </rPr>
          <t xml:space="preserve">
16364,  se trasladaron a vigencia 201</t>
        </r>
      </text>
    </comment>
    <comment ref="AA29" authorId="1">
      <text>
        <r>
          <rPr>
            <b/>
            <sz val="9"/>
            <color indexed="81"/>
            <rFont val="Tahoma"/>
            <family val="2"/>
          </rPr>
          <t>DELL:</t>
        </r>
        <r>
          <rPr>
            <sz val="9"/>
            <color indexed="81"/>
            <rFont val="Tahoma"/>
            <family val="2"/>
          </rPr>
          <t xml:space="preserve">
23864,  se trasladaron a vigencia 2017</t>
        </r>
      </text>
    </comment>
    <comment ref="AC29" authorId="1">
      <text>
        <r>
          <rPr>
            <b/>
            <sz val="9"/>
            <color indexed="81"/>
            <rFont val="Tahoma"/>
            <family val="2"/>
          </rPr>
          <t>DELL:10227</t>
        </r>
        <r>
          <rPr>
            <sz val="9"/>
            <color indexed="81"/>
            <rFont val="Tahoma"/>
            <family val="2"/>
          </rPr>
          <t>,  se trasladaron a vigencia 2017</t>
        </r>
      </text>
    </comment>
    <comment ref="AD29" authorId="1">
      <text>
        <r>
          <rPr>
            <b/>
            <sz val="9"/>
            <color indexed="81"/>
            <rFont val="Tahoma"/>
            <family val="2"/>
          </rPr>
          <t>DELL:17045</t>
        </r>
        <r>
          <rPr>
            <sz val="9"/>
            <color indexed="81"/>
            <rFont val="Tahoma"/>
            <family val="2"/>
          </rPr>
          <t>,  se trasladaron a vigencia 2017</t>
        </r>
      </text>
    </comment>
    <comment ref="AA30" authorId="1">
      <text>
        <r>
          <rPr>
            <b/>
            <sz val="9"/>
            <color indexed="81"/>
            <rFont val="Tahoma"/>
            <family val="2"/>
          </rPr>
          <t>DELL:</t>
        </r>
        <r>
          <rPr>
            <sz val="9"/>
            <color indexed="81"/>
            <rFont val="Tahoma"/>
            <family val="2"/>
          </rPr>
          <t xml:space="preserve">
SE TRASLADAN LOS RECURSOS A OTRA META DE PRODUCTO $79545</t>
        </r>
      </text>
    </comment>
    <comment ref="AD30" authorId="1">
      <text>
        <r>
          <rPr>
            <b/>
            <sz val="9"/>
            <color indexed="81"/>
            <rFont val="Tahoma"/>
            <family val="2"/>
          </rPr>
          <t>DELL:</t>
        </r>
        <r>
          <rPr>
            <sz val="9"/>
            <color indexed="81"/>
            <rFont val="Tahoma"/>
            <family val="2"/>
          </rPr>
          <t xml:space="preserve">
SE TRASLADAN LOS RECURSOS A OTRA META DE PRODUCTO $56820</t>
        </r>
      </text>
    </comment>
    <comment ref="Z40" authorId="1">
      <text>
        <r>
          <rPr>
            <b/>
            <sz val="9"/>
            <color indexed="81"/>
            <rFont val="Tahoma"/>
            <family val="2"/>
          </rPr>
          <t>DELL:</t>
        </r>
        <r>
          <rPr>
            <sz val="9"/>
            <color indexed="81"/>
            <rFont val="Tahoma"/>
            <family val="2"/>
          </rPr>
          <t xml:space="preserve">
se adicionaron recursos de meta sobrevalorada $54545</t>
        </r>
      </text>
    </comment>
    <comment ref="V43" authorId="1">
      <text>
        <r>
          <rPr>
            <b/>
            <sz val="9"/>
            <color indexed="81"/>
            <rFont val="Tahoma"/>
            <family val="2"/>
          </rPr>
          <t>DELL:</t>
        </r>
        <r>
          <rPr>
            <sz val="9"/>
            <color indexed="81"/>
            <rFont val="Tahoma"/>
            <family val="2"/>
          </rPr>
          <t xml:space="preserve">
SE ADICIONARON RECUROS DE 2017 $11429</t>
        </r>
      </text>
    </comment>
    <comment ref="Z43" authorId="1">
      <text>
        <r>
          <rPr>
            <b/>
            <sz val="9"/>
            <color indexed="81"/>
            <rFont val="Tahoma"/>
            <family val="2"/>
          </rPr>
          <t>DELL:</t>
        </r>
        <r>
          <rPr>
            <sz val="9"/>
            <color indexed="81"/>
            <rFont val="Tahoma"/>
            <family val="2"/>
          </rPr>
          <t xml:space="preserve">
SE ADICIONARON RECUROS DE 2017  $ 3429</t>
        </r>
      </text>
    </comment>
    <comment ref="AA43" authorId="1">
      <text>
        <r>
          <rPr>
            <b/>
            <sz val="9"/>
            <color indexed="81"/>
            <rFont val="Tahoma"/>
            <family val="2"/>
          </rPr>
          <t>DELL:</t>
        </r>
        <r>
          <rPr>
            <sz val="9"/>
            <color indexed="81"/>
            <rFont val="Tahoma"/>
            <family val="2"/>
          </rPr>
          <t xml:space="preserve">
SE ADICIONA RECUROS DE 2017  $ 1857</t>
        </r>
      </text>
    </comment>
    <comment ref="AC43" authorId="1">
      <text>
        <r>
          <rPr>
            <b/>
            <sz val="9"/>
            <color indexed="81"/>
            <rFont val="Tahoma"/>
            <family val="2"/>
          </rPr>
          <t>DELL:</t>
        </r>
        <r>
          <rPr>
            <sz val="9"/>
            <color indexed="81"/>
            <rFont val="Tahoma"/>
            <family val="2"/>
          </rPr>
          <t xml:space="preserve">
SE ADICIONA RECUROS DE 2017  $ 1714</t>
        </r>
      </text>
    </comment>
    <comment ref="AD43" authorId="1">
      <text>
        <r>
          <rPr>
            <b/>
            <sz val="9"/>
            <color indexed="81"/>
            <rFont val="Tahoma"/>
            <family val="2"/>
          </rPr>
          <t>DELL:</t>
        </r>
        <r>
          <rPr>
            <sz val="9"/>
            <color indexed="81"/>
            <rFont val="Tahoma"/>
            <family val="2"/>
          </rPr>
          <t xml:space="preserve">
SE ADICIONA RECUROS DE 2017  $ 2057+4286</t>
        </r>
      </text>
    </comment>
  </commentList>
</comments>
</file>

<file path=xl/comments4.xml><?xml version="1.0" encoding="utf-8"?>
<comments xmlns="http://schemas.openxmlformats.org/spreadsheetml/2006/main">
  <authors>
    <author>planeacion_9</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5.xml><?xml version="1.0" encoding="utf-8"?>
<comments xmlns="http://schemas.openxmlformats.org/spreadsheetml/2006/main">
  <authors>
    <author>planeacion_9</author>
  </authors>
  <commentList>
    <comment ref="AK14" authorId="0">
      <text>
        <r>
          <rPr>
            <b/>
            <sz val="8"/>
            <color indexed="81"/>
            <rFont val="Tahoma"/>
          </rPr>
          <t>planeacion_9:</t>
        </r>
        <r>
          <rPr>
            <sz val="8"/>
            <color indexed="81"/>
            <rFont val="Tahoma"/>
          </rPr>
          <t xml:space="preserve">
EN OBSERVACIONES CARACTERIZAR LA POBLACION
</t>
        </r>
      </text>
    </comment>
  </commentList>
</comments>
</file>

<file path=xl/sharedStrings.xml><?xml version="1.0" encoding="utf-8"?>
<sst xmlns="http://schemas.openxmlformats.org/spreadsheetml/2006/main" count="3320" uniqueCount="945">
  <si>
    <t>META DE RESULTADO</t>
  </si>
  <si>
    <t>INDICADOR DE RESULTADO</t>
  </si>
  <si>
    <t>LINEA DE BASE META DE RESULTADO A 2015</t>
  </si>
  <si>
    <t xml:space="preserve">PROGRAMA </t>
  </si>
  <si>
    <t>EJE</t>
  </si>
  <si>
    <t xml:space="preserve">COMPONENTE </t>
  </si>
  <si>
    <t>OBJETIVO DEL PROGRAMA</t>
  </si>
  <si>
    <t>META DE PRODUCTO</t>
  </si>
  <si>
    <t>INDICADOR DE PRODUCTO</t>
  </si>
  <si>
    <t>LINEA DE BASE META DE PRODUCTO A 2015</t>
  </si>
  <si>
    <t xml:space="preserve">Mejorar en 20 instituciones educativas las condiciones  para el procesamiento de alimentos </t>
  </si>
  <si>
    <t>Generación de condiciones para la riqueza colectiva</t>
  </si>
  <si>
    <t>Realizar 700 capacitaciones en  manejo, cuidado y conservación de los recursos naturales para la producción de alimentos</t>
  </si>
  <si>
    <t>Implementar 4000 arreglos productivos en familias vulnerables</t>
  </si>
  <si>
    <t>Mujer rural</t>
  </si>
  <si>
    <t>Apoyar 20 organizaciones de mujeres con iniciativas de emprendimiento.</t>
  </si>
  <si>
    <t xml:space="preserve">Crecimiento y competitividad económica </t>
  </si>
  <si>
    <t xml:space="preserve">Cadenas productivas                                                                </t>
  </si>
  <si>
    <t>Impulsar la productividad del sector agropecuario con un esquema de crecimiento sostenible buscando desarrollar y fortalecer las agrocadenas productivas con un enfoque de desarrollo territorial y diferencial.</t>
  </si>
  <si>
    <t xml:space="preserve">Cofinanciar 12 cadenas productivas  </t>
  </si>
  <si>
    <t>Constituir 6 nuevos comités técnicos de cadena</t>
  </si>
  <si>
    <t xml:space="preserve">Alianzas estratégicas </t>
  </si>
  <si>
    <t>Desarrollar apuestas productivas sostenibles y competitivas a través de alianzas estratégicas con un enfoque de desarrollo territorial y diferencial.</t>
  </si>
  <si>
    <t>Capacidades empresariales y comerciales</t>
  </si>
  <si>
    <t>Desarrollo y fortalecimiento de las capacidades socio-empresariales y comerciales de las agrocadenas productivas.</t>
  </si>
  <si>
    <t>Realizar 4 Ruedas de Negocios</t>
  </si>
  <si>
    <t>Realizar 3 ferias de exposición agropecuaria</t>
  </si>
  <si>
    <t xml:space="preserve">Generación de condiciones para la riqueza colectiva </t>
  </si>
  <si>
    <t xml:space="preserve"> Innovación</t>
  </si>
  <si>
    <t>Tecnologías para la producción</t>
  </si>
  <si>
    <t xml:space="preserve"> Impulsar la aplicación de nuevas tecnologías en la producción y transformación agropecuaria</t>
  </si>
  <si>
    <t xml:space="preserve">Formalizar  500 predios rurales </t>
  </si>
  <si>
    <t>Instrumentos de planificación participativa del desarrollo rural</t>
  </si>
  <si>
    <t>Actualizar un 20 % el Sistema de Información geográfico departamental – SIG</t>
  </si>
  <si>
    <t xml:space="preserve">Elaborar 1 plan de fortalecimiento del Consejo seccional de Desarrollo Agropecuario, pesquero, forestal, comercial y de desarrollo rural CONSEA </t>
  </si>
  <si>
    <t>Analizar 6.000 muestras de suelos en el departamento</t>
  </si>
  <si>
    <t xml:space="preserve">Dinamizar 6 planes Municipales de SAN </t>
  </si>
  <si>
    <t>Número de planes  Municipales de SAN dinamizados</t>
  </si>
  <si>
    <t>Realizar 12 sesiones del CISANC</t>
  </si>
  <si>
    <t>Contribuir al mejoramiento y la recuperación de la cantidad y calidad del recurso hídrico en el departamento del Cauca.</t>
  </si>
  <si>
    <t>Territorios de Paz y para el Buen Vivir</t>
  </si>
  <si>
    <t>Cauca, cuidador de agua</t>
  </si>
  <si>
    <t>Recuperación del Tejido Social, Construcción de Paz y Posconflicto</t>
  </si>
  <si>
    <t xml:space="preserve">Beneficiar a 4000 nuevas familias en situación de vulnerabilidad con el programa de seguridad y soberanía alimentaria </t>
  </si>
  <si>
    <t>Número de nuevas familias en situación de vulnerabilidad con el programa de seguridad y soberanía alimentaria beneficiadas</t>
  </si>
  <si>
    <t>Seguridad y soberanía alimentaria (Programa PANES)</t>
  </si>
  <si>
    <t>Garantizar de manera progresiva y creciente la seguridad alimentaria y nutricional de la población caucana mas vulnerable a partir del reconocimiento de la diversidad étnica, cultural y ambiental del departamento.</t>
  </si>
  <si>
    <t xml:space="preserve">Producir y/o transformar 2000  toneladas de alimentos  </t>
  </si>
  <si>
    <t>Número de toneladas de alimentos producidos y/o transformados</t>
  </si>
  <si>
    <t>Realizar 400 eventos de capacitaciones en Agroindustria</t>
  </si>
  <si>
    <t>Número de eventos de capacitación en agroindustria realizados</t>
  </si>
  <si>
    <t>Número de capacitaciones en  manejo, cuidado y conservación de los recursos naturales para la producción de alimentos realizadas</t>
  </si>
  <si>
    <t xml:space="preserve">Beneficiar a  90.000 escolares con el programa de seguridad y soberanía alimentaria </t>
  </si>
  <si>
    <t>Número de escolares con el programa de seguridad y soberanía alimentaria beneficiados</t>
  </si>
  <si>
    <t xml:space="preserve">Número de Instituciones educativas donde se mejoran las condiciones para el procesamiento de alimentos </t>
  </si>
  <si>
    <t>Número de arreglos productivos implementados en familias vulnerables implementados</t>
  </si>
  <si>
    <t>Realizar 20 encuentros de intercambio de saberes y sabores (al menos 1 por sub-región)</t>
  </si>
  <si>
    <t>Número de encuentros de saberes y sabores realizados (al menos 1 por sub-región realizados)</t>
  </si>
  <si>
    <t>Apoyar la  productividad en 20 organizaciones de mujeres</t>
  </si>
  <si>
    <t xml:space="preserve">Número de organizaciones de mujeres apoyadas en productividad </t>
  </si>
  <si>
    <t xml:space="preserve">Promover la participación activa y efectiva de la mujer rural en procesos productivos y de agro transformación integrándolas a las agrocadenas </t>
  </si>
  <si>
    <t xml:space="preserve">Número de Iniciativas de emprendimiento de organizaciones de mujeres apoyadas </t>
  </si>
  <si>
    <t>Número de organizaciones de mujeres 
en el componente socioempresarial fortalecidas</t>
  </si>
  <si>
    <t>Número de agrocadenas productivas apoyadas en el componente de competitividad y productividad</t>
  </si>
  <si>
    <t>Número de cadenas productivas Cofinanciadas</t>
  </si>
  <si>
    <t>Número de Comités técnicos de cadenas constituidos</t>
  </si>
  <si>
    <t xml:space="preserve">Apoyar 10 proyectos productivos de interés Departamental </t>
  </si>
  <si>
    <t>Número de proyectos productivos de interés Departamental apoyados</t>
  </si>
  <si>
    <t xml:space="preserve">
42</t>
  </si>
  <si>
    <t>Número de ruedas de negocios realizadas</t>
  </si>
  <si>
    <t xml:space="preserve">Apoyar en 4 eventos productivos y/o comerciales  la  participación de organizaciones del sector agropecuario </t>
  </si>
  <si>
    <t xml:space="preserve"> Número de eventos productivos y/o comerciales con participación de organizaciones agropecuarias apoyados</t>
  </si>
  <si>
    <t>Impulsar la aplicación de 4 nuevas tecnologías en el sector agropecuario</t>
  </si>
  <si>
    <t>Número de nuevas tecnologías en el sector agropecuario impulsadas</t>
  </si>
  <si>
    <t>Estrategias para el desarrollo productivo</t>
  </si>
  <si>
    <t xml:space="preserve">Promover el desarrollo productivo del departamento,  mediante la implementación de estrategias dirigidas a mitigar los puntos críticos de la producción (abastecimiento de agua para la producción, acceso a los recursos de crédito, acceso a la tierra y la baja formalización de la propiedad rural). </t>
  </si>
  <si>
    <t xml:space="preserve">Cofinanciar 4 distritos de riego </t>
  </si>
  <si>
    <t>Número de distritos de riego    cofinanciados</t>
  </si>
  <si>
    <t>Avalar 2.000 solicitudes de crédito en el Fondo de Garantías del Departamento</t>
  </si>
  <si>
    <t xml:space="preserve">Número de solicitudes de crédito en el Fondo de Garantías del Departamento avaladas </t>
  </si>
  <si>
    <t xml:space="preserve">Desarrollar herramientas  y propiciar espacios de coordinación sectorial e interinstitucional para la planificación del sector agropecuario </t>
  </si>
  <si>
    <t>Porcentaje del Sistema de Información geográfico sectorial departamental – SIG actualizado</t>
  </si>
  <si>
    <t>1 Sistema de Información geográfico sectorial implementado</t>
  </si>
  <si>
    <t xml:space="preserve">Número de planes de fortalecimiento del Consejo seccional de Desarrollo Agropecuario, pesquero, forestal, comercial y de desarrollo rural CONSEA elaborados </t>
  </si>
  <si>
    <t xml:space="preserve">Número de muestras de suelos en el departamento analizadas </t>
  </si>
  <si>
    <t>Realizar 40 eventos de capacitación en análisis de suelos</t>
  </si>
  <si>
    <t>Número de eventos de capacitación en análisis de suelos realizados</t>
  </si>
  <si>
    <t>Elaborar 7 perfiles alimentarios zonales</t>
  </si>
  <si>
    <t>Número de perfiles alimentarios por zona realizados</t>
  </si>
  <si>
    <t>Conservación y desarrollo ambiental</t>
  </si>
  <si>
    <t xml:space="preserve">Apoyar 8 Planes Municipales de SAN en su proceso de construcción </t>
  </si>
  <si>
    <t xml:space="preserve">Número de Planes Municipales de SAN en su proceso de construcción apoyados </t>
  </si>
  <si>
    <t>Número de sesiones de CISANC realizadas</t>
  </si>
  <si>
    <t>Reducir al 1% la tasa de deforestación de bosques y coberturas naturales en ecosistemas estratégicos</t>
  </si>
  <si>
    <t>Tasa de deforestación de bosques y coberturas naturales en ecosistemas estratégicos reducida</t>
  </si>
  <si>
    <t>1.3%</t>
  </si>
  <si>
    <t>Ejecutar los procedimientos de administración, propios del cumplimiento de la misión institucional para la recuperación, conservación y protección de  los suelos, los ecosistemas y la flora y fauna asociada.</t>
  </si>
  <si>
    <t xml:space="preserve">Incrementar 25 % las Hectáreas con iniciativas de conservación de ecosistemas estratégicos </t>
  </si>
  <si>
    <t xml:space="preserve">Porcentaje de Hectáreas con iniciativas de conservación de ecosistemas estratégicos incrementadas </t>
  </si>
  <si>
    <t xml:space="preserve">Construir 1 modelo de Gestión Integral del Recurso Suelo con alto componente de conocimientos y tecnologías pertinentes que soporten el desarrollo agrícola productivo y sostenible del Departamento </t>
  </si>
  <si>
    <t xml:space="preserve">Diseñar 1 corredor biológico para incrementar la conectividad socioecosistemica y la conservación de la biodiversidad que vincule los municipios de El Tambo, Cajibio, Totoró, Popayán y Puracé </t>
  </si>
  <si>
    <t>Número de corredores biológicos para incrementar la conectividad socioecosistemica y la conservación de la biodiversidad que vincule los municipios de El Tambo, Cajibio, Totoró, Popayán y Puracé diseñados</t>
  </si>
  <si>
    <t>Planificación y ordenamiento ambiental regional</t>
  </si>
  <si>
    <t>Promover  el ordenamiento ambiental, la planificación del uso y manejo de las cuencas hidrográficas, de los ecosistemas, los recursos naturales para una gestión ambiental en el departamento.</t>
  </si>
  <si>
    <t xml:space="preserve">Ordenar 4 nuevas corrientes hídricas </t>
  </si>
  <si>
    <t>Número de nuevas corrientes hídricas ordenadas</t>
  </si>
  <si>
    <t>Gestión del recurso hídrico</t>
  </si>
  <si>
    <t>Número de has  para conservación de fuentes hídricas adquiridas</t>
  </si>
  <si>
    <t xml:space="preserve">Desarrollar 1 herramienta para el análisis de vulnerabilidad e implementación de alertas tempranas para sistemas de abastecimiento de agua </t>
  </si>
  <si>
    <t xml:space="preserve">Número de herramientas para el análisis de vulnerabilidad e implementación de alertas tempranas para sistemas de abastecimiento de agua desarrolladas
</t>
  </si>
  <si>
    <t xml:space="preserve">El 100% de los municipios mejoran el conocimiento en adaptación al cambio climático y en adopción de medidas de mitigación </t>
  </si>
  <si>
    <t>Porcentaje de municipios que mejoran el conocimiento en adaptación al cambio climático y en adopción de medidas de mitigación</t>
  </si>
  <si>
    <t>Por construir</t>
  </si>
  <si>
    <t>Gestión del riesgo de desastres y adaptación y mitigación al cambio climático</t>
  </si>
  <si>
    <t>Ejecutar las estrategias de asesoría y asistencia, asociadas a la incorporación de los componentes de  gestión  del  riesgo, adaptación y  cambio climático en  los planes de ordenamiento territorial de los municipios (POT) y de prevención, mitigación y contingencia de desastres naturales.</t>
  </si>
  <si>
    <t>Implementar  1 sistema de información para la gestión del Riesgo Ambiental articulado al SIG</t>
  </si>
  <si>
    <t>Número de sistemas de información implementados para la gestión del Riesgo Ambiental articulado al SIG</t>
  </si>
  <si>
    <t>Actualizar el 70% de los planes municipales para la prevención, mitigación y contingencia de desastres naturales.</t>
  </si>
  <si>
    <t>Porcentaje de planes municipales para la prevención, mitigación y contingencia de desastres naturales actualizados.</t>
  </si>
  <si>
    <t xml:space="preserve">Número de Ferias de exposición agropecuaria realizadas
</t>
  </si>
  <si>
    <t xml:space="preserve">Número de predios rurales formalizados </t>
  </si>
  <si>
    <t>Elaborar 1 diagnóstico nutricional a niños menores de 5 años de 4000 familias vulnerables</t>
  </si>
  <si>
    <t>Número de diagnósticos nutricionales a niños menores de 5 años de 4000 familias vulnerables</t>
  </si>
  <si>
    <t>Adquirir 700 hectáreas para conservación de fuentes hídricas</t>
  </si>
  <si>
    <t xml:space="preserve"> Fortalecer socioempresarialmente a 20 organizaciones de mujeres 
</t>
  </si>
  <si>
    <t>Implementar 1 nuevo instrumento de planificación</t>
  </si>
  <si>
    <t>Número de instrumentos de planificación implementados</t>
  </si>
  <si>
    <t xml:space="preserve">Continuar la implementación de 6 instrumentos de planificación </t>
  </si>
  <si>
    <t>Número de instrumentos de planificación que continúan su implementación</t>
  </si>
  <si>
    <t>Apoyar 1 nueva agrocadena productiva del departamento en el componente de competitividad y productividad</t>
  </si>
  <si>
    <t xml:space="preserve">Promover la formulación de 1 política pública para la protección del agua en el macizo colombiano </t>
  </si>
  <si>
    <t>Número de Políticas públicas que se promueve su formulación para la protección del agua en el macizo colombiano</t>
  </si>
  <si>
    <t>Gestión integral de la biodiversidad, de los servicios ecosistémicos y áreas protegidas</t>
  </si>
  <si>
    <t>Apoyar 11 agrocadenas productivas existentes y cadenas productivas de cultivos promisorios  en el componente de competitividad y productividad</t>
  </si>
  <si>
    <t>Número de agrocadenas productivas y cadenas productivas de cultivos promisorios existentes apoyadas en el componente de competitividad y productividad</t>
  </si>
  <si>
    <t>Número de modelos de Gestión Integral del Recurso Suelo con alto componente de conocimientos y tecnologías pertinentes que soporten el desarrollo agrícola productivo y sostenible del departamento construidos</t>
  </si>
  <si>
    <t>Ubicar el 60 % de los municipios dentro de la categoría baja del índice de vulnerabilidad respecto a regulación y oferta hídrica</t>
  </si>
  <si>
    <t>Porcentaje de  municipios ubicados dentro de la categoría baja del índice de vulnerabilidad respecto a regulación y oferta hídrica</t>
  </si>
  <si>
    <t>TIPO DE META (Mantenimiento, Incremento, Reducción)</t>
  </si>
  <si>
    <t>GOBERNACION DEL CAUCA</t>
  </si>
  <si>
    <t>OFICINA ASESORA DE PLANEACIÓN</t>
  </si>
  <si>
    <t>PLAN DEPARTAMENTAL DE DESARROLLO "CAUCA, TERRITORIO DE PAZ"</t>
  </si>
  <si>
    <t>FUENTES DE FINANCIACION (MILES DE PESOS)</t>
  </si>
  <si>
    <t>NOMBRE DEL PROYECTO</t>
  </si>
  <si>
    <t>MUNICIPIOS BENEFICIDOS</t>
  </si>
  <si>
    <t>POBLACION BENEFICIADA</t>
  </si>
  <si>
    <t>PRODUCTOS DEL PROYECTO</t>
  </si>
  <si>
    <t>OBSERVACIONES</t>
  </si>
  <si>
    <t>NOMBRE</t>
  </si>
  <si>
    <t>RECURSOS PROPIOS</t>
  </si>
  <si>
    <t>IMPUESTO AL CONSUMO DE TELEFONIA MOVIL</t>
  </si>
  <si>
    <t>IMPUESTO AL CONSUMO DE TABACO</t>
  </si>
  <si>
    <t>FCR</t>
  </si>
  <si>
    <r>
      <t>F D R</t>
    </r>
    <r>
      <rPr>
        <sz val="10"/>
        <color rgb="FFFF0000"/>
        <rFont val="Calibri"/>
        <family val="2"/>
        <scheme val="minor"/>
      </rPr>
      <t xml:space="preserve"> </t>
    </r>
  </si>
  <si>
    <r>
      <t>CTI</t>
    </r>
    <r>
      <rPr>
        <sz val="10"/>
        <color rgb="FFFF0000"/>
        <rFont val="Calibri"/>
        <family val="2"/>
        <scheme val="minor"/>
      </rPr>
      <t xml:space="preserve"> </t>
    </r>
  </si>
  <si>
    <t>REGALIAS DIRECTAS</t>
  </si>
  <si>
    <t xml:space="preserve">COOPERACIÓN INTERNACIONAL </t>
  </si>
  <si>
    <t>COFINANCIACION</t>
  </si>
  <si>
    <t>OTROS RECURSOS DE GESTIÓN</t>
  </si>
  <si>
    <t>RECURSOS DE CONCURRENCIA</t>
  </si>
  <si>
    <t>RECURSOS VIGENCIAS ANTERIORES</t>
  </si>
  <si>
    <t>E</t>
  </si>
  <si>
    <t>F</t>
  </si>
  <si>
    <t>M</t>
  </si>
  <si>
    <t>A</t>
  </si>
  <si>
    <t>J</t>
  </si>
  <si>
    <t>S</t>
  </si>
  <si>
    <t>O</t>
  </si>
  <si>
    <t>N</t>
  </si>
  <si>
    <t>D</t>
  </si>
  <si>
    <t>SUBREGIÓN</t>
  </si>
  <si>
    <t>RESPONSABLE (Cargo y tipo de vinculación)</t>
  </si>
  <si>
    <t xml:space="preserve">Elaborado por: </t>
  </si>
  <si>
    <t>Nombre del funcionario</t>
  </si>
  <si>
    <t>___________________________________</t>
  </si>
  <si>
    <t>cargo</t>
  </si>
  <si>
    <t>____________________________________</t>
  </si>
  <si>
    <t>Firma</t>
  </si>
  <si>
    <t>Fecha:</t>
  </si>
  <si>
    <t>_______________________________</t>
  </si>
  <si>
    <t xml:space="preserve">DEPENDENCIAS DE APOYO: ___________________________________________________________                                                        </t>
  </si>
  <si>
    <t>VALOR META  AL CUATRIENIO</t>
  </si>
  <si>
    <t>SISTEMA GENERAL DE PARTICIPACIONES</t>
  </si>
  <si>
    <t>PRESUPUESTO GENERAL DE LA NACIÓN</t>
  </si>
  <si>
    <t>TIEMPO DE EJECUCION  (MESES)</t>
  </si>
  <si>
    <t>Incremento</t>
  </si>
  <si>
    <t xml:space="preserve"> INCREMENTO</t>
  </si>
  <si>
    <t>INCREMENTO</t>
  </si>
  <si>
    <t xml:space="preserve">INCREMENTO </t>
  </si>
  <si>
    <t>PLAN DE ACCIÓN 2019</t>
  </si>
  <si>
    <t>META DE PRODUCTO VIGENCIA 2019</t>
  </si>
  <si>
    <t>VALOR ACTUAL (2018)</t>
  </si>
  <si>
    <t>CODIGO BPIN</t>
  </si>
  <si>
    <t>RECURSOS PROGRAMADOS POR META VIGENCIA 2019 (MILES DE PESOS)</t>
  </si>
  <si>
    <t>RENTAS CEDIDAS</t>
  </si>
  <si>
    <t>PROGRAMAS NACIONALES</t>
  </si>
  <si>
    <t>RECURSOS POR PROYECTO PROGRAMADOS VIGENCIA 2019 (MILES DE PESOS)</t>
  </si>
  <si>
    <t>7 Subregiones</t>
  </si>
  <si>
    <t>93000 escolares, 1000 familias</t>
  </si>
  <si>
    <t>650 Toneladas de alimento producidas en las Granjas escolares de las I.E. 1000 familias y Planta de producción de alimentos</t>
  </si>
  <si>
    <t>X</t>
  </si>
  <si>
    <t>7 Sub-regiones</t>
  </si>
  <si>
    <t>x</t>
  </si>
  <si>
    <t>2250 Escolares de I.E</t>
  </si>
  <si>
    <t>1000 Familias Beneficiadas en 41 Municipios</t>
  </si>
  <si>
    <t>1000 Sistemas Productivos sostenibles implementados</t>
  </si>
  <si>
    <t xml:space="preserve">Escolares de I.E. </t>
  </si>
  <si>
    <t>5 Eventos de intercambio de saberes y sabores</t>
  </si>
  <si>
    <t>2 Subregiones con perfil alimentario levantado</t>
  </si>
  <si>
    <t>2 Planes Municipales de SAN</t>
  </si>
  <si>
    <t>3 Sesiones de CISANC, realizadas</t>
  </si>
  <si>
    <t xml:space="preserve">proyecto “IMPLEMENTACIÓN DE UN SISTEMA DE INFORMACIÓN GEOGRÁFICA PARA LA PLANIFICACIÓN DE LOS RECURSOS AGRÍCOLA, MINERO, HÍDRICO Y FORESTAL DEL DEPARTAMENTO DEL CAUCA” </t>
  </si>
  <si>
    <t xml:space="preserve"> 2013000030058.</t>
  </si>
  <si>
    <t xml:space="preserve">
Debido a que no se pudo cumplir con recursos del SISTEMA GENERAL DE PARTICIPACIÓN (SGP) para la ejecución del componente Hídrico; por no ser un proyecto elegible de acuerdo al concepto del Ministerio emitido en diciembre de 2017, se optó por cambiar la fuente de financiación por valor del 20% del total del proyecto, en OCAD REGIÓN PACIFICO indicado en el Artículo 4.4.2.1.1. literal 2, acuerdo 045 de 2017 del Decreto 1082 de 2015 queda así aprobado mediante acta 070 de 6 de julio de 2018; con DECRETO 0686-07-2018 $1.234.804.743 (FDRSGR).
</t>
  </si>
  <si>
    <t>Análisis de vulnerabilidad e Implementación de alertas tempranas para sistemas de abastecimiento de agua en el
Departamento del Cauca</t>
  </si>
  <si>
    <t xml:space="preserve">9_La sierra, Mercaderes, Santander de Quilichao, Patía, Bolívar, Suarez, Cajibío, Timbío y Popayán.
</t>
  </si>
  <si>
    <t xml:space="preserve">1.268.937
</t>
  </si>
  <si>
    <t>herramienta para el análisis de vulnerabilidad e implementación de alertas tempranas para sistemas de abastecimiento de agua desarrolladas</t>
  </si>
  <si>
    <t>Fortalecimiento de los mecanismos de gestión integral del recurso suelo para la producción agrícola sostenible en el departamento del cauca</t>
  </si>
  <si>
    <t xml:space="preserve">Lograr una Gestión Integral del recurso suelo para la producción agrícola sostenible en el departamento del Cauca, a través de actividades de investigación y desarrollo, priorizando aspectos de seguridad alimentaria
</t>
  </si>
  <si>
    <t>Fortalecimiento del laboratorio de suelos de la secretaria de agricultura y desarrollo rural</t>
  </si>
  <si>
    <t>Los 43 municipios del departamento del Cauca</t>
  </si>
  <si>
    <t>Mejoramiento de la seguridad alimentaria en el departamento del cauca</t>
  </si>
  <si>
    <t>Por definir</t>
  </si>
  <si>
    <t>6 organizaciones de mujeres</t>
  </si>
  <si>
    <t>Apoyo COMPLEMENTARIO AL FORTALECIMIENTO DE LAS CAPACIDADES PRODUCTIVAS Y COMPETITIVAS EN EL MARCO DEL PROGRAMA DE DESARROLLO RURAL CON ENFOQUE TERRITORIAL - DRET/CAUCA  PARA LAS SUBREGIONES CENTRO Y NORTE DEL DEPARTAMENTO DEL  Cauca</t>
  </si>
  <si>
    <t xml:space="preserve">2 Subregiones </t>
  </si>
  <si>
    <t>2.642 beneficiarios</t>
  </si>
  <si>
    <t>Todo el departamento</t>
  </si>
  <si>
    <t>Sector Agropecuario</t>
  </si>
  <si>
    <t>Personal de planta que se designe</t>
  </si>
  <si>
    <t>Profesional del proyecto  (contratista del proyecto que realizara las actividades)</t>
  </si>
  <si>
    <t>Departamento del Cauca</t>
  </si>
  <si>
    <t>7 subregiones</t>
  </si>
  <si>
    <t>Todo el departamento menos costa pacifica</t>
  </si>
  <si>
    <t>6 subregiones</t>
  </si>
  <si>
    <t>Contratistas programa PANES</t>
  </si>
  <si>
    <t>Contratista pry fortalecimiento</t>
  </si>
  <si>
    <t>Coordinador proyecto</t>
  </si>
  <si>
    <t>Fortalecimiento de las capacidades empresariales y comerciales de las agrocadenas productivas del departamento del cauca</t>
  </si>
  <si>
    <t>CRC</t>
  </si>
  <si>
    <t>Apoyo de profesionales de proyecto de fortalecimiento SADR</t>
  </si>
  <si>
    <t>Desarrollar habilidades empresariales, de asociatividad y liderazgo en los grupos focalizados</t>
  </si>
  <si>
    <t>APOYO PARA EL EMPODERAMIENTO ECONÓMICO DE LA MUJER EN EL CAUCA </t>
  </si>
  <si>
    <t>Secretaria de la Mujer</t>
  </si>
  <si>
    <t>La meta se cumple con proyecto de la Secretaria de la Mujer</t>
  </si>
  <si>
    <t>Ciclo de formación básica empresarial, ambiental, financiera, técnica y comercial </t>
  </si>
  <si>
    <t>Fortalecimiento de la caficultura familiar como un modelo para la construcción de paz estable y duradera a desarrollarse en 33 Municipios del Departamento del Cauca</t>
  </si>
  <si>
    <t>ALMAGUER ARGELIA BALBOA BOLIVAR BUENOS AIRES CAJIBIO CALDONO CALOTO CORINTO EL TAMBO FLORENCIA INZA JAMBALO LA SIERRA LA VEGA MERCADERES MIRANDA MORALES PÁEZ/BELALCAZAR PATÍA/EL BORDO PIENDAMO POPAYAN PURACÉ/COCONUCO ROSAS SAN SEBASTIAN SANTANDER DE QUILICHAO SILVIA SOTARA/PAISPAMBA SUAREZ SUCRE TIMBIO TORIBIO TOTORO</t>
  </si>
  <si>
    <t>19.000 beneficiarios</t>
  </si>
  <si>
    <t>Fortalecer la cadena productiva de café</t>
  </si>
  <si>
    <t>Fortalecimiento de capacidades de las empresas de base tecnológica en tic del cauca para competir en un mercado global.</t>
  </si>
  <si>
    <t>Consolidación de un centro de investigación, promoción e innovación social para el desarrollo de la caficultura Caucana.</t>
  </si>
  <si>
    <t>Investigación  y desarrollo de empaques biodegradables</t>
  </si>
  <si>
    <t>Desarrollo tecnológico para la obtención de productos orgánicos e innovadores de seda natural, Popayán, Cauca, Occidente</t>
  </si>
  <si>
    <t>42 municipios del departamento Cauca</t>
  </si>
  <si>
    <t xml:space="preserve">33_Argelia, Balboa, Bolívar, Buenos Aires, Cajibío, Caldono, Caloto, El Tambo, Corinto, Florencia, Inzá, Jambaló, La Sierra, La Vega, Mercaderes, Miranda, Morales, Páez, Patía, Piamonte, Piendamó, Popayán, Puracé, Rosas, San Sebastián, Santa Rosa, Santander De Quilichao, Sotará, Suárez, Sucre, Timbío, Toribio y Totoró. 
</t>
  </si>
  <si>
    <t xml:space="preserve">8_Popayán, Santander de Quilichao, Morales, La Sierra, Timbío, El Tambo, Piendamó y Cajibío.
</t>
  </si>
  <si>
    <t>6_Morales, Santander de Quilichao, Timbío, El Tambo, Piendamó, Popayán</t>
  </si>
  <si>
    <t xml:space="preserve">Generar Empresas de Base Tecnológica en Tecnologías de la Información y Telecomunicaciones - TIC con las capacidades necesarias para competir en un mercado global.
</t>
  </si>
  <si>
    <t xml:space="preserve">Consolidar un centro de investigación, promoción e innovación social para el desarrollo regional, fundamentado en la caficultura Caucana.
</t>
  </si>
  <si>
    <t xml:space="preserve">Generar cuatro paquetes tecnológicos en empaques biodegradables que permitan incrementar la oferta de empaques biodegradables en Colombia, integrado al desarrollo y puesta en marcha de una Empresa de Base Tecnológica EBT.
</t>
  </si>
  <si>
    <t xml:space="preserve">Desarrollar procesos de investigación aplicada en los diferentes eslabones de la cadena productiva de la seda, los cuales permitan incrementar su competitividad y desarrollar productos tecnológicamente innovadores y compatibles con el medio ambiente.
</t>
  </si>
  <si>
    <t>HERNANDO SANCHEZ ESCOBAR</t>
  </si>
  <si>
    <t>Incremento de la competitividad de la cadena láctea en catorce (14) municipios del departamento del Cauca</t>
  </si>
  <si>
    <t>2 Subregiones</t>
  </si>
  <si>
    <t>12 organizaciones de productores</t>
  </si>
  <si>
    <t>Mejoramiento de la calidad del café pergamino seco, mediante la construcción de secaderos tipo invernadero para pequeños caficultores del Departamento del Cauca</t>
  </si>
  <si>
    <t xml:space="preserve">ALMAGUER, ARGELIA, BALBOA, BOLIVAR, CAJIBIO, CALDONO, EL TAMBO FLORENCIA, INZA, LA SIERRA, LA VEGA, MERCADERES, MORALES, PATÍA/EL BORDO PIENDAMO, POPAYAN, ROSAS, SOTARA/PAISPAMBA, SUAREZ, SUCRE, TIMBIO. </t>
  </si>
  <si>
    <t>1750 beneficiarios</t>
  </si>
  <si>
    <t>Oswaldo Valencia Rosero</t>
  </si>
  <si>
    <t>APOYO A LAS FAMILIAS FIQUERAS EN EL ESTALECIMIENTO DE CULTIVOS DE FIQUE ASOCIADOS A CULTIVOS DE FRIJOL Y MAÍZ EN EL DEPARTAMENTO DEL CAUCA</t>
  </si>
  <si>
    <t>EL TAMBO, CALDONO, JAMBALÓ, SILVIA Y TOTORÓ</t>
  </si>
  <si>
    <t>600 Familias</t>
  </si>
  <si>
    <t>HUGO LOPEZ</t>
  </si>
  <si>
    <t>Fortalecimiento de la producción apícola en el departamento del   Cauca</t>
  </si>
  <si>
    <t>Almaguer, Santander , El Tambo, Santa Rosa, Florencia, Popayán, La vega, Caldono, Mercaderes, Cajibio, Piendamo, Silvia.</t>
  </si>
  <si>
    <t>3 Subregiones</t>
  </si>
  <si>
    <t>300 beneficiarios</t>
  </si>
  <si>
    <t>Mejoramiento de la producción de miel, aumento conservación y protección de panales</t>
  </si>
  <si>
    <t>CARLOS MARTINEZ</t>
  </si>
  <si>
    <t>MEJORAMIENTO DE LA PRODUCCIÓN CUYICOLA EN EL DEPARTAMENTO DEL CAUCA</t>
  </si>
  <si>
    <t>Santa Rosa, La Vega, Sucre, El Tambo, Florencia, Balboa, Timbio, Bolívar, La Sierra, Mercaderes y Argelia</t>
  </si>
  <si>
    <t>600 has de fique establecidas</t>
  </si>
  <si>
    <t>FORTALECIMIENTO DE LA PRODUCCIÓN DE CHONTADURO MEDIANTE EL ESTABLECIMIENTO Y SOSTENIMIENTO ASOCIADO CON CULTIVOS TRANSITORIOS EN EL DEPARTAMENTO DEL CAUCA</t>
  </si>
  <si>
    <t>Cajibio, El Tambo, Morales y Timbio</t>
  </si>
  <si>
    <t xml:space="preserve">440 unidades productivas establecidas </t>
  </si>
  <si>
    <t>2200 Beneficiarios</t>
  </si>
  <si>
    <t>300 has de sostenimiento, 250 has nuevas.</t>
  </si>
  <si>
    <t>DESARROLLO DE LA CADENA LÁCTEA PARA EL MEJORAMIENTO DE LA CALIDAD DE VIDA EN FAMILIAS DEL DEPARTAMENTO DEL CAUCA</t>
  </si>
  <si>
    <t>1467 Familias</t>
  </si>
  <si>
    <t>N/A</t>
  </si>
  <si>
    <t>Piedad Belalcazar</t>
  </si>
  <si>
    <t>Fortalecimiento de la seguridad alimentaria y nutricional a escolares de las instituciones educativas agropecuarias de familias vulnerables en 41 municipios del Cauca</t>
  </si>
  <si>
    <t>Número de distritos de riego   cofinanciados</t>
  </si>
  <si>
    <t>DEPENDENCIA RESPONSABLE: SECRETARIA DE AGRICULTURA Y DESARROLLO RURAL</t>
  </si>
  <si>
    <t>DEPENDENCIA RESPONSABLE: SECRETARÍA DE DESARROLLO ECONÓMICO Y COMPETITIVIDAD</t>
  </si>
  <si>
    <r>
      <t>F D R</t>
    </r>
    <r>
      <rPr>
        <sz val="8"/>
        <color rgb="FFFF0000"/>
        <rFont val="Calibri"/>
        <family val="2"/>
        <scheme val="minor"/>
      </rPr>
      <t xml:space="preserve"> </t>
    </r>
  </si>
  <si>
    <r>
      <t>CTI</t>
    </r>
    <r>
      <rPr>
        <sz val="8"/>
        <color rgb="FFFF0000"/>
        <rFont val="Calibri"/>
        <family val="2"/>
        <scheme val="minor"/>
      </rPr>
      <t xml:space="preserve"> </t>
    </r>
  </si>
  <si>
    <t>Crecimiento y competitividad económica</t>
  </si>
  <si>
    <t>Aumentar en 5000 el número de personas ocupadas en el departamento  (Nota: La meta tomara como línea de base los resultados del año 2015 una vez se actualice y se publique por el DANE)</t>
  </si>
  <si>
    <t xml:space="preserve">Número de personas ocupadas en el departamento aumentadas  </t>
  </si>
  <si>
    <t>566.000 personas ocupadas en el año 2014</t>
  </si>
  <si>
    <t>Cauca territorio de emprendimiento empresarial  para el desarrollo regional</t>
  </si>
  <si>
    <t>Generar estrategias para el fortalecimiento e impulso del sector empresarial Caucano</t>
  </si>
  <si>
    <t xml:space="preserve">Implementar 1 centro de estudios económicos y de desarrollo </t>
  </si>
  <si>
    <t>Número de centros de estudios económicos y de desarrollo implementados</t>
  </si>
  <si>
    <t>Generación de condiciones e instrumentos para el fortalecimiento del desarrollo empresarial y la inversión en el departamento del Cauca</t>
  </si>
  <si>
    <t>Todo el departamento del Cauca</t>
  </si>
  <si>
    <t>Todas las subregiones</t>
  </si>
  <si>
    <t xml:space="preserve">1.000 personas </t>
  </si>
  <si>
    <r>
      <rPr>
        <sz val="8"/>
        <color theme="0" tint="-0.14999847407452621"/>
        <rFont val="Calibri"/>
        <family val="2"/>
        <scheme val="minor"/>
      </rPr>
      <t>.</t>
    </r>
    <r>
      <rPr>
        <sz val="8"/>
        <color theme="1"/>
        <rFont val="Calibri"/>
        <family val="2"/>
        <scheme val="minor"/>
      </rPr>
      <t>- Articulación con instituciones de educación superior.
- Puesta en marcha del Centro de Estudios Económicos del Cauca.</t>
    </r>
  </si>
  <si>
    <t>Magda Patricia Sotelo Pino. Coordinadora de Competitividad y CTeI</t>
  </si>
  <si>
    <r>
      <t>El proyecto  "Generación de condiciones para el desarrollo empresarial y económico en el departamento del Cauca" se encuentra en formulación y tiene un valor estimado de $190.000.000, el cual contribuye al cumplimiento de metas del programa</t>
    </r>
    <r>
      <rPr>
        <i/>
        <sz val="8"/>
        <color theme="1"/>
        <rFont val="Calibri"/>
        <family val="2"/>
        <scheme val="minor"/>
      </rPr>
      <t xml:space="preserve"> Cauca territorio de Emprendimiento empresarial </t>
    </r>
    <r>
      <rPr>
        <sz val="8"/>
        <color theme="1"/>
        <rFont val="Calibri"/>
        <family val="2"/>
        <scheme val="minor"/>
      </rPr>
      <t>e</t>
    </r>
    <r>
      <rPr>
        <i/>
        <sz val="8"/>
        <color theme="1"/>
        <rFont val="Calibri"/>
        <family val="2"/>
        <scheme val="minor"/>
      </rPr>
      <t xml:space="preserve"> Inversión y competitividad para la paz,</t>
    </r>
    <r>
      <rPr>
        <sz val="8"/>
        <color theme="1"/>
        <rFont val="Calibri"/>
        <family val="2"/>
        <scheme val="minor"/>
      </rPr>
      <t xml:space="preserve"> conforme se detalla en el presente plan.</t>
    </r>
  </si>
  <si>
    <t>Ejecutar en un 30% el plan  regional de competitividad del Departamento del Cauca, alineado al Sistema Nacional de Competitividad - CTeI</t>
  </si>
  <si>
    <t xml:space="preserve">Porcentaje del plan regional de competitividad del Departamento del Cauca, alineado al Sistema Nacional de Competitividad – CteI ejecutado </t>
  </si>
  <si>
    <t>Plan  Regional de Competitividad  (Con horizonte al 2032)</t>
  </si>
  <si>
    <t>Implementación de negocios inclusivos en la región norte del Cauca, como estrategia para la inclusión productiva y social de microempresarios con la gran industria</t>
  </si>
  <si>
    <t>Buenos Aires, Corinto, Coloto, Caldono, Guachené, Jambalo, Miranda, Padilla, Puerto Tejada, Santander de Quilichao, Suárez, Toribío, Villa Rica.</t>
  </si>
  <si>
    <t>Subregión norte</t>
  </si>
  <si>
    <t>158 microempresas</t>
  </si>
  <si>
    <r>
      <rPr>
        <sz val="8"/>
        <color theme="0" tint="-0.14999847407452621"/>
        <rFont val="Calibri"/>
        <family val="2"/>
        <scheme val="minor"/>
      </rPr>
      <t>.</t>
    </r>
    <r>
      <rPr>
        <sz val="8"/>
        <color theme="1"/>
        <rFont val="Calibri"/>
        <family val="2"/>
        <scheme val="minor"/>
      </rPr>
      <t>- Generar  grupos asociativos (negocios inclusivos).
- Firma de acuerdos comerciales.
Intervención y apoyo a microempresas.
- Intervenir sectores empresariales.
- Realizar talleres de asociatividad.</t>
    </r>
  </si>
  <si>
    <t>El proyecto denominado "Implementación de negocios inclusivos en la región norte del Cauca, como estrategia para la inclusión productiva y social de microempresarios con la gran industria", tiene un valor total de $2.600.000.000, de los cuales en 2018 se ejecutarán $700.000.000.</t>
  </si>
  <si>
    <t>Ejecutar 1 plan de acción para el fortalecimiento concertado con la Red Regional de Emprendimiento Departamento</t>
  </si>
  <si>
    <t>Número de planes de acción para el fortalecimiento concertado con la Red Regional de Emprendimiento Departamento ejecutados</t>
  </si>
  <si>
    <t>1 Red Regional de Emprendimiento establecida</t>
  </si>
  <si>
    <t xml:space="preserve">2.000 personas </t>
  </si>
  <si>
    <t>Consolidar 15 emprendimientos de impacto en el Departamento</t>
  </si>
  <si>
    <t>Número de emprendimientos de impacto en el Departamento consolidados</t>
  </si>
  <si>
    <t xml:space="preserve">500 personas </t>
  </si>
  <si>
    <r>
      <rPr>
        <sz val="8"/>
        <color theme="0" tint="-0.14999847407452621"/>
        <rFont val="Calibri"/>
        <family val="2"/>
        <scheme val="minor"/>
      </rPr>
      <t>.</t>
    </r>
    <r>
      <rPr>
        <sz val="8"/>
        <color theme="1"/>
        <rFont val="Calibri"/>
        <family val="2"/>
        <scheme val="minor"/>
      </rPr>
      <t>- Generación de escenarios para el fomento, promoción y fortalecimiento de los emprendimientos en el departamento del Cauca.</t>
    </r>
  </si>
  <si>
    <t>Incremento de las capacidades competitivas de los emprendimientos y desarrollos empresariales en el departamento del Cauca</t>
  </si>
  <si>
    <t>El Tambo, Timbío, Miranda, Sotará, Argelia, Piendamó, Rosas, Jambaló, Silvia, Popayán, La Vega y Mercaderes</t>
  </si>
  <si>
    <t>Centro, Sur, Norte, Macizo</t>
  </si>
  <si>
    <t>6.750 personas</t>
  </si>
  <si>
    <t>Proyecto viabilizado se encuentra en ajuste para ejecución en la vigencia 2019.</t>
  </si>
  <si>
    <t>Cauca en alianza por un trabajo incluyente</t>
  </si>
  <si>
    <t>Propiciar condiciones laborales equitativas, sostenibles e inclusivas</t>
  </si>
  <si>
    <t xml:space="preserve">Implementar 1 estrategia de fortalecimiento para 3 centros de empleo en el Cauca, en alianza con el Ministerio de Trabajo </t>
  </si>
  <si>
    <t>Número de estrategia de fortalecimiento para 3 centros de empleo en el Cauca, en alianza con el Ministerio de Trabajo implementadas</t>
  </si>
  <si>
    <t>3 centros de empleo en el Cauca</t>
  </si>
  <si>
    <t>Desarrollo de escenarios para la promoción del empleo</t>
  </si>
  <si>
    <t>Toda la población del departamento</t>
  </si>
  <si>
    <t>2 publicaciones sobre sectores definidos en temas de empleo.
2 escenarios para la promoción del empleo.
3 talleres de sensibilización a empresarios</t>
  </si>
  <si>
    <t>El proyecto Fomento del empleo digno e incluyente en el departamento del Cauca, se encuentra en estructuración por un valor estimado de $26.000.000, el cual apunta al cumplimiento de las metas del presente programa</t>
  </si>
  <si>
    <t xml:space="preserve">Generar 8 publicaciones con información del mercado laboral </t>
  </si>
  <si>
    <t xml:space="preserve">Número de publicaciones con información del mercado laboral generadas </t>
  </si>
  <si>
    <t xml:space="preserve">Implementar 1 estrategia que impulse el empleo digno e incluyente </t>
  </si>
  <si>
    <t>Número de estrategias que impulsen el empleo digno e incluyente implementadas</t>
  </si>
  <si>
    <t>2 publicaciones sobre sectores definidos en temas de empleo.
2 escenarios para la promoción del empleo.
3 talleres de sensibilización a empresarios.</t>
  </si>
  <si>
    <t>Inversión y competitividad para la Paz</t>
  </si>
  <si>
    <t xml:space="preserve">Promover la inversión para el desarrollo económico del Departamento del Cauca </t>
  </si>
  <si>
    <t>Operativizar la herramienta Invest in Cauca - Cauca para inversionistas</t>
  </si>
  <si>
    <t>Herramienta Invest in Cauca operativizada</t>
  </si>
  <si>
    <t>Mantenimiento</t>
  </si>
  <si>
    <t xml:space="preserve">800 personas </t>
  </si>
  <si>
    <r>
      <rPr>
        <sz val="8"/>
        <color theme="0" tint="-0.14999847407452621"/>
        <rFont val="Calibri"/>
        <family val="2"/>
        <scheme val="minor"/>
      </rPr>
      <t>.</t>
    </r>
    <r>
      <rPr>
        <sz val="8"/>
        <color theme="1"/>
        <rFont val="Calibri"/>
        <family val="2"/>
        <scheme val="minor"/>
      </rPr>
      <t>-  Cargue y difusión de contenidos e información sectorial para promocionar al departamento del Cauca.
- Articulación con actores institucionales para la operativización de la plataforma Invest in Cauca - Cauca para inversionistas.</t>
    </r>
  </si>
  <si>
    <t>Implementar 1 plan para promocionar la inversión en el Departamento del Cauca</t>
  </si>
  <si>
    <t>Número de planes para promocionar la inversión en el Departamento del Cauca implementados</t>
  </si>
  <si>
    <t>1 plataforma de promoción a la inversión (Invest in Cauca - Cauca para inversionistas).</t>
  </si>
  <si>
    <r>
      <rPr>
        <sz val="8"/>
        <color theme="0" tint="-0.14999847407452621"/>
        <rFont val="Calibri"/>
        <family val="2"/>
        <scheme val="minor"/>
      </rPr>
      <t>.</t>
    </r>
    <r>
      <rPr>
        <sz val="8"/>
        <color theme="1"/>
        <rFont val="Calibri"/>
        <family val="2"/>
        <scheme val="minor"/>
      </rPr>
      <t>-  Articulación institucional para la implementación de un plan para promocionar la inversión en el departamento del Cauca.
- Implementar la estrategia Invest in Cauca a través del apoyo a la Agencia de promoción a la Inversión del Cauca.</t>
    </r>
  </si>
  <si>
    <t>Implementar 12 escenarios de promoción sectoriales especializados para el Departamento</t>
  </si>
  <si>
    <t xml:space="preserve">Número de escenarios de promoción sectoriales especializados para el Departamento implementados </t>
  </si>
  <si>
    <t>4 escenarios de promoción turística a nivel departamental</t>
  </si>
  <si>
    <t xml:space="preserve">700 personas </t>
  </si>
  <si>
    <r>
      <rPr>
        <sz val="8"/>
        <color theme="0" tint="-0.14999847407452621"/>
        <rFont val="Calibri"/>
        <family val="2"/>
        <scheme val="minor"/>
      </rPr>
      <t>.</t>
    </r>
    <r>
      <rPr>
        <sz val="8"/>
        <color theme="1"/>
        <rFont val="Calibri"/>
        <family val="2"/>
        <scheme val="minor"/>
      </rPr>
      <t>- Coadyuvar la implementación de estrategias de promoción de la inversión en el departamento.
- Generar escenarios para la promoción y fomento sectorial y temático de la inversión en el departamento.</t>
    </r>
  </si>
  <si>
    <t>Cambio climático para la competitividad</t>
  </si>
  <si>
    <t>Promover acciones de cooperación entre los diferentes actores para afrontar la problemática del cambio climático y el desarrollo sostenible en el Departamento</t>
  </si>
  <si>
    <t xml:space="preserve">Implementar 1 plan de acción de fortalecimiento de la mesa de cambio climático para el análisis económico </t>
  </si>
  <si>
    <t>Número de planes de acción de fortalecimiento de la mesa de cambio climático para el análisis económico  implementados</t>
  </si>
  <si>
    <t>CREACIÓN DE COOPERATIVA DE SERVICIOS FORESTALES DEL MACIZO COLOMBIANO</t>
  </si>
  <si>
    <t>Sotará, Rosas, La Sierra</t>
  </si>
  <si>
    <t>Sur</t>
  </si>
  <si>
    <t xml:space="preserve">Creación de la cooperativa </t>
  </si>
  <si>
    <t>Elizabeth Yangana
en Carrera Administrativa Técnico Grado 6</t>
  </si>
  <si>
    <t>Población Beneficiada: 500,000
Población indígena 118,532
Población afro: 150,234</t>
  </si>
  <si>
    <t xml:space="preserve"> Integración regional para el desarrollo</t>
  </si>
  <si>
    <t>Fortalecer la interconectividad regional, para el desarrollo supraregional del Departamento</t>
  </si>
  <si>
    <t xml:space="preserve">Construir 1 estrategia para  el fortalecimiento de  las alianzas supraregionales </t>
  </si>
  <si>
    <t>Número de estrategias para  el fortalecimiento de las alianzas supraregionales construidas</t>
  </si>
  <si>
    <t>Mejoramiento de las condiciones empresariales de los desarrollos locales en el Departamento del Cauca</t>
  </si>
  <si>
    <t>.- Consolidación de la estrategia para el desarrollo del Cauca.
- Mesas subregionales.
- Encuentros de dialogo
- Constitución de alianzas regionales para la competitividad del departamento.</t>
  </si>
  <si>
    <t xml:space="preserve">Aumentar el 10% la capacidad hotelera del departamento  </t>
  </si>
  <si>
    <t xml:space="preserve">Porcentaje de la capacidad hotelera del departamento aumentada </t>
  </si>
  <si>
    <t xml:space="preserve">50% de la capacidad hotelera en el departamento </t>
  </si>
  <si>
    <t>Desarrollo turístico para la Paz</t>
  </si>
  <si>
    <t xml:space="preserve">Impulsar procesos de planeación  y potenciar todas las manifestaciones turísticas que existan, entre ellas eco-turismo para promover nuevos destinos  turísticos en el departamento. </t>
  </si>
  <si>
    <t>Asistir técnicamente a 2 subregiones en procesos de planificación turística</t>
  </si>
  <si>
    <t xml:space="preserve">Número de subregiones en procesos de planificación turística asistidas técnicamente </t>
  </si>
  <si>
    <t>Desarrollo del sector turismo en los Municipios de: Guapi, Timbiquí, Piamonte, Argelia, Patía, Mercaderes, Balboa, Sucre, Bolívar, San Sebastián, Sotará, Timbío, El Tambo, Totoró, Cajibío, Silvia, Piendamó, Morales y Suárez  - Departamento del Cauca.</t>
  </si>
  <si>
    <t>BPIN 2017003190290</t>
  </si>
  <si>
    <t xml:space="preserve">Guapi, Timbiquí, Piamonte, Argelia, Patía, Mercaderes, Balboa, Sucre, Bolívar, San Sebastián, Sotará, Timbío, El Tambo, Totoró, Cajibío, Silvia, Piendamó, Morales y Suárez </t>
  </si>
  <si>
    <t xml:space="preserve">Costa pacífica, Sur, centro y Macizo, </t>
  </si>
  <si>
    <t>515914
Personas</t>
  </si>
  <si>
    <t>Inventarios turísticos, anteproyectos de política pública, procesos de formación y rutas y circuitos turísticos.</t>
  </si>
  <si>
    <t>Jaime Augusto Burbano Castillo
Coordinador Turismo del Departamento.</t>
  </si>
  <si>
    <t>Estructurar 10 nuevas políticas públicas turísticas en alianza con las administraciones municipales</t>
  </si>
  <si>
    <t>Número de nuevas políticas públicas turísticas en alianza con las administraciones municipales estructuradas</t>
  </si>
  <si>
    <t>Anteproyectos de política pública …</t>
  </si>
  <si>
    <t xml:space="preserve">Estructurar 10 nuevos inventarios turísticos en alianza con las administraciones municipales </t>
  </si>
  <si>
    <t>Número de nuevos inventarios turísticos en alianza con las administraciones municipales estructurados</t>
  </si>
  <si>
    <t xml:space="preserve">Inventarios turísticos… </t>
  </si>
  <si>
    <t>Infraestructura turística</t>
  </si>
  <si>
    <t>Adelantar gestiones políticas, administrativas y financieras que promuevan nueva infraestructura turística, o mejore la existente.</t>
  </si>
  <si>
    <t xml:space="preserve">Intervenir 3 atractivos turísticos en infraestructura </t>
  </si>
  <si>
    <t>Número de atractivos turísticos en infraestructura intervenidos</t>
  </si>
  <si>
    <t xml:space="preserve">Desarrollo de un entorno tecnológico termacolores en el RIP para la investigación e innovación en el uso de las aguas termales, aguas minerales y aprovechamiento del azufre natural orientados a potenciar el turismo y bienestar en el departamento del Cauca. </t>
  </si>
  <si>
    <t>BPIN
2014000100061</t>
  </si>
  <si>
    <t>Puracé</t>
  </si>
  <si>
    <t>Oriente</t>
  </si>
  <si>
    <t>5000
personas.</t>
  </si>
  <si>
    <t>Proyecto que terminará su ejecución en el año 2019.</t>
  </si>
  <si>
    <t>Asistir técnicamente a 8 municipios en la identificación y estructuración de proyectos de infraestructura turística</t>
  </si>
  <si>
    <t xml:space="preserve">Número de municipios con identificación y estructuración de proyectos de infraestructura turística asistidos técnicamente </t>
  </si>
  <si>
    <t xml:space="preserve">Estudios y diseños  de proyectos de Infraestructura turística. </t>
  </si>
  <si>
    <t>Municipios por definir.</t>
  </si>
  <si>
    <t>Por definir.</t>
  </si>
  <si>
    <t>Asistencia técnica y seguridad turística.</t>
  </si>
  <si>
    <t>Brindar asesoría, asistencia técnica y cofinanciación a los municipios y la comunidad turística en general en temas relacionados con el sector</t>
  </si>
  <si>
    <t>Implementar 4 estrategias de seguridad turística</t>
  </si>
  <si>
    <t>Número de estrategias  de seguridad turística implementadas</t>
  </si>
  <si>
    <t>Estrategias de seguridad turística…</t>
  </si>
  <si>
    <t>El presente proyecto ejecutará en el año  2019 recursos por valor de $ 269,052,750, tanto en el programa de Desarrollo turístico para la paz como en asistencia técnica y seguridad turística.
Ahora bien, para el programa de Asistencia técnica y seguridad turística solo se invertirán recursos por valor de : $ 115.902.250</t>
  </si>
  <si>
    <t>Cofinanciar 7 proyectos que promuevan el desarrollo turístico en los municipios con vocación turística</t>
  </si>
  <si>
    <t xml:space="preserve">Número de proyectos que promuevan el desarrollo turístico en los municipios con vocación turística cofinanciados </t>
  </si>
  <si>
    <t>Inventarios turísticos, anteproyectos de política pública, procesos d formación y rutas y circuitos turísticos.</t>
  </si>
  <si>
    <t>Promoción turística</t>
  </si>
  <si>
    <t>Fortalecer la oferta cultural y natural de todas las manifestaciones turísticas que existan, entre ellas eco-turismo que promueve el Departamento del Cauca en el marco de los reconocimientos Unesco.</t>
  </si>
  <si>
    <t>Promocionar en 4 eventos de talla internacional al Cauca como destino turístico</t>
  </si>
  <si>
    <t xml:space="preserve">Número de eventos de talla internacional que promocionan al Cauca como destino turístico </t>
  </si>
  <si>
    <t>Implementación de estrategias de promoción del potencial turístico del Departamento del Cauca, que permitan posicionar al Departamento como destino competitivo en el mercado nacional e internacional.</t>
  </si>
  <si>
    <t>BPIN 20180003190087</t>
  </si>
  <si>
    <t>Todo el Departamento del Cauca.</t>
  </si>
  <si>
    <t xml:space="preserve">Costa pacífica, Sur, Oriente, Norte, Centro y Macizo, </t>
  </si>
  <si>
    <t>1405933
Personas.</t>
  </si>
  <si>
    <t>Muestra empresarial turística y cultural en la Vitrina turística Anato 2019.</t>
  </si>
  <si>
    <t>Formalización del 10% de las Unidades productivas mineras informales existentes</t>
  </si>
  <si>
    <t>Porcentaje de Unidades productivas mineras informales existentes formalizadas</t>
  </si>
  <si>
    <t>980 Unidades Productivas mineras</t>
  </si>
  <si>
    <t>Fomento para la Formalización de la minería
artesanal y de pequeña escala.</t>
  </si>
  <si>
    <t xml:space="preserve">Promover y apoyar técnica, jurídica, ambiental y empresarialmente la formalización de la minería artesanal y de pequeña escala incluyendo grupos étnicos en sus procesos de declaración de áreas de reservas especial minera </t>
  </si>
  <si>
    <t>Asistir técnicamente a 100 nuevas unidades de producción minera (UPM)  en su proceso de formalización teniendo en cuenta las áreas de reserva especial.</t>
  </si>
  <si>
    <t xml:space="preserve">Número de nuevas unidades de producción minera (UPM)  en su proceso de formalización asistidas técnicamente </t>
  </si>
  <si>
    <t>100 Unidades de producción minera asistidas. .</t>
  </si>
  <si>
    <t>ASISTENCIA TÉCNICA MINERA, AMBIENTAL Y DE SEGURIDAD EN EL AMBIENTE LABORAL, COMO APOYO A PROCESOS DE FORMALIZACIÓN DEL SECTOR MINERO, EN 24 MUNICIPIOS DEL DEPARTAMENTO DEL CAUCA</t>
  </si>
  <si>
    <t>24 municipios</t>
  </si>
  <si>
    <t>7 subregiones del departamento</t>
  </si>
  <si>
    <t>La población a beneficiar está conformada por diferentes comunidades ancestrales, campesinas y afros descendientes.
 No. de Beneficiaros 55.000</t>
  </si>
  <si>
    <t>10 UPM apoyadas en su proceso de formalización</t>
  </si>
  <si>
    <t xml:space="preserve">El proyecto integral denominado: ASISTENCIA TÉCNICA MINERA, AMBIENTAL Y DE SEGURIDAD EN EL AMBIENTE LABORAL, COMO APOYO A PROCESOS DE FORMALIZACIÓN DEL SECTOR MINERO, EN 24 MUNICIPIOS DEL DEPARTAMENTO DEL CAUCA le apunta a las siguientes metas: 
&lt;Asistir (UPM) en su proceso de formalización teniendo en cuenta las áreas de reserva especial.
&lt;Asistir (UPM) en la actualización de la normatividad minera.
&lt;Actualizar el Sistema de información Geográfico en el módulo minero.
&lt;Elaborar 1 inventario minero incluyendo las áreas de reserva especial minera, si existen.
&lt;Asistir técnicamente (UPM) en procesos de protección ambiental.
Implementar una estrategia de orientación tecnológica y ambiental.
</t>
  </si>
  <si>
    <t xml:space="preserve">Asistir 100 nuevas unidades de producción minera (UPM)  en la actualización de la normatividad minera </t>
  </si>
  <si>
    <t>Número de nuevas unidades de producción minera (UPM)  en la actualización de la normatividad minera asistidas</t>
  </si>
  <si>
    <t xml:space="preserve">100 Unidades de producción minera asistidas. </t>
  </si>
  <si>
    <t>ASISTENCIA TÉCNICA MINERA, AMBIENTAL Y DE SEGURIDAD EN EL AMBIENTE LABORAL, COMO APOYO A PROCESOS DE FORMALIZACIÓN DEL SECTOR MINERO, EN 24 MUNICIPIOS DEL DEPARTAMENTO DEL CAUCA.</t>
  </si>
  <si>
    <t>La población a beneficiar está conformada por diferentes comunidades ancestrales campesinas y afros descendientes.
 No. de Beneficiaros 55.000</t>
  </si>
  <si>
    <t>10 UPM apoyadas en su proceso de Normatividad</t>
  </si>
  <si>
    <t>Desarrollo productivo y sustentable de la minería  artesanal y de pequeña escala.</t>
  </si>
  <si>
    <t>Promover el desarrollo productivo y sustentable de la minería artesanal y de pequeña escala (tanto en minería metálica y la no metálica como el caso de Popayán en el cual se desarrolla explotaciones de arcilla para elaboración de ladrillo y canteras para afirmado  )</t>
  </si>
  <si>
    <t>Implementar 1 estrategia que permita fortalecer 4 distritos mineros en desarrollo productivo y sostenible</t>
  </si>
  <si>
    <t>Número de estrategias que permita fortalecer 4 distritos mineros en desarrollo productivo y sostenible implementadas</t>
  </si>
  <si>
    <t>2 distritos mineros fortalecidos</t>
  </si>
  <si>
    <t xml:space="preserve">"Mejoramiento ambiental del proceso de extracción y trasformación de arcilla a través de la trasformación de hornos tipo tiro invertido en minería de subsistencia en los municipios de Mercaderes, Popayán, Tambo, Puerto Tejada y Villa Rica". </t>
  </si>
  <si>
    <t>0.000</t>
  </si>
  <si>
    <t>Mercaderes, Tambo, Popayán, Villa Rica, Puerto Tejada</t>
  </si>
  <si>
    <t>Centro, Sur y Norte</t>
  </si>
  <si>
    <t>La población a beneficiar está conformada por diferentes comunidades ancestrales campesinas y afros descendientes.
No. de beneficiarios 25.000</t>
  </si>
  <si>
    <t xml:space="preserve">&lt;Realizar convocatoria abierta para seleccionar beneficiaros.
&lt;Realizar visitas a los predios seleccionados y georreferenciar las áreas de explotación de arcilla e infraestructura. (Realizar estudios de suelos y topográficos)
&lt;Apoyar trámites ante la autoridad ambiental. </t>
  </si>
  <si>
    <t>Este Proyecto se encuentra en estructuración para ser revisado en las mesas técnicas del OCAD pacífico</t>
  </si>
  <si>
    <t>Actualizar el Sistema de información Geográfico en el módulo minero</t>
  </si>
  <si>
    <t>Sistema de información Geográfico en el módulo minero actualizado</t>
  </si>
  <si>
    <t>Sistema de información Geográfico implementado.</t>
  </si>
  <si>
    <t>24 Municipios</t>
  </si>
  <si>
    <t>La población a beneficiar está conformada por diferentes comunidades ancestrales campesinas y afros .
No. de beneficiados. 55.000</t>
  </si>
  <si>
    <t>UPM identificadas y caracterizadas con información técnicas sobre atributos más importantes de cada una de ellas.</t>
  </si>
  <si>
    <t>Se apoya en la ejecución del proyecto mediante la recopilación de diferentes UPM de los diferentes municipios que se han visitado con tomas de puntos de georreferenciación identificando diferentes características o actividades para tener en cuenta los estados de formalización y legalización de cada una de ellas.</t>
  </si>
  <si>
    <t xml:space="preserve">Elaborar 1 inventario minero en articulación con entidades oficiales con los 42 municipios del departamento incluyendo las áreas de reserva especial minera, si existen </t>
  </si>
  <si>
    <t>Número de inventarios mineros en articulación con entidades oficiales elaborados</t>
  </si>
  <si>
    <t>1 caracterización minera (39 municipios).</t>
  </si>
  <si>
    <t>Un inventario minero estructurado como instrumento de planificación minera del departamento del Cauca</t>
  </si>
  <si>
    <t>Para este año 2019 se ejecutara el 20%.</t>
  </si>
  <si>
    <t>Seguridad minera en el Departamento del Cauca para la minería  artesanal y de pequeña escala.</t>
  </si>
  <si>
    <t>Disminuir la accidentalidad minera desde la parte técnica y operativa en las explotaciones mineras</t>
  </si>
  <si>
    <t>Asistir técnicamente a 100 unidades de producción minera (UPM)  sobre seguridad minera</t>
  </si>
  <si>
    <t xml:space="preserve">Número de unidades de producción minera (UPM) asistidas técnicamente en seguridad minera </t>
  </si>
  <si>
    <t>Meta cumplida con la ejecución de la vigencia 2018.</t>
  </si>
  <si>
    <t xml:space="preserve">Capacitar y dotar a 10  Unidades de Producción Minera -(UPM )en salvamento minero </t>
  </si>
  <si>
    <t xml:space="preserve">Número de Unidades de Producción Minera -upm capacitadas y dotadas en salvamento minero </t>
  </si>
  <si>
    <t>Mejoramiento de la prevención y atención de emergencias en las labores mineras subterráneas en el Departamento del cauca</t>
  </si>
  <si>
    <t>39 municipios</t>
  </si>
  <si>
    <t>La población a beneficiar está conformada por diferentes comunidades ancestrales campesinas y afro descendientes.
No. de beneficiados. 5.360</t>
  </si>
  <si>
    <t xml:space="preserve">&lt;Talleres de socialización en seguridad minera
&lt;Jornadas de capacitación teórico - practicas sobre seguridad en labores mineras.
&lt;Dotación de herramientas y equipos para la prevención y atención de emergencias y accidentes en labores mineras.
</t>
  </si>
  <si>
    <t>Para esta vigencia 2019 se gestionara recursos para la respectiva implementación del proyecto "Mejoramiento de la prevención y atención de emergencias en las labores mineras subterráneas en el Departamento del cauca", correspondiente al 0,1%.</t>
  </si>
  <si>
    <t xml:space="preserve">Gestión ambiental en la explotación minera y comercial de productos mineros y sus derivados. </t>
  </si>
  <si>
    <t xml:space="preserve">Promover la organización y capacitación de mineros para generar un cambio de actitud sobre sus obligaciones de protección ambiental y el mejoramiento de su capacidad productiva </t>
  </si>
  <si>
    <t>Asistir técnicamente 100 unidades de producción minera en procesos de protección ambiental</t>
  </si>
  <si>
    <t>Número de unidades de producción minera en procesos de protección ambiental asistidas técnicamente</t>
  </si>
  <si>
    <t>Fortalecimiento a la minería artesanal y de pequeña escala (Nombre tentativo)</t>
  </si>
  <si>
    <t>42 municipios</t>
  </si>
  <si>
    <t xml:space="preserve">&lt;20 unidades de producción minera asistidas en protección ambiental.
&lt;Asistencia técnica a las siete subregiones del departamento del cauca en protección ambiental.
</t>
  </si>
  <si>
    <t>El proyecto integral denominado: Fortalecimiento a minería artesanal y de pequeña escala le apunta a las siguientes metas: 
&lt;Asistir (UPM) en su proceso de formalización teniendo en cuenta las áreas de reserva especial.
&lt;Asistir (UPM) en la actualización de la normatividad minera.
&lt;Actualizar el Sistema de información Geográfico en el módulo minero.
&lt;Elaborar 1 inventario minero incluyendo las áreas de reserva especial minera, si existen.
&lt;Asistir técnicamente (UPM) en procesos de protección ambiental.
&lt;Implementar una estrategia de orientación tecnológica y ambiental.</t>
  </si>
  <si>
    <t xml:space="preserve">Implementar una estrategia de orientación tecnológica y ambiental </t>
  </si>
  <si>
    <t xml:space="preserve">Número de estrategia de orientación tecnológica y ambiental implementadas </t>
  </si>
  <si>
    <t xml:space="preserve">&lt;Modelo organizacional y administrativo de las UPM.
&lt;Estándares y herramientas para la planeación, infraestructura y gestión de tecnología para la ejecución de actividades mineras aurífera en la región.
&lt;Evaluación de criterios y protocolos técnicos sustentables ambientalmente para la labor extractiva y de beneficio de las UPM.
&lt;Implementación de estrategias para la transferencia de conocimiento en las diferentes etapas del ciclo minero.
&lt;generación de planes dirigidos a la reparación y restauración ambiental en zonas de actividad minera
</t>
  </si>
  <si>
    <t>Innovación</t>
  </si>
  <si>
    <t>Aumentar el 0.5% de la participación de la inversión nacional en actividades Ctel (Nota: La meta tomara como línea de base los resultados del año 2015 una vez se actualice y se publique por el Observatorio Colombiano de Ciencia y Tecnología)</t>
  </si>
  <si>
    <t xml:space="preserve">Porcentaje de la participación de la inversión nacional en actividades CTel aumentado </t>
  </si>
  <si>
    <t xml:space="preserve">1.044% año 2014 </t>
  </si>
  <si>
    <t>Implementación y Ejecución del Plan y Acuerdo Estratégico en CTeI (PAED)</t>
  </si>
  <si>
    <t xml:space="preserve">Consolidar al Departamento del Cauca como una región de conocimientos, pluriétnica y multicultural, donde el desarrollo de las actividades de ciencia, tecnología e innovación CteI </t>
  </si>
  <si>
    <r>
      <t xml:space="preserve">Realizar 2 sesiones participativas con actores del </t>
    </r>
    <r>
      <rPr>
        <sz val="8"/>
        <color theme="1"/>
        <rFont val="Calibri"/>
        <family val="2"/>
        <scheme val="minor"/>
      </rPr>
      <t>SRCTeI</t>
    </r>
    <r>
      <rPr>
        <sz val="8"/>
        <rFont val="Calibri"/>
        <family val="2"/>
        <scheme val="minor"/>
      </rPr>
      <t xml:space="preserve"> para validar y adoptar el PAED </t>
    </r>
  </si>
  <si>
    <t xml:space="preserve">Número de sesiones participativas con actores del SRCT  para validar y adoptar el PAED realizadas </t>
  </si>
  <si>
    <t>Con la ejecución de  la vigencia 2018 se logra cumplir la meta en un 100%</t>
  </si>
  <si>
    <t xml:space="preserve">Realizar 4 convocatorias para gestionar los proyectos priorizados en las apuestas y líneas consignadas en el PAED Cauca </t>
  </si>
  <si>
    <t>Número de convocatorias para gestionar los proyectos priorizados en las apuestas y líneas consignadas en el PAED Cauca realizadas</t>
  </si>
  <si>
    <t>Desarrollo de procesos para la consolidación del Ecosistema regional de ciencia, tecnología e innovación en el departamento del Cauca</t>
  </si>
  <si>
    <t>500 personas</t>
  </si>
  <si>
    <r>
      <rPr>
        <sz val="8"/>
        <color theme="0" tint="-0.14999847407452621"/>
        <rFont val="Calibri"/>
        <family val="2"/>
        <scheme val="minor"/>
      </rPr>
      <t>.</t>
    </r>
    <r>
      <rPr>
        <sz val="8"/>
        <color theme="1"/>
        <rFont val="Calibri"/>
        <family val="2"/>
        <scheme val="minor"/>
      </rPr>
      <t>- Impulsar la apropiación social del conocimiento, la transferencia tecnológica, la investigación científica y la innovación social en los sectores productivos desde las diferentes dimensiones socioeconómicas del departamento, a través de la gestión de iniciativas y  proyectos en CTeI</t>
    </r>
  </si>
  <si>
    <t>El proyecto "Desarrollo de procesos para la consolidación del Ecosistema regional de ciencia, tecnología e innovación en el departamento del Cauca" se encuentra en formulación y tiene un valor estimado de $95.000.000, el cual a través de sus actividades y productos contribuye al cumplimiento de las metas de los programas del componente de Innovación, conforme se detalla en el presente plan.</t>
  </si>
  <si>
    <t>Consolidación del ecosistema regional de Ciencia, Tecnología e Innovación.</t>
  </si>
  <si>
    <t>Desarrollar de acciones endógenas que consoliden la red de actores del sistema de ciencia, tecnología e innovación CTeI</t>
  </si>
  <si>
    <t>Estructurar 1 Plan operativo del CODECTI Cauca para la implementación del PAED</t>
  </si>
  <si>
    <t>Número de Planes operativos del CODECTI Cauca para la implementación del PAED estructurados</t>
  </si>
  <si>
    <t>600 personas</t>
  </si>
  <si>
    <r>
      <rPr>
        <sz val="8"/>
        <color theme="0" tint="-0.14999847407452621"/>
        <rFont val="Calibri"/>
        <family val="2"/>
        <scheme val="minor"/>
      </rPr>
      <t>.</t>
    </r>
    <r>
      <rPr>
        <sz val="8"/>
        <color theme="1"/>
        <rFont val="Calibri"/>
        <family val="2"/>
        <scheme val="minor"/>
      </rPr>
      <t>- Coadyuvar al CODECTI Cauca en la implementación de las actividades y metas establecidas en el Plan estratégico y operativo para la vigencia 2019.</t>
    </r>
  </si>
  <si>
    <t xml:space="preserve">Realizar 7 sesiones del CODECTI Cauca para el acompañamiento en la implementación del PAED y la articulación de la red del SRCTeI </t>
  </si>
  <si>
    <t>Número de sesiones del CODECTI Cauca para el acompañamiento en la implementación del PAED y la articulación de la red del SRCTeI realizadas</t>
  </si>
  <si>
    <t>750 personas</t>
  </si>
  <si>
    <t>Cambiar en el 50% de los y las estudiantes y comunidad educativa de 14 Instituciones Educativas, (2 por subregión) su percepción frente a las violencias contra las mujeres</t>
  </si>
  <si>
    <t>Porcentaje de los y las estudiantes y comunidad educativa de 14 Instituciones Educativas, (2 por subregión) que cambian su percepción frente a las violencias contra las mujeres</t>
  </si>
  <si>
    <t>Cauca, hacia un territorio libre de violencias contra las mujeres.</t>
  </si>
  <si>
    <t>Desarrollar una estrategia  que de cumplimiento a la ley 1257 de 2008 y que conduzca a avanzar en la garantía a una vida libre de violencias para las mujeres que habitan el departamento.</t>
  </si>
  <si>
    <t xml:space="preserve">Generar en 14 instituciones educativas, (2 por subregión), acciones de movilización social para la promoción de una cultura no violenta hacia las mujeres. </t>
  </si>
  <si>
    <t>Número de instituciones educativas, (2 por subregión), con acciones de movilización social para la promoción de una cultura no violenta hacia las mujeres generadas</t>
  </si>
  <si>
    <t>Implementación de buenas prácticas para la construcción de un territorio libre de violencia contra las mujeres en el
Departamento del Cauca</t>
  </si>
  <si>
    <t>INSTITUCIONES EDUCATIVAS, ASOCIACIONES COMUNITARIAS Y RED MUJERES (150 funcionarias publica, 800 mujeres pertenecientes sociedad civil,  14  I.E.Estudiantes, docentes, padres de familia 752)</t>
  </si>
  <si>
    <t xml:space="preserve">Elaborar 1 documento con los contenidos para la promoción de una cultura no violenta contra las mujeres, para darles aplicación desde la Secretaría de Educación y Cultura a través de la Cátedra Cauca. </t>
  </si>
  <si>
    <t>Número de documentos con los contenidos para la promoción de una cultura no violenta contra las mujeres, para darles aplicación desde la Secretaría de Educación y Cultura a través de la Cátedra Cauca elaborados</t>
  </si>
  <si>
    <t xml:space="preserve">Promover en 14 Instituciones Educativas (2 por subregión),  acciones de sensibilización con herramientas para actuar con cero tolerancia frente a las violencias contra las mujeres.  </t>
  </si>
  <si>
    <t>Número de Instituciones Educativas (2 por subregión),  con acciones de sensibilización y herramientas para actuar con cero tolerancia frente a las violencias contra las mujeres promovidas.</t>
  </si>
  <si>
    <t>Por establecer</t>
  </si>
  <si>
    <t>7subregiones</t>
  </si>
  <si>
    <t xml:space="preserve">Incrementar en 20% las denuncias de los casos de Violencias Basadas en Género - VBG.
</t>
  </si>
  <si>
    <t xml:space="preserve">Porcentaje de las denuncias de los casos de Violencias Basadas en Género – VBG incrementado </t>
  </si>
  <si>
    <t xml:space="preserve">1125 casos de Violencias Basadas en Género denunciados - año 2013 – Medicina Legal </t>
  </si>
  <si>
    <t xml:space="preserve">Ajustar en 7 nuevos municipios, (1 por subregión), las rutas y protocolos para la atención a las mujeres víctimas de las violencias de acuerdo a la institucionalidad presente.                                  </t>
  </si>
  <si>
    <t>Número de nuevos municipios, (1 por subregión),con  rutas y protocolos para la atención a las mujeres víctimas de las violencias de acuerdo a la institucionalidad presente ajustadas.</t>
  </si>
  <si>
    <t>1 SUBREGION</t>
  </si>
  <si>
    <t>Operadores de Justicia y organizaciones de la Sociedad civil</t>
  </si>
  <si>
    <t xml:space="preserve">Realizar 1 campaña para motivar la denuncia de casos de Violencias Basadas en Género - VBG- en contra de niñas, adolescentes, adultas mayores, lesbianas, mujeres trans y con capacidades diversas. </t>
  </si>
  <si>
    <t>Número de campañas para motivar la denuncia de casos de Violencias Basadas en Género - VBG- en contra de niñas, adolescentes, adultas mayores, lesbianas, mujeres trans y con capacidades diversas realizadas.</t>
  </si>
  <si>
    <t xml:space="preserve">Promover 2 movilizaciones contra las violencias hacia las mujeres.                                         </t>
  </si>
  <si>
    <t xml:space="preserve">Número de movilizaciones  contra las violencias hacia las mujeres promovidas.                                       </t>
  </si>
  <si>
    <t xml:space="preserve">Número de movilizaciones  contra las violencias hacia las mujeres promovidas. </t>
  </si>
  <si>
    <t>Aplicativos, y 2 movilizaciones</t>
  </si>
  <si>
    <t>Conmemorar 8 fechas emblemáticas en torno al derecho a una vida libre de violencias.</t>
  </si>
  <si>
    <t>Número de fechas emblemáticas en torno al derecho a una vida libre de violencias conmemoradas.</t>
  </si>
  <si>
    <t>Poner en funcionamiento la Casa de la Mujer del Cauca</t>
  </si>
  <si>
    <t xml:space="preserve"> Casa de la Mujer del Cauca puesta en funcionamiento.</t>
  </si>
  <si>
    <t xml:space="preserve">Implementar 7 mesas de trabajo con el sector salud que movilicen la creación de Casas Refugio ( en las 7 subregiones).  </t>
  </si>
  <si>
    <t>Número de mesas de trabajo con el sector salud que movilicen la creación de Casas Refugio ( en las 7 subregiones) implementadas.</t>
  </si>
  <si>
    <t xml:space="preserve">Aumentar en el 20% de las Comisarías de familia (una por subregión) las competencias de sus funcionarios para la intervención efectiva en casos de violencias basadas en género </t>
  </si>
  <si>
    <t xml:space="preserve">Porcentaje de las Comisarías de familia (una por subregión) con competencias de sus funcionarios para la intervención efectiva en casos de violencias basadas en género aumentado </t>
  </si>
  <si>
    <t>Capacitar al 100% de las comisarías de familia en herramientas para la atención y protección de las mujeres de acuerdo a lo establecido en la ley 1257/2008</t>
  </si>
  <si>
    <t>Porcentaje de comisarías de familia capacitadas en herramientas para la atención y protección de las mujeres de acuerdo a lo establecido en la ley 1257 /2008</t>
  </si>
  <si>
    <t>8 eventos y conferencias dirigida a funcionarios y comisarias de familia</t>
  </si>
  <si>
    <t>Incrementar en un 5% la participación política de las mujeres en las elecciones 2019 frente a las participantes en el 2015</t>
  </si>
  <si>
    <t xml:space="preserve">Porcentaje de participación política de las mujeres en las elecciones 2019 frente a las participantes en el 2015 incrementado </t>
  </si>
  <si>
    <t xml:space="preserve">1106 mujeres inscritas en el año 2015 – Registraduria Nacional </t>
  </si>
  <si>
    <t>Fortalecimiento a la participación social y política  de las mujeres</t>
  </si>
  <si>
    <t>Aumentar la participación de las mujeres en espacios políticos y político comunitarios para incidir en los temas de su interés.</t>
  </si>
  <si>
    <t xml:space="preserve">Implementar 1 estrategia que permita incrementar la participación política de las mujeres en las elecciones de JAL, Concejos Municipales, Asamblea, Alcaldías y Gobernación </t>
  </si>
  <si>
    <t xml:space="preserve">Número de estrategia que permitan incrementar la participación política de las mujeres en las elecciones de JAL, Concejos Municipales, Asamblea, Alcaldías y Gobernación implementadas </t>
  </si>
  <si>
    <t>Seis (6)Talleres por cada municipios y tres (3) foros subregionales</t>
  </si>
  <si>
    <t xml:space="preserve">Capacitar 1260 mujeres con herramientas que les permita participar en procesos políticos electorales </t>
  </si>
  <si>
    <t>Número de mujeres capacitadas con herramientas que les permita participar en procesos políticos electorales</t>
  </si>
  <si>
    <t>Incrementar en 5 % la participación política de las mujeres en escenarios sociales y comunitarios</t>
  </si>
  <si>
    <t xml:space="preserve">Porcentaje de la participación política de las mujeres en escenarios sociales y comunitarios incrementado </t>
  </si>
  <si>
    <t xml:space="preserve">Juntas de acción comunal electas en el año 2016 – consejos comunitarios y cabildos existentes </t>
  </si>
  <si>
    <r>
      <rPr>
        <sz val="11"/>
        <rFont val="Calibri"/>
        <family val="2"/>
      </rPr>
      <t xml:space="preserve">Poner en marcha la Escuela Itinerante de Formación en Derechos y Formación Política con enfoque de Paz </t>
    </r>
    <r>
      <rPr>
        <sz val="11"/>
        <rFont val="Calibri"/>
        <family val="2"/>
        <scheme val="minor"/>
      </rPr>
      <t xml:space="preserve">
</t>
    </r>
  </si>
  <si>
    <r>
      <rPr>
        <sz val="11"/>
        <rFont val="Calibri"/>
        <family val="2"/>
      </rPr>
      <t>Escuela Itinerante de Formación en Derechos y Formación Política con enfoque de Paz puesta en marcha</t>
    </r>
    <r>
      <rPr>
        <sz val="11"/>
        <rFont val="Calibri"/>
        <family val="2"/>
        <scheme val="minor"/>
      </rPr>
      <t xml:space="preserve">
</t>
    </r>
  </si>
  <si>
    <t xml:space="preserve">Capacitar a 1260 mujeres, 30 por municipio, cuentan con herramientas para la promoción y defensa de los derechos humanos de las mujeres en los diferentes escenarios de participación y decisión social y política.                                                        
</t>
  </si>
  <si>
    <t xml:space="preserve">Número de mujeres con herramientas para la promoción y defensa de los derechos humanos en los diferentes escenarios de participación y decisión social y política  capacitadas                                                  
</t>
  </si>
  <si>
    <t>Poner en marcha 21 mecanismos de género para la inclusión de los intereses y necesidades de las mujeres en las agendas públicas y para la promoción de la participación política y ciudadana de las mujeres</t>
  </si>
  <si>
    <t xml:space="preserve">Número de mecanismos de género para la inclusión de los intereses y necesidades de las mujeres en las agendas públicas y para la promoción de la participación política y ciudadana de las mujeres puestos en marcha </t>
  </si>
  <si>
    <t>42 visitas técnicas a las enlaces</t>
  </si>
  <si>
    <t>Aumentar a 150 el número de organizaciones de mujeres, (en las diferentes sub-regiones del departamento) con plan de mejoramiento para incrementar su Índice de Capacidad Organizativa</t>
  </si>
  <si>
    <t>Número de organizaciones de mujeres, (en las diferentes sub-regiones del departamento) con plan de mejoramiento para incrementar su Índice de Capacidad Organizativa</t>
  </si>
  <si>
    <t>12 Organizaciones de mujeres con Plan de Mejoramiento</t>
  </si>
  <si>
    <t>Autonomía y empoderamiento económico para las mujeres.</t>
  </si>
  <si>
    <t>Gestionar oportunidades para mujeres frente al acceso de activos y  generación de ingresos constantes encaminados a lograr su autonomía económica.</t>
  </si>
  <si>
    <t>Caracterizar 150 organizaciones de mujeres para el establecimiento del índice de capacidad organizativa en las diferentes sub-regiones del departamento</t>
  </si>
  <si>
    <t>Número de organizaciones de mujeres caracterizadas para el establecimiento del índice de capacidad organizativa en las diferentes sub-regiones del departamento</t>
  </si>
  <si>
    <t xml:space="preserve">Realizar 150 talleres de capacitación a mujeres sobre medición de su Índice de Capacidad Organizativa -ICO y formulación de Planes de Mejoramiento </t>
  </si>
  <si>
    <t xml:space="preserve">Número de talleres de capacitación a mujeres sobre medición de su Índice de Capacidad Organizativa -ICO y formulación de Planes de Mejoramiento realizados </t>
  </si>
  <si>
    <t>Formular 150 planes de mejoramiento con base en los resultados de la caracterización</t>
  </si>
  <si>
    <t xml:space="preserve">Número de planes de mejoramiento con base en los resultados de la caracterización formulados  </t>
  </si>
  <si>
    <t>Mejorar en las 7 sub-regiones del departamento las condiciones de las organizaciones de las mujeres que cuentan con herramientas de gestión para mejorar su nivel de ingresos a través  de emprendimientos productivos de impacto sub-regional</t>
  </si>
  <si>
    <t xml:space="preserve">Número de sub-regiones del departamento con las condiciones de las organizaciones de las mujeres que cuentan con herramientas de gestión para mejorar su nivel de ingresos a través  de emprendimientos productivos de impacto sub-regional mejoradas </t>
  </si>
  <si>
    <t xml:space="preserve">Capacitar a 1260 mujeres con vocación de producción en fortalecimiento socio-empresarial                                                                                                            </t>
  </si>
  <si>
    <t>Número de mujeres con vocación de producción en fortalecimiento socio-empresarial capacitadas</t>
  </si>
  <si>
    <t>CENTRO, NORTE, SUR, PACIFICO MACIZO,ORIENTE, OCCIDENTE</t>
  </si>
  <si>
    <t xml:space="preserve">Organizaciones apoyadas para abrir espacios comerciales y posicionamiento del producto </t>
  </si>
  <si>
    <t xml:space="preserve">Realizar 4 ferias de intercambios de experiencias ejemplificantes en procesos de producción y comercialización, con mujeres con vocación de producción                                                                                                                                       </t>
  </si>
  <si>
    <t>Número de ferias de intercambios de experiencias ejemplificantes en procesos de producción y comercialización, con mujeres con vocación de producción realizadas</t>
  </si>
  <si>
    <t xml:space="preserve">Impulsar 10 emprendimientos de organizaciones de mujeres </t>
  </si>
  <si>
    <t xml:space="preserve">Número de emprendimientos de organizaciones de mujeres impulsados </t>
  </si>
  <si>
    <t>2500000/1000</t>
  </si>
  <si>
    <t>Formular 7 perfiles de proyectos productivos en conjunto con las organizaciones de mujeres</t>
  </si>
  <si>
    <t xml:space="preserve">Número de perfiles de proyectos productivos en conjunto con las organizaciones de mujeres formulados </t>
  </si>
  <si>
    <t xml:space="preserve">Aumentar en un 50% el conocimiento de las mujeres sobre el proceso de paz y los acuerdos de la mesa de negociación de la Habana </t>
  </si>
  <si>
    <t>Porcentaje del conocimiento de las mujeres sobre el proceso de paz y los acuerdos de la mesa de negociación de la Habana</t>
  </si>
  <si>
    <t xml:space="preserve">Mujeres A-portantes de paz y reconciliación </t>
  </si>
  <si>
    <t>Favorecer espacios de dialogo y memoria que aporten a la construcción de paz desde las miradas y sentires de las mujeres.</t>
  </si>
  <si>
    <r>
      <t>Implementar 4</t>
    </r>
    <r>
      <rPr>
        <sz val="11"/>
        <rFont val="Calibri"/>
        <family val="2"/>
      </rPr>
      <t xml:space="preserve"> </t>
    </r>
    <r>
      <rPr>
        <sz val="11"/>
        <rFont val="Calibri"/>
        <family val="2"/>
        <scheme val="minor"/>
      </rPr>
      <t xml:space="preserve">estrategias de re significación del territorio y construcción de memoria histórica contada por las Mujeres como acciones para la no repetición
</t>
    </r>
  </si>
  <si>
    <t xml:space="preserve">Número de estrategias de re significación del territorio y construcción de memoria histórica contada por las Mujeres como acciones para la no repetición implementadas 
</t>
  </si>
  <si>
    <t>Número de estrategias de re significación del territorio y construcción de memoria histórica contada por las Mujeres como acciones para la no repetición implementadas</t>
  </si>
  <si>
    <t>Apoyar 4 iniciativas desarrolladas por organizaciones de mujeres víctimas del conflicto en torno a la paz y reconstrucción del tejido social</t>
  </si>
  <si>
    <t xml:space="preserve">Número de iniciativas desarrolladas por organizaciones de mujeres víctimas del conflicto en torno a la paz y reconstrucción del tejido social apoyadas </t>
  </si>
  <si>
    <t>FORTALECIMIENTO DE LA PARTICIPACION DE LAS MUJERES EN LA IMPLEMENTACION DEL ACUERDO FINAL DE PAZ Y LA CONSTRUCCION DE PAZ TERRITORIAL  EN EL DPTO DEL CAUCA.</t>
  </si>
  <si>
    <t>BOLIVAR, EL TAMBO, PATIA Y ARGELIA</t>
  </si>
  <si>
    <t>CENTRO Y SUR</t>
  </si>
  <si>
    <t>120 (MUER AFRO, MESTIZA E INDIGENA)</t>
  </si>
  <si>
    <t>ASISTENCIA TENICA A 4 INICIATIVAS  DESARROLLADAS POR ORGANIZACIONES DE MUJERES VICTIMAS DEL CONFLICTO</t>
  </si>
  <si>
    <t>Promover 2 procesos (uno con mujeres afro y otro con mujeres indígenas) para la reconstrucción del tejido social, desde sus procesos socioculturales, saberes ancestrales, y prácticas culturales</t>
  </si>
  <si>
    <t>Número de procesos (con mujeres indígenas y afros) para la reconstrucción del tejido social, desde sus procesos socioculturales, saberes ancestrales, y prácticas culturales promovidos</t>
  </si>
  <si>
    <t>Capacitar 4000 mujeres en los contenidos de los acuerdos de paz y la normatividad vigente que tenga relación con las mujeres víctimas del conflicto armado</t>
  </si>
  <si>
    <t xml:space="preserve">Número de mujeres en los contenidos de los acuerdos de paz y la normatividad vigente que tenga relación con las mujeres víctimas del conflicto armado capacitadas </t>
  </si>
  <si>
    <t>MIRANDA, ARGELIA, BOLIVAR, TIMBIQUI, CAJIBIO, BUENOS AIRES, TORIBIO, CALDONO, CORINTO, EL TAMBO, MORALES, PATIA</t>
  </si>
  <si>
    <t>CENTRO, NORTE, SUR Y COSTA</t>
  </si>
  <si>
    <t>Fortalecer la administración Departamental para la transversalización del enfoque de género.</t>
  </si>
  <si>
    <t>Poner en marcha el Observatorio de asuntos de género y derechos humanos de las mujeres mediante un proceso de articulación institucional</t>
  </si>
  <si>
    <t xml:space="preserve">Observatorio de asuntos de género y derechos humanos de las mujeres mediante un proceso de articulación institucional puesto en marcha </t>
  </si>
  <si>
    <t xml:space="preserve">Realizar 2 monitoreos sobre la situación de los derechos humanos de las Mujeres, establecidos en la Política Pública de Mujeres del Cauca, desde el enfoque subregional y diferencial                                                                           </t>
  </si>
  <si>
    <t xml:space="preserve">Número de monitoreos sobre la situación de los derechos humanos de las Mujeres, establecidos en la Política Pública de Mujeres del Cauca, desde el enfoque subregional y diferencial                                     </t>
  </si>
  <si>
    <t>APOYO A LOS EJERCICIOS DE MONITOREO SOBRE SITUACION DE LOS DERECHOS HUMANOS DE LA MUJER ESTABLECIDOS EN LA POLITICA PUBLICA DE MUEJRES DEL DPTO DEL CAUCA</t>
  </si>
  <si>
    <t>2475(AFRO, INDIGENA,Y MESTIZA</t>
  </si>
  <si>
    <t>Incluir en el 80 % de los proyectos viabilizados por el Banco de Programas y Proyectos del Departamento formulados por las Secretarías el enfoque de género</t>
  </si>
  <si>
    <t xml:space="preserve">Porcentaje de los proyectos viabilizados por el Banco de Programas y Proyectos del Departamento formulados por las Secretarías el enfoque de género incluido </t>
  </si>
  <si>
    <t>Transversalización del enfoque de género y fortalecimiento institucional</t>
  </si>
  <si>
    <t xml:space="preserve">Conformar un equipo con delegados de cada una de las Secretarías y Oficinas Asesoras para poner en marcha acciones de transversalización y el fortalecimiento del enfoque de género en cada una de las dependencias de la Gobernación del Cauca.                       </t>
  </si>
  <si>
    <t xml:space="preserve">Equipo con delegados de cada una de las Secretarías y Oficinas Asesoras para poner en marcha acciones de transversalización y el fortalecimiento del enfoque de género en cada una de las dependencias de la Gobernación del Cauca conformado   </t>
  </si>
  <si>
    <t>Implementación De Mecanismos Y Estrategias Para Fortalecer La Transversalizacion de Género De Mujer En El
Departamento Del Cauca</t>
  </si>
  <si>
    <t>Un diplomado Presupuesto sensibles al Genero y 60 eventos de formación para hombre y mujeres de entidades publicas y privadas</t>
  </si>
  <si>
    <t xml:space="preserve"> Implementar un plan de capacitación sobre enfoque de género dirigido a funcionarias y funcionarios de las Secretarías y Oficinas Asesoras </t>
  </si>
  <si>
    <t xml:space="preserve">Número de planes de capacitación sobre enfoque de género dirigido a funcionarias y funcionarios de las Secretarías y Oficinas Asesoras implementado </t>
  </si>
  <si>
    <t xml:space="preserve">Implementar 4 planes para la transversalización del enfoque de género que incluyan acciones en cada Secretaría y Oficina Asesora de la Administración Departamental. </t>
  </si>
  <si>
    <t xml:space="preserve">Número de planes para la transversalización del enfoque de género que incluyan acciones en cada Secretaría y Oficina Asesora de la Administración Departamental implementados </t>
  </si>
  <si>
    <t>Dirigido Un plan  de transversalizacion a Industria Licorera</t>
  </si>
  <si>
    <t>Institucionalizar el Sello de buenas prácticas de equidad de género</t>
  </si>
  <si>
    <t xml:space="preserve">Sello de buenas prácticas de equidad de género institucionalizado </t>
  </si>
  <si>
    <t>Aumentar en 50% el conocimiento sobre derechos sexuales y reproductivos en el 80% de los y las participantes de campañas que impulse la Secretaría de la Mujer</t>
  </si>
  <si>
    <t xml:space="preserve">Porcentaje del conocimiento sobre derechos sexuales y reproductivos en el 80% de los y las participantes de campañas que impulse la Secretaría de la Mujer </t>
  </si>
  <si>
    <t>Mujer, salud, derechos sexuales y reproductivos</t>
  </si>
  <si>
    <t>Desarrollar estrategias de prevención para la promoción de los derechos sexuales y reproductivos.</t>
  </si>
  <si>
    <t xml:space="preserve">Realizar 4 campañas para prevención de cáncer de cuello uterino                                                     </t>
  </si>
  <si>
    <t xml:space="preserve">Número de campañas para prevención de cáncer de cuello uterino realizadas                                                     </t>
  </si>
  <si>
    <t>Apoyo al mejoramiento de la salud sexual y reproductiva de las mujeres caucanas”</t>
  </si>
  <si>
    <t>0oooo</t>
  </si>
  <si>
    <t>ARGELIA, BALBOA, BOLIVAR, CALDONO, FLORENCIA, LA SIERRA, MERCADERES, PATIA, PUERTO TEJADA, ROSAS, SOTARA</t>
  </si>
  <si>
    <t>CENTRO, NORTE, SUR, MACIZO.</t>
  </si>
  <si>
    <t>Servicio de promoción de los derechos sexuales y reproductivos y la equidad de género a través de 11 campañas, Una por cada municipios seleccionado para la ejecución del proyecto</t>
  </si>
  <si>
    <t>SE REGISTRO EL VALOR DE RECURSOS PROPIOS QUE NOS ADJUDICARON EL PRESUPUESTO DEL 2019 Y EL QUE CORRESPONDE POR ACTIVIDAD EN EL PROYECTO EN FORMULACION</t>
  </si>
  <si>
    <t xml:space="preserve">Realizar 4 campañas para prevención de cáncer de seno                                          </t>
  </si>
  <si>
    <t xml:space="preserve">Número de campañas para prevención de cáncer de seno realizadas                                                                                       </t>
  </si>
  <si>
    <t xml:space="preserve">Realizar 4 campañas para prevenir el contagio de enfermedades e infecciones de transmisión sexual en mujeres                                         </t>
  </si>
  <si>
    <t xml:space="preserve">Número de campañas para prevenir el contagio de enfermedades e infecciones de transmisión sexual en mujeres realizadas                                                                               </t>
  </si>
  <si>
    <t>Realizar 4 campañas para la prevención del embarazo adolescente y embarazo subsiguiente</t>
  </si>
  <si>
    <t xml:space="preserve">Número de campañas para la prevención del embarazo adolescente y embarazo subsiguiente realizadas                                                     </t>
  </si>
  <si>
    <t xml:space="preserve">Realizar 7 Conversatorios con grupos, organizaciones y/o redes de mujeres sobre sexualidad y derechos sexuales y reproductivos </t>
  </si>
  <si>
    <t xml:space="preserve">Número de conversatorios con grupos, organizaciones y/o redes de mujeres sobre sexualidad y derechos sexuales y reproductivos realizadas                                                      </t>
  </si>
  <si>
    <t>BOLIVAR</t>
  </si>
  <si>
    <t>MACIZO</t>
  </si>
  <si>
    <t xml:space="preserve">Mujer, salud, derechos sexuales y reproductivos </t>
  </si>
  <si>
    <t xml:space="preserve"> Realizar 3 jornadas de capacitación dirigidas a las ESE´s del Departamento del Cauca y a operadores de justicia en la Sentencia 355 del 2008 (Interrupción Voluntaria del Embarazo – IVE)</t>
  </si>
  <si>
    <t xml:space="preserve">Número de jornadas de capacitación dirigidas a las ESE´s del Departamento del Cauca y a operadores de justicia en la Sentencia 355 del 2008 (Interrupción Voluntaria del Embarazo – IVE) realizadas                                                      </t>
  </si>
  <si>
    <t>DEPENDENCIA RESPONSABLE: SECRETARÍA DE LA MUJER</t>
  </si>
  <si>
    <r>
      <rPr>
        <b/>
        <sz val="10"/>
        <rFont val="Arial"/>
        <family val="2"/>
      </rPr>
      <t>DEPENDENCIA RESPONSABLE</t>
    </r>
    <r>
      <rPr>
        <sz val="10"/>
        <rFont val="Arial"/>
        <family val="2"/>
      </rPr>
      <t xml:space="preserve">: </t>
    </r>
    <r>
      <rPr>
        <u/>
        <sz val="10"/>
        <rFont val="Arial"/>
        <family val="2"/>
      </rPr>
      <t>OFICINA ASESORA PARA LA GESTION DEL RIESGO DE DESASTRE</t>
    </r>
    <r>
      <rPr>
        <sz val="10"/>
        <rFont val="Arial"/>
        <family val="2"/>
      </rPr>
      <t>S</t>
    </r>
  </si>
  <si>
    <t>Gestión del riesgo</t>
  </si>
  <si>
    <t>Incrementar en el 131% la Inversión promedio per cápita Departamental para la prevención de desastres</t>
  </si>
  <si>
    <t xml:space="preserve">Porcentaje de la inversión promedio per cápita Departamental para la prevención de desastres incrementada </t>
  </si>
  <si>
    <t xml:space="preserve">724   (998.000/1379169 -Inversión sectorial reportada/ Población total del Dpto.) </t>
  </si>
  <si>
    <t>Conocimiento del riesgo</t>
  </si>
  <si>
    <t>Conocer el riesgo (Identificar, analizar, monitorear y comunicar el riesgo)</t>
  </si>
  <si>
    <t>Ajustar el Plan Departamental de Gestión del Riesgo  acorde a la ley 1523/2012 y al Plan Nacional de gestión del riesgo</t>
  </si>
  <si>
    <t>Número de Planes Departamentales de Gestión del Riesgo de Desastres ajustados</t>
  </si>
  <si>
    <t xml:space="preserve">1 Plan Departamental de Gestión del Riesgo formulado </t>
  </si>
  <si>
    <t xml:space="preserve"> “FORTALECIMIENTO DEL PROCESO DE CONOCIMIENTO DEL RIESGO DE DESASTRES A TRAVÉS DE LA IMPLEMENTACION DEL COMPONENTE TECNICO PARA LA  IDENTIFICACIÓN DE ESCENARIOS DE RIESGO, SU ANÁLISIS, SU EVALUACIÓN, MONITOREO, SEGUIMIENTO  Y  COMUNICACIÓN  DEL RIESGO Y SUS COMPONENTES PARA  ALIMENTAR LOS PROCESOS DE REDUCCIÓN DEL RIESGO Y DE MANEJO DE DESASTRES EN EL DEPARTAMENTO DEL CAUCA”</t>
  </si>
  <si>
    <t>Edith Janeth Paz Lennis - Planta</t>
  </si>
  <si>
    <t>Elaborar 1 Estrategia departamental  de Respuesta a Emergencias EDRE</t>
  </si>
  <si>
    <t xml:space="preserve"> Número de estrategias departamental de Respuesta a Emergencias EDRE elaborada</t>
  </si>
  <si>
    <t>“FORTALECIMIENTO DEL PROCESO DE CONOCIMIENTO DEL RIESGO DE DESASTRES A TRAVÉS DE LA IMPLEMENTACION DEL COMPONENTE TECNICO PARA LA  IDENTIFICACIÓN DE ESCENARIOS DE RIESGO, SU ANÁLISIS, SU EVALUACIÓN, MONITOREO, SEGUIMIENTO  Y  COMUNICACIÓN  DEL RIESGO Y SUS COMPONENTES PARA  ALIMENTAR LOS PROCESOS DE REDUCCIÓN DEL RIESGO Y DE MANEJO DE DESASTRES EN EL DEPARTAMENTO DEL CAUCA”</t>
  </si>
  <si>
    <t>Elaborar 1 mapa de escenarios de riesgo con estudios de amenaza y vulnerabilidad según demanda (regiones y/o municipios)</t>
  </si>
  <si>
    <t xml:space="preserve">Número de mapas de escenarios de riesgo con estudios de amenaza y vulnerabilidad según demanda (regiones y/o municipios) elaborados </t>
  </si>
  <si>
    <t>Edith Janeth Paz Lennis- planta</t>
  </si>
  <si>
    <t xml:space="preserve">Elaborar 1 Plan de Comunicación de las Condiciones de riesgo existentes en el departamento </t>
  </si>
  <si>
    <t xml:space="preserve">Número de planes de Comunicación de las Condiciones de Riesgo existentes en el Departamento elaborados </t>
  </si>
  <si>
    <t>Reducción del riesgo</t>
  </si>
  <si>
    <t>Intervenir prospectiva y correctivamente el riesgo</t>
  </si>
  <si>
    <t>Elaborar 1  ruta de intervención para ejecución obras de reducción</t>
  </si>
  <si>
    <t>Número de rutas   de Intervención para ejecución de obras de reducción elaborada</t>
  </si>
  <si>
    <t>FORTALECIMIENTO DE LOS PROCESOS DEL AÑO 2019 PARA LA REDUCCION DEL RIESGO EN EL DEPARTAMENTO DEL CAUCA</t>
  </si>
  <si>
    <t xml:space="preserve">una RUTA DE INTERVENCION Implementada MANTENER  LA CAPACIDAD EN  EL ACOMPAÑAMIENTO DE MEDIDAS ESTRUCTURALES </t>
  </si>
  <si>
    <t>Sulma Nury Molano O- Planta p.</t>
  </si>
  <si>
    <t>Elaborar 1 ruta de asistencia técnica para la implementación integral de la Gestión del Riesgo</t>
  </si>
  <si>
    <t>Número de rutas de Asistencia Técnica en Gestión del Riesgo elaboradas</t>
  </si>
  <si>
    <t xml:space="preserve"> UNA RUTA DE ASISTENCIA TECNICA IMPLEMENTADA ASISTENCIA TECNIA POR DEMANDA A LOS CMGRD Y AL CDGRD  Y MANTENER LAS MEDIDAS DE REDUCCION DEL RIESGO  NO ESTRUCTURALES </t>
  </si>
  <si>
    <t>Manejo del desastre</t>
  </si>
  <si>
    <t xml:space="preserve">Preparar  la respuesta y su  ejecución  para la recuperación y su ejecución </t>
  </si>
  <si>
    <t>Implementar 1 procedimiento de preparación para la respuesta y la recuperación</t>
  </si>
  <si>
    <t>Número de procedimientos para la preparación para la respuesta y la recuperación  elaborado</t>
  </si>
  <si>
    <t xml:space="preserve">FORTALECIMIENTO DE LOS PROCESOS DEL AÑO 2019 PARA EL 
MANEJO DE DESASTRES EN EL DEPARTAMENTO DEL CAUCA
</t>
  </si>
  <si>
    <t xml:space="preserve"> - Asistir las situaciones de emergencia que AM22:AM23se presenten en Departamento del Cauca, donde se supere la capacidad instalada por los Municipios, de acuerdo con los requerimientos de la entidad, llevando los registros e instrumentos definidos por la misma para la atención de emergencias.
- Acompañar las actividades relacionadas en la implementación de los procedimientos de formulación e implementación del proceso de Manejo de Desastres del riesgo en el departamento del cauca en la Oficina Asesora de Gestión del Riesgo de Desastres OAGRD – Cauca.
</t>
  </si>
  <si>
    <t>Dicknar Yesid Urbano Ocampo _ Planta</t>
  </si>
  <si>
    <t>Implementar 1 Procedimiento  de ejecución de respuesta a emergencias</t>
  </si>
  <si>
    <t>Número de procedimientos de respuesta a emergencias elaborados</t>
  </si>
  <si>
    <t xml:space="preserve"> - Acompañar a la oficina y Departamento en la formulación e/o implementación de las propuestas, políticas, estrategias, instrumentos (o los que se consideren pertinentes), para la gestión de emergencias en el Departamento del Cauca.
 - Asistir y participar en las reuniones, puestos de mando unificado, capacitaciones, foros, jornadas de sensibilización y demás actividades a las cuales sea designado por la entidad y sean inherentes al cumplimiento del componente de Manejo de Desastres.</t>
  </si>
  <si>
    <t xml:space="preserve">Implementar 1 Sala de Crisis para la gestión del riesgo </t>
  </si>
  <si>
    <t>Número de salas de Crisis para la gestión del riesgo implementadas</t>
  </si>
  <si>
    <r>
      <rPr>
        <b/>
        <sz val="10"/>
        <rFont val="Arial"/>
        <family val="2"/>
      </rPr>
      <t>DEPENDENCIAS DE APOYO</t>
    </r>
    <r>
      <rPr>
        <sz val="10"/>
        <rFont val="Arial"/>
        <family val="2"/>
      </rPr>
      <t xml:space="preserve">: </t>
    </r>
    <r>
      <rPr>
        <sz val="10"/>
        <rFont val="Arial"/>
        <family val="2"/>
      </rPr>
      <t xml:space="preserve">                                  </t>
    </r>
  </si>
  <si>
    <t>1. Un documento que profundice la  identificación y caracterización de escenarios de riesgo que se encuentra en el documento departamental de GR. (pdgrd- APROBADO) 
2.Un documento donde se identifique la Evaluación y priorización de las amenazas que requieren implementar el proceso de  monitoreo, seguimiento PDGRD  (APROBADO)
3. Un documento evaluado y armonizado con el PDGRD que contenga los protocolos y procedimientos de respuesta de la Estrategia Departamental de Respuesta a Emergencias – EDRE, 
4.- Un Sistema de Información para la Gestión de Riesgo de Desastres  DE Datos Espaciales implementado.
5. Una Estrategia de Comunicaciones  de las condiciones de riesgo existentes en departamento del Cauca implementada.</t>
  </si>
  <si>
    <t>1. Un documento que profundice la  identificación y caracterización de escenarios de riesgo que se encuentra en el documento departamental de GR.  
2.Un documento donde se identifique la Evaluación y priorización de las amenazas que requieren implementar el proceso de  monitoreo, seguimiento.
3. Un documento evaluado y armonizado con el PDGRD que contenga los protocolos y procedimientos de respuesta de la Estrategia Departamental de Respuesta a Emergencias – EDRE, según el análisis de los escenarios de riesgo.
4.- Un Sistema de Información para la Gestión de Riesgo de Desastres en el marco de las políticas, estándares y tecnologías de la Infraestructura Colombiana de Datos Espaciales implementado.
5. Una Estrategia de Comunicaciones  de las condiciones de riesgo existentes en departamento del Cauca implementada.</t>
  </si>
  <si>
    <t>Fortalecimiento de lo público, el buen gobierno y la participación</t>
  </si>
  <si>
    <t>Cultura ciudadana de gestión y de servicio</t>
  </si>
  <si>
    <t>Alcanzar el 60% del índice de gobierno en línea</t>
  </si>
  <si>
    <t>Porcentaje del índice de gobierno en línea alcanzado</t>
  </si>
  <si>
    <t>39.25 %</t>
  </si>
  <si>
    <t>Implementación estratégica de tecnologías de la información ti</t>
  </si>
  <si>
    <t>Impulsar el buen gobierno en la gobernación del cauca mediante las tecnologías de la información ti.</t>
  </si>
  <si>
    <t>Alcanzar el 80% de los objetivos ti para servicios de la estrategia gobierno en línea.</t>
  </si>
  <si>
    <t>Porcentaje de los objetivos ti para servicios de la estrategia gobierno en línea alcanzado</t>
  </si>
  <si>
    <t>Fortalecimiento Tecnológico de la Gobernación del Cauca</t>
  </si>
  <si>
    <t>2016-019000-0149</t>
  </si>
  <si>
    <t>Occidente</t>
  </si>
  <si>
    <t>-Capacitación Realizada.
-Transferencias de Tecnologías realizadas para el fortalecimiento de las actividades productivas.</t>
  </si>
  <si>
    <t>No se encuentra garantizado los recursos.</t>
  </si>
  <si>
    <t xml:space="preserve">Implementar en el 70% de las dependencias de la gobernación del cauca nueva red de telecomunicaciones </t>
  </si>
  <si>
    <t xml:space="preserve">Porcentaje de las dependencias de la gobernación del cauca nueva red de telecomunicaciones implementada </t>
  </si>
  <si>
    <t>Implementar el 30%  del marco de referencia de arquitectura empresarial para la gestión de las tecnologías de la información en la gobernación</t>
  </si>
  <si>
    <t xml:space="preserve">Porcentaje del marco de referencia de arquitectura empresarial para la gestión de las tecnologías de la información en la gobernación implementado </t>
  </si>
  <si>
    <t>Realizar 2 ferias de atención al ciudadano.</t>
  </si>
  <si>
    <t>Número de ferias de atención al ciudadano realizadas</t>
  </si>
  <si>
    <t>Meta cumplida.</t>
  </si>
  <si>
    <t>Ejecutar el 80 % del proyecto cauca vive digital.</t>
  </si>
  <si>
    <t>Porcentaje del proyecto vive digital ejecutado</t>
  </si>
  <si>
    <t>Proyecto Cauca vive digital</t>
  </si>
  <si>
    <t>Proyecto en proceso de formulación.</t>
  </si>
  <si>
    <t>Fortalecer el 100% de las dependencias de la administración departamental</t>
  </si>
  <si>
    <t>Porcentaje  de las dependencias  de la administración departamental fortalecidas</t>
  </si>
  <si>
    <t xml:space="preserve"> Modernización y fortalecimiento institucional</t>
  </si>
  <si>
    <t>Fortalecer  la gestión de la administración departamental para lograr mayor efectividad en la prestación de los servicios que permitan el posicionamiento del departamento</t>
  </si>
  <si>
    <t>Adecuar 4 edificaciones de propiedad de la Gobernación</t>
  </si>
  <si>
    <t>Número de edificaciones de propiedad de la Gobernación adecuadas</t>
  </si>
  <si>
    <t>RESTAURACIÓN, ADECUACIÓN Y DOTACIÓN DE LA PLANTA FÍSICA DE LA EDIFICACION UBICADA EN LA CALLE 5 NO 9-10 POPAYÁN.</t>
  </si>
  <si>
    <t>Edificaciones adecuadas</t>
  </si>
  <si>
    <t xml:space="preserve">Construir 1 planta física del archivo general del departamento </t>
  </si>
  <si>
    <t>Número de planta físicas de archivo general del departamento construidas</t>
  </si>
  <si>
    <t xml:space="preserve">Incremento </t>
  </si>
  <si>
    <t xml:space="preserve">No se tiene proyecto.
</t>
  </si>
  <si>
    <t>Reponer 10 vehículos para diez dependencias</t>
  </si>
  <si>
    <t>Número de vehículos para diez dependencias repuestos</t>
  </si>
  <si>
    <t>Meta cumplida en la vigencia del 2016</t>
  </si>
  <si>
    <t>Modernizar 132 puestos de trabajo de los servidores públicos de la gobernación</t>
  </si>
  <si>
    <t>Número de puestos de trabajo de los servidores públicos de la gobernación modernizados</t>
  </si>
  <si>
    <t xml:space="preserve">Meta cumplida </t>
  </si>
  <si>
    <t xml:space="preserve">Implementar 1 estrategia anual de visibilización y comunicación del   departamento en el ámbito Regional, Nacional e internacional </t>
  </si>
  <si>
    <t xml:space="preserve">Número de estrategias anuales de visibilización y comunicación del departamento en el ámbito Regional, Nacional e internacional implementadas </t>
  </si>
  <si>
    <t>Proyecto de Visibilización culmina a 31 de Diciembre del 2018</t>
  </si>
  <si>
    <t xml:space="preserve">Capacitar al 50% de los servidores públicos de la Gobernación en temas propios de las funciones  del cargo y del clima organizacional </t>
  </si>
  <si>
    <t xml:space="preserve">Porcentaje de los servidores públicos de la Gobernación capacitados  en temas propios de las funciones  del cargo y del clima organizacional </t>
  </si>
  <si>
    <t>DESARROLLO DEL PLAN INSTITUCIONAL DE CAPACITACIÓN PARA SERVIDORES PÚBLICOS DE LA GOBERNACIÓN DEL CAUCA PIC</t>
  </si>
  <si>
    <t>Proyecto viabilizado desde el año 2017, a la fecha no se realizado ejecución.</t>
  </si>
  <si>
    <t xml:space="preserve">Implementar 1 estrategia para el fortalecimiento de las dependencias de la administración departamental   </t>
  </si>
  <si>
    <t xml:space="preserve">Número de estrategias para el fortalecimiento de las dependencias de la administración departamental implementadas   </t>
  </si>
  <si>
    <t>Fortalecimiento Institucional</t>
  </si>
  <si>
    <t>LIDER AREA GRUPO TALENTO HUMANO</t>
  </si>
  <si>
    <t>Sanear el 70% bienes inmuebles de propiedad del Departamento.</t>
  </si>
  <si>
    <t>Porcentaje de bienes inmuebles de propiedad del Departamento saneados</t>
  </si>
  <si>
    <t>Saneamiento de bienes  inmuebles del Departamento</t>
  </si>
  <si>
    <t>Legalizar y/o titular los bienes  inmuebles de propiedad del departamento.</t>
  </si>
  <si>
    <t>Legalizar y/o titular 150 bienes inmuebles de propiedad del departamento del cauca</t>
  </si>
  <si>
    <t>Número de bienes inmuebles de propiedad del departamento del cauca legalizados y/o titulados</t>
  </si>
  <si>
    <t>FORTALECIMIENTO EN LA GESTIÓN INSTITUCIONAL DE LA SECRETARIA GENERAL  DE LA GOBERNACIÓN DEL DEPARTAMENTO DEL CAUCA</t>
  </si>
  <si>
    <t>2018003190073</t>
  </si>
  <si>
    <t>175 bienes inmuebles de propiedad del departamento del cauca legalizados y/o titulados</t>
  </si>
  <si>
    <t>Actualizar el inventario de 150 bienes inmuebles del departamento</t>
  </si>
  <si>
    <t>Número de bienes inmuebles del departamento con inventario  actualizado</t>
  </si>
  <si>
    <t>Meta cumplida - Vigencia 2017</t>
  </si>
  <si>
    <t>Alcanzar el 100% de la clasificación,  ordenación y descripción del fondo acumulado de la Gobernación</t>
  </si>
  <si>
    <t>Porcentaje de la clasificación,  ordenación y descripción del fondo acumulado de la Gobernación alcanzada</t>
  </si>
  <si>
    <t>Gestión documental</t>
  </si>
  <si>
    <t xml:space="preserve">Aplicar la normatividad vigente del archivo general de nación para lograr que   el archivo central opere  técnicamente  </t>
  </si>
  <si>
    <t>Ordenar el 33% del fondo documental acumulado de la Gobernación</t>
  </si>
  <si>
    <t>Porcentaje del fondo documental ordenado</t>
  </si>
  <si>
    <t>SECRETARIO GENERAL - LIDER GRUPO OFICINA GESTIÒN DOCUMENTAL.</t>
  </si>
  <si>
    <t>Meta cumplida</t>
  </si>
  <si>
    <t>Describir el 33 % del fondo documental acumulado en la Gobernación</t>
  </si>
  <si>
    <t>Porcentaje del fondo documental descrito</t>
  </si>
  <si>
    <t>FORTALECIMIENTO DE LOS PROCESOS DE TRASNPARENCIA Y ACCESO A LA INFORMACION EN LA GOBERNACION DEL CAUCA MEDIANTE LA INTERVENCION DE LOS FONDOS DOCUMENTALES ACUMULADOS EN EL ARCHIVO GENERAL DEL DEPARTAMENTO</t>
  </si>
  <si>
    <t>SSEPI No 2016-019000-0061</t>
  </si>
  <si>
    <t>42 Municipios del Departamento</t>
  </si>
  <si>
    <t>SECRETARIO GENERAL 
LIDER GRUPO OFICINA GESTIÒN DOCUMENTAL.</t>
  </si>
  <si>
    <t>Implementar en un 30% el sistema de gestión de la seguridad y salud en el trabajo para la Gobernación del Departamento</t>
  </si>
  <si>
    <t>Porcentaje de implementación del sistema gestión de la seguridad y salud en el trabajo para la Gobernación del Departamento implementado</t>
  </si>
  <si>
    <t>Sistema de Gestión de la Seguridad y Salud en el Trabajo.</t>
  </si>
  <si>
    <t>Mejorar las condiciones de salud y el medio ambiente de trabajo, que conlleva a la promoción y el mantenimiento del bienestar físico, mental y social de los trabajadores de la gobernación del departamento del cauca.</t>
  </si>
  <si>
    <t>Implementar 1 sistema de seguridad y salud en el trabajo para la gobernación del cauca</t>
  </si>
  <si>
    <t xml:space="preserve">Número de sistema de seguridad y salud en el trabajo para la gobernación del cauca implementados </t>
  </si>
  <si>
    <t>FORTALECIMIENTO DE LOS PROCESOS  DE GESTIÒN ORGANIZACIONAL Y DE SEGURIDAD Y SALUD EN EL TRABAJO EN LA GOBERNACIÒN DEL CAUCA.</t>
  </si>
  <si>
    <t>199,280,</t>
  </si>
  <si>
    <t>Un sistema de SST implementado</t>
  </si>
  <si>
    <t>SECRETARIO GENERAL 
LIDER GRUPO OFICINA BIENESTAR, SEGURIDAD Y SALUD EN EL TRABAJO.</t>
  </si>
  <si>
    <t>Incrementar en un 10% el resultado de evaluación del informe ejecutivo anual de control interno realizado por el  DAFP</t>
  </si>
  <si>
    <t>Porcentaje del resultado de evaluación del informe ejecutivo anual de control interno incrementado</t>
  </si>
  <si>
    <t>Actualización del sistema integrado de gestión  NTCGP1000-MECI 2014</t>
  </si>
  <si>
    <t>Implementar la ntcgp1000, en la Gobernación del cauca fortaleciendo la armonización de  MECI 2014.</t>
  </si>
  <si>
    <t>Alcanzar 77,6 puntos en la evaluación MECI realizada por el departamento administrativo de la función pública (DAFP)</t>
  </si>
  <si>
    <t xml:space="preserve">Puntaje de la evaluación MECI realizada por el departamento administrativo de la función pública (DAFP) alcanzada </t>
  </si>
  <si>
    <t xml:space="preserve"> 67,6 PUNTOS </t>
  </si>
  <si>
    <t>Sistema de Gestión actualizado.</t>
  </si>
  <si>
    <t>SECRETARIO GENERAL 
LIDER GRUPO OFICINA GESTIÒN ORGANIZACIONAL.</t>
  </si>
  <si>
    <t>Alcanzar 77  puntos en la evaluación gestión de la calidad realizada por el departamento administrativo de la función pública (DAFP)</t>
  </si>
  <si>
    <t xml:space="preserve">Puntaje  de la evaluación gestión de la calidad realizada por el departamento administrativo de la función pública (DAFP) alcanzada. </t>
  </si>
  <si>
    <t xml:space="preserve"> 67  PUNTOS </t>
  </si>
  <si>
    <t>Alcanzar 90 puntos en  la evaluación eficacia realizada por el departamento administrativo de la función pública (DAFP)</t>
  </si>
  <si>
    <t xml:space="preserve">Puntaje de la evaluación eficacia por el departamento administrativo de la función pública (DAFP) alcanzada. </t>
  </si>
  <si>
    <t xml:space="preserve"> 85 PUNTOS </t>
  </si>
  <si>
    <t>Alcanzar  66 puntos en  la evaluación efectividad por el departamento administrativo de la función pública (DAFP)</t>
  </si>
  <si>
    <t xml:space="preserve">Puntaje de la evaluación efectividad por el departamento administrativo de la función pública (DAFP) alcanzada. </t>
  </si>
  <si>
    <t>59 PUNTOS</t>
  </si>
  <si>
    <t>DEPENDENCIA RESPONSABLE: SECRETARÍA GENERAL</t>
  </si>
  <si>
    <r>
      <rPr>
        <sz val="8"/>
        <color theme="0" tint="-0.14999847407452621"/>
        <rFont val="Calibri"/>
        <family val="2"/>
        <scheme val="minor"/>
      </rPr>
      <t>.</t>
    </r>
    <r>
      <rPr>
        <sz val="8"/>
        <color theme="1"/>
        <rFont val="Calibri"/>
        <family val="2"/>
        <scheme val="minor"/>
      </rPr>
      <t>- Apoyo al Centro de Desarrollo Empresarial del Norte del Cauca, mediante la asesoría a mipymes del norte del dpto. en  temáticas de administración, emprendimiento, contabilidad,  finanzas y formulación y gestión de proyectos empresariales.
- Capacitación a unidades productivas (mipymes, asociaciones, etc.), en temáticas de emprendimiento y gestión de organizaciones, fundamentos de contabilidad y formulación y gestión de proyectos empresariales.
- Coadyuvar en la ejecución del Plan de acción de la red regional de emprendimiento del Cauca.</t>
    </r>
  </si>
  <si>
    <t>Dotación de maquinaria, instrumentos y enceres para el fortalecimiento de 12 emprendimientos y/o desarrollo empresariales.</t>
  </si>
  <si>
    <t>Laura Cristina Burbano. Técnico 06</t>
  </si>
  <si>
    <t>Laura Cristina Burbano. Técnico 07</t>
  </si>
  <si>
    <t>Laura Cristina Burbano. Técnico 08</t>
  </si>
  <si>
    <t>El presente proyecto ejecutará en el año 2019, recursos por valor de $ 269.052.750, tanto en el programa de Desarrollo turístico para la paz como en asistencia técnica y seguridad turística.
Ahora bien, para el programa de Desarrollo turístico para la paz solo se invertirán recursos por valor de : $ 153.150.500</t>
  </si>
  <si>
    <t>El presente proyecto ejecutará en el año  2019 recursos por valor de $ 269,052,750, tanto en el programa de Desarrollo turístico para la paz como en asistencia técnica y seguridad turística.
Ahora bien, para el programa de Desarrollo turístico para la paz solo se invertirán recursos por valor de : $ 153.150.500</t>
  </si>
  <si>
    <t>Adecuación de piscinas, acondicionamiento del área de restaurante, adecuación de tres cabañas y adecuación del hostal.</t>
  </si>
  <si>
    <t>Aún no se ha definido cuales son los Municipios a apoyar en proyectos de infraestructura turística ya sea en su etapa de preinversión o inversión. Existe la posibilidad de apoyar estudios y/o diseños en Municipios como: Sotará, Bolívar, Piendamó y Puracé. Los proyectos están en la etapa de estructuración.</t>
  </si>
  <si>
    <t>El proyecto beneficia directamente a los Municipios declarados con vocación turística (Popayán, Guapi, Balboa, Patía, San Sebastián, Sotará, Timbío,  Cajibío, Piendamó, Morales, Suárez, Santander de Quilichao, Caloto, Silvia, Inzá y Puracé) no obstante en la vitrina se promociona a todo el departamento del Cauca, por esa razón se registra como beneficiarios a todos los Municipios del Cauca.
Por ahora se registra un proyecto de promoción turística viabilizado para ejecutarlo en el año 2019 que permite cumplir la totalidad de las metas del cuatrienio (100%), no obstante se gestionarán nuevos proyectos de inversión en promoción turística con el presupuesto asignado de más para el año 2019 por valor de $ 120,000,000</t>
  </si>
  <si>
    <t>Javier Francisco Yanza Narváez
Secretario de Desarrollo Económico y Competitividad
Carlos Andrés López Muñoz
Líder Componente Minero</t>
  </si>
  <si>
    <t>Javier Francisco Yanza Narváez
Secretario de Desarrollo Económico y Competitividad
Carlos Andrés López Muñoz
Líder Componente Minero 
Mónica Regina Ordoñez
Ingeniera Contratista</t>
  </si>
  <si>
    <t>Javier Francisco Yanza Narváez
Secretario de Desarrollo Económico y Competitividad
Carlos Andrés López Muñoz
Líder Componente Minero
Samir Fabara
Ingeniero Contratista</t>
  </si>
  <si>
    <t>Norte, sur, oriente, macizo, centro, pie de monte amazónico</t>
  </si>
  <si>
    <t>Juan Carlos Maya Feijoo
Secretario de Desarrollo Económico y Competitividad
Víctor Manuel Meza 
Líder Componente Minero</t>
  </si>
  <si>
    <t xml:space="preserve">Implementación de modelos de gestión y de procesos ambientalmente sostenibles en la ejecución de actividades mineras auríferas en el departamento del Cauca. </t>
  </si>
  <si>
    <t>Suarez, Buenos Aires, Santander de Quilichao, morales, Cajibio, y demás Municipios involucrados en la pequeña minería</t>
  </si>
  <si>
    <t xml:space="preserve">Población dedicada a la pequeña minera y minería artesanal en la región y municipios interesados del Cauca.
No. de Beneficiados
  </t>
  </si>
  <si>
    <t>Javier Francisco Yanza Narváez
Secretario de Desarrollo Económico y Competitividad
Carlos Andrés López Muñoz
Líder Componente Minero
Víctor Manuel Meza
Ingeniero Contratista</t>
  </si>
  <si>
    <t>El proyecto ya esta estructurado, sin embargo, de acuerdo a la nueva ley de CTeI , 923 de julio de 2018, los proyectos susceptibles de financiación a través del FCTeI - SGR deberán concursar mediante convocatorias competitivas a nivel nacional. En este sentido, se está a la espera de que COLCIENCIAS realiza la convocatoria para el departamento.</t>
  </si>
  <si>
    <r>
      <rPr>
        <sz val="8"/>
        <color theme="0" tint="-0.14999847407452621"/>
        <rFont val="Calibri"/>
        <family val="2"/>
        <scheme val="minor"/>
      </rPr>
      <t>.</t>
    </r>
    <r>
      <rPr>
        <sz val="8"/>
        <color theme="1"/>
        <rFont val="Calibri"/>
        <family val="2"/>
        <scheme val="minor"/>
      </rPr>
      <t>- Realizar sesiones del CODECTI Cauca para la articulación institucional con los actores del Ecosistema regional de CTeI del departamento.
- Descentralizar el CODECTI Cauca hacia los actores municipales.</t>
    </r>
  </si>
  <si>
    <t>-Obras de Adecuación a Centros de Cómputo Realizadas.
-Redes de Datos En Funcionamiento.
-Mantenimiento Y Conservación de Equipos De Computación</t>
  </si>
  <si>
    <t>Líder Oficina Gestión Tecnológica
Secretario General</t>
  </si>
  <si>
    <t>No están garantizado los recursos por parte del área financiera.</t>
  </si>
  <si>
    <t>Porcentaje de renovación de los equipos informáticos de la Entidad.
Porcentaje de disponibilidad canal de comunicaciones.
Sistemas de información implementados.</t>
  </si>
  <si>
    <t>Líder Oficina Gestión Tecnológica
Secretario General.
Secretario de Educación.
Secretario de Salud.</t>
  </si>
  <si>
    <t>No están garantizado los recursos por parte del área financiera.
Se requiere articulación efectiva con Secretaria de Educación y Secretaria de Salud, para el avance de la meta.</t>
  </si>
  <si>
    <t>Líder Oficina Gestión Tecnológica.
Secretario General.</t>
  </si>
  <si>
    <t>Líder Oficina de Bienes y Servicios.
Secretario General.
Secretario Infraestructura.</t>
  </si>
  <si>
    <t>Se Solicito el CDP para ejecutar los recursos para adecuar la edificación la antigua contraloría vigencia 2018 y no aprobado por el Despacho del Gobernador. se ajusto el proyecto para la vigencia 2019
Se solicito CDP  para adecuar los ascensores del nivel central y fue devuelto por el Despacho del Gobernador</t>
  </si>
  <si>
    <t xml:space="preserve">Líder Oficina de Bienes y Servicios.
Secretario General.
</t>
  </si>
  <si>
    <t>Líder Oficina de Prensa</t>
  </si>
  <si>
    <t xml:space="preserve">1436 Servidores Públicos de Gobernación del Cauca.
</t>
  </si>
  <si>
    <t>Líder Oficina de Bienestar
Secretario General.</t>
  </si>
  <si>
    <t>Se realiza la inversión de acuerdo a l as necesidades de las Secretarias y Oficinas Asesoras, en la contratación del Profesionales y Técnicos.</t>
  </si>
  <si>
    <t xml:space="preserve">SECRETARIO GENERAL -Dr. Gustavo Adolfo Cifuentes- Profesional Universitario- Oficina Asesora Jurídica </t>
  </si>
  <si>
    <t>Se rebajará en la identificación e inventario de 17 bienes inmuebles</t>
  </si>
  <si>
    <t xml:space="preserve">Proyecto en  la cual no se ha ejecutado en su totalidad, quedando un porcentaje,  se requiere la liquidación por parte de los supervisores e innovar. </t>
  </si>
  <si>
    <t>Se requiere del apoyo de un equipo interdisciplinario especializado, por tanto el proyecto involucra un Médico Especialista en Salud Ocupacional, una Psicóloga Especialista en Salud Ocupacional, un Fisioterapeuta Especialista en Salud Ocupacional y un Ingeniero Especialista en Higiene y Seguridad Industrial</t>
  </si>
  <si>
    <t>Se requiere de personal que tenga la idoneidad en el conocimiento relacionado.
La Oficina de Gestión Organizacional está en la transición al Modelo Integrado de Planeación y Gestión - MIPG Actualizado.</t>
  </si>
  <si>
    <t>Todos menos Popayán</t>
  </si>
  <si>
    <t>En formulación</t>
  </si>
  <si>
    <t>2250 Escolares capacitados en manejo y conservación de recursos naturales</t>
  </si>
  <si>
    <t>Almaguer, la Vega, San Sebastian, Cajibio, El Tambo, La Sierra, Piendamo, Rosas, Sotará, Timbio, Puracé, Totoró.</t>
  </si>
  <si>
    <t>Construcción de 4 plantas de procesamiento,  construcción de  8 y adecuación de 3 centros de acopio</t>
  </si>
  <si>
    <t>Construcción de secaderos</t>
  </si>
  <si>
    <t>1 Subregión</t>
  </si>
  <si>
    <t>Popayán, Almaguer, Cajibio, Caldono, El Tambo,  Jámbalo, La Vega, Morales, Patía, Piamonte, Piendamó, Puracé, Rosas, San Sebastián, Santa Rosa, Silvia, Sotará, Timbío y Totoró.</t>
  </si>
  <si>
    <t>1467 has silvopastoril, cercas eléctricas, dotación ordeño, inseminación artificial.</t>
  </si>
  <si>
    <t>Buenos Aires, Popayán, Cajibio, Puracé, Caloto, Santander De Quilichao, Guachene, Silvia, El Tambo, Timbio, Morales, Villa Rica</t>
  </si>
  <si>
    <t>Apoyo complementario a productores de aguacate, café. Leche, plátano y cacao</t>
  </si>
  <si>
    <t>En proceso de contratación</t>
  </si>
  <si>
    <t xml:space="preserve">Evento de exposición, fortalecimiento empresarial, formación en mercadeo a las organizaciones </t>
  </si>
  <si>
    <t>32 Empresas de la industria del plástico</t>
  </si>
  <si>
    <t>En revisión de solicitudes de comunidades para viabilización</t>
  </si>
  <si>
    <t>Apoyo a la formalización de predios rurales en el departamento del Cauca, capacitación en formalización de predios a 200 personas</t>
  </si>
  <si>
    <t>Popayán timbio Piendamó morales caldono Santander de Quilichao buenos aires padilla miranda rosas y mercaderes</t>
  </si>
  <si>
    <t>apoyo a la formalización de 500 predios</t>
  </si>
  <si>
    <t>Numero de  Sistemas de Abastecimiento de Agua Potable Georreferenciados.
Kilometros2 de uso de suelo actual del Depto. del Cauca Clasificada con metodología Corine Land Cover.
% de la Geodatabase Actualizada.</t>
  </si>
  <si>
    <t>Muestras analizadas</t>
  </si>
  <si>
    <t>Mejora de la asistencia técnica a pequeños productores</t>
  </si>
  <si>
    <t xml:space="preserve">7_Almaguer, Bolívar, Santander de Quilichao, Mercaderes, Cajibio, Puracé y Popayán.
</t>
  </si>
  <si>
    <t>Ordenar 4 corrientes hídricas</t>
  </si>
  <si>
    <t>Implementar estrategias para la adquisición, restauración y preservación de las áreas de importancia estratégica para recursos hídrico de las fuentes que abastecen los principales acueductos en 39 municipios del departamento del Cauca</t>
  </si>
  <si>
    <t>Población de 39 municipios</t>
  </si>
  <si>
    <t xml:space="preserve">Adquisición de bienes inmuebles </t>
  </si>
  <si>
    <t>No. de Instituciones educativas por subregión con acciones de movilización</t>
  </si>
  <si>
    <t>Son 42 municipios y se prioriza  14  I.E. (Guachene:Institucion la Cabaña, Pto Teja:I.La milagrosa, Sta Rosa IEVillalobos, Piamonte I:Epiamonte, Sotará I.E.El Crucero, Totoró IE Totoroes, Almaguer I.Enormal Sta Clara, Bolívar I.E. Sta Catalina Labovure, Páez I.E.Vallejo de Páez-I:E: José Reyes, López de Micay I:E: Paulo VI-I.E.San José Shuare, Timbiqui I.E. El Tafo, Florencia I.E. Toribio Paz moncayo, Sucre: I.E. Mariscal Sucre),  21 Municipios  Priorizados  21 :( Norte :Corinto, Guachene, Miranda, Santander de Quilichao, Puerto Tejad; Bota: Piamonte y Sta Rosa, Centro: Totoró, Sotará, Silvia, Popayán, Tambo, y Timbio; Macizo:Bolivar; Oriente :Páez, Pacifico: López de Micay y Timbiqui; Sur :Mercaderes, Florencia, Patía, Sucre y Aregelia)</t>
  </si>
  <si>
    <t xml:space="preserve">1.- Seis jornadas conmemorativas, 2 movilizaciones, una Campaña  para promocionar , visibilizar por medios masivos  de difusión, </t>
  </si>
  <si>
    <t>Elvia Roció Cuenca Bonilla (María de los Angeles Muñoz López -Coordinadora)</t>
  </si>
  <si>
    <t>Se registra este valor de acuerdo al presupuesto del 2do año, del Proyecto el cual  es  financiado con recursos de Sistema General de Regalías -SGR y recursos de gestión y cooperación internacional</t>
  </si>
  <si>
    <t>Son 42 municipios y se prioriza  14  I.E. (Guachene:Institucion la Cabaña, Pto Teja:I.La milagrosa, Sta Rosa IEVillalobos, Piamonte I:Epiamonte, Sotará I.E.El Crucero, Totoró IE Totoroes, Almaguer I.Enormal Sta Clara, Bolívar I.E. Sta Catalina Labovure, Páez I.E.Vallejo de Páez-I:E: José Reyes, López de Micay I:E: Paulo VI-I.E.San José Shuare, Timbiqui I.E. El Tafo, Florencia I.E. Toribio Paz moncayo, Sucre: I.E. Mariscal Sucre),  21 Municipios  Priorizados  21 :( Norte :Corinto, Guachene, Miranda, Santander de Quilichao, Puerto Tejad; Bota: Piamonte y Sta Rosa, Centro: Totoró, Sotará, Silvia, Popayán, Tambo, y Timbio; Macizo: Bolívar; Oriente :Páez, Pacifico: López de Micay y Timbiqui; Sur :Mercaderes, Florencia, Patía, Sucre y Argelia)</t>
  </si>
  <si>
    <t>21 Talleres Formación de Semilleros con  Comunidad Educativa,  8 talleres ciclo de formación de funcionarios de atender la denuncia violencia contra las mujeres; 2 movilizaciones y 6 eventos para promover en el entorno de las Instituciones Educativas accione basada en genero</t>
  </si>
  <si>
    <t>son 42 municipios y se prioriza los municipios restante</t>
  </si>
  <si>
    <t>5 Mil diseños de impresiones material educativo e informativos, 3 audiovisuales con duración de 5 minutos para promover las acciones de lucha contra la violencia de genero, 12 contratistas mano de obra calificada de apoyo local para la implementación de la estrategias</t>
  </si>
  <si>
    <t>2 videos audiovisuales de 5 minutos,  1000 unidad  de impresión material de difusión,  12 contratista</t>
  </si>
  <si>
    <t>Elvia Rocío Cuenca Bonilla (María de los Angeles Muñoz López -Coordinadora)</t>
  </si>
  <si>
    <t>Cuatro (4 )movilizaciones de conmemoración de fechas emblemáticas,  apoyada por 7 ctista de apoyo local</t>
  </si>
  <si>
    <t>Un Kit general dotación  funcionamiento y una (1) profesional para atención mujeres victimas</t>
  </si>
  <si>
    <t xml:space="preserve">Reuniones  de sensibilización   con las EPS, IPS, Secretaría de salud, y búsquedas de experiencias a nivel Nacional </t>
  </si>
  <si>
    <t>Fortalecimiento a la participación social y política de las Mujeres en el Departamento del cauca</t>
  </si>
  <si>
    <t>Mueres Afro Indígena, Campesinas, jóvenes Adultas (teniendo en cuenta el componente étnico y sociocultural</t>
  </si>
  <si>
    <t>Elvia Rocío Cuenca y(Tatiana Tamayo-Coordinadora</t>
  </si>
  <si>
    <t>este proyecto se ejecutara con  Recursos propios aprobados en el presupuesto del 2019 y  de Gestión de la Cooperación Internacional OIM</t>
  </si>
  <si>
    <t>Pacifico, Norte, Sur, Oriente, Occidente, Centro, Macizo</t>
  </si>
  <si>
    <t>42 Enlaces, (Mueres Afro Indígena, Campesinas, jóvenes Adultas (teniendo en cuenta el componente étnico y sociocultural)</t>
  </si>
  <si>
    <t>Dra. Elvia Rocío Cuenca (Tatiana Tamayo -Coordinadora)</t>
  </si>
  <si>
    <t>este proyecto se ejecutará con  Recursos propios aprobados en el presupuesto del 2019 y  de Gestión de la Cooperación Internacional OIM</t>
  </si>
  <si>
    <t>Apoyo Para el Empoderamiento Económico de la Mujer en el Cauca</t>
  </si>
  <si>
    <t>Mujer campesina, indígena y afro</t>
  </si>
  <si>
    <t>Nota: se encuentra en formulación</t>
  </si>
  <si>
    <t>Dra. Elvia Rocío Cuenca (Ana María Pinillos -Coordinadora</t>
  </si>
  <si>
    <t>$205 Millones es el  valor  del  proyecto II FASE  por Regalías y recursos propios una vez aprobado el proyecto cambiara en el los recursos presupuestados</t>
  </si>
  <si>
    <t>18 Mpios: Argelia ,Balboa,  Caloto, Corinto, Guachene,Guapi, Inza,Miranda , Piamonte, Popaya,Piendamo , San Sebastián, Sotará, Suares,Totoró, Tambo, Timbiqui, Timbio,</t>
  </si>
  <si>
    <t>Mujer campesina, indígena y afro ( 28 organizaciones y en total 655)</t>
  </si>
  <si>
    <t xml:space="preserve"> No.Organizaciones fortalecidas, Espacios Comerciales y mujeres formadas  en comercialización </t>
  </si>
  <si>
    <t>$2.517.135 Dos Mil Quinientos  Millones es el  valor  del  proyecto II FASE  por Regalías y recursos propios una vez aprobado el proyecto cambiara en el los recursos presupuestados</t>
  </si>
  <si>
    <t>380 (Afro, indígenas y mestizas)</t>
  </si>
  <si>
    <t>4 Jornadas de Asistencia Técnica por municipio, sobre el enfoque de genero en el acuerdo final y rutas de incidencia para la Implementación. Una asistencia técnica en el Consejo Comunitario Renacer  Negro de Timbiqui</t>
  </si>
  <si>
    <t>Dra. Elvia Rocío Cuenca (Viviana Ramírez Coordinadora)</t>
  </si>
  <si>
    <t xml:space="preserve">Los recursos propios  que se registran en la matriz, son de acuerdo al presupuesto aprobado  para el año 2019  y recursos de gestión </t>
  </si>
  <si>
    <t>Municipios del Dpto. del Cauca (localizado en Popayán)</t>
  </si>
  <si>
    <t>Dpto. del cauca</t>
  </si>
  <si>
    <t>1)Documentos de investigación.                         2)documentos de Planeación.                3) Servicio de Divulgación</t>
  </si>
  <si>
    <t>Dra. Elvia Rocío Cuenca Bonilla         (Libardo Solarte Gómez)</t>
  </si>
  <si>
    <t>Recursos de Regalías los cuales se ejecutaran 500 millones en el 2019 y 500 millones en e 2020</t>
  </si>
  <si>
    <t>Funcionarios, Funcionarias de  empresas publicas y privadas,</t>
  </si>
  <si>
    <t>Dra. Elvia Rocío Cuenca Bonilla (Coordinadora Sandra Ochoa)</t>
  </si>
  <si>
    <t>Funcionarios, Funcionarias de  empresas publicas y privadas y Universidades</t>
  </si>
  <si>
    <t>94 talleres , eventos de capacitación 42 estudiantes  secundarias, 42 docentes y 10 con estudiantes y docentes universitarios, 35 seminarios dirigido liderezas de organizaciones sociales de base (para el liderazgo)</t>
  </si>
  <si>
    <t>Dra Elvia Rocío Cuenca Bonilla (Coordinadora Sandra Ochoa)</t>
  </si>
  <si>
    <t>Proceso de capacitación, sensibilización y selección de empresas publicas y privadas para implementación del sellos de buenas prácticas</t>
  </si>
  <si>
    <t>Dra. Elvia Rocío Cuenca Bonilla (Coordinadora Jisel Pinto)</t>
  </si>
  <si>
    <t>La planeación en la OAGRD  está sujeta a la ley 1523 la cual permite modificar la planificación y la distribución presupuestal dependiendo de las necesidades .- El presupuesto subió en cada meta debido a que las cuentas de gestión del riesgo son acumulables y se re distribuyo por Gastos de Gestión.- La población objetivo en general son las personas en condición de amaneza y vulnerabilidad por fenómenos de origen natural.</t>
  </si>
  <si>
    <t xml:space="preserve">  - Dar soporte a las diferentes alcaldías del Departamento del Cauca, en los temas inherentes a la respuesta a la atención, mitigación, actuación y administración de emergencias, con base en las políticas de la y los lineamientos de la entidad y liderar las diferentes jornadas de capacitación a la ciudadanía y entidades en los temas propios de la Oficina Asesora de Gestión del Riesgo de Desastres OAGRD – Cauca.
 - Suministrar información a comunidades, instituciones y localidades según los lineamientos y políticas de la entidad y mantener actualizadas las bases de datos de la información generada en el área de respuesta en el ámbito de sus competencias.
 - Apoyar a los municipios que requieran información sobre el manejo de los datos estadísticos e información requerida para el componente de manejo de desastres.
 - Interactuar con las entidades  del Sistema Nacional y Departamental suministrando información requerida sobre datos de afectación, estadísticos, consolidados por temporadas y emergencias diarias y la actualización de la base de datos de afectación y emergencia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</si>
</sst>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 #,##0.00\ _€_-;\-* #,##0.00\ _€_-;_-* &quot;-&quot;??\ _€_-;_-@_-"/>
    <numFmt numFmtId="167" formatCode="_(&quot;$&quot;* #,##0.00_);_(&quot;$&quot;* \(#,##0.00\);_(&quot;$&quot;* &quot;-&quot;??_);_(@_)"/>
    <numFmt numFmtId="168" formatCode="_(* #,##0_);_(* \(#,##0\);_(* &quot;-&quot;??_);_(@_)"/>
    <numFmt numFmtId="169" formatCode="_ * #,##0_ ;_ * \-#,##0_ ;_ * &quot;-&quot;??_ ;_ @_ "/>
    <numFmt numFmtId="170" formatCode="&quot;$&quot;\ #,##0"/>
    <numFmt numFmtId="171" formatCode="0.000"/>
    <numFmt numFmtId="172" formatCode="_-[$$-240A]* #,##0_-;\-[$$-240A]* #,##0_-;_-[$$-240A]* &quot;-&quot;??_-;_-@_-"/>
    <numFmt numFmtId="173" formatCode="_(&quot;$&quot;\ * #,##0_);_(&quot;$&quot;\ * \(#,##0\);_(&quot;$&quot;\ * &quot;-&quot;??_);_(@_)"/>
    <numFmt numFmtId="174" formatCode="_-&quot;$&quot;* #,##0_-;\-&quot;$&quot;* #,##0_-;_-&quot;$&quot;* &quot;-&quot;_-;_-@_-"/>
    <numFmt numFmtId="175" formatCode="_-* #,##0.00_-;\-* #,##0.00_-;_-* &quot;-&quot;??_-;_-@_-"/>
    <numFmt numFmtId="176" formatCode="#,##0_ ;\-#,##0\ "/>
  </numFmts>
  <fonts count="54" x14ac:knownFonts="1">
    <font>
      <sz val="11"/>
      <color theme="1"/>
      <name val="Calibri"/>
      <family val="2"/>
      <scheme val="minor"/>
    </font>
    <font>
      <sz val="10"/>
      <color theme="1"/>
      <name val="Arial"/>
      <family val="2"/>
    </font>
    <font>
      <sz val="11"/>
      <color theme="1"/>
      <name val="Calibri"/>
      <family val="2"/>
      <scheme val="minor"/>
    </font>
    <font>
      <sz val="9"/>
      <color indexed="81"/>
      <name val="Tahoma"/>
      <family val="2"/>
    </font>
    <font>
      <sz val="11"/>
      <name val="Calibri"/>
      <family val="2"/>
      <scheme val="minor"/>
    </font>
    <font>
      <sz val="11"/>
      <color theme="1"/>
      <name val="Arial"/>
      <family val="2"/>
    </font>
    <font>
      <b/>
      <sz val="9"/>
      <color indexed="81"/>
      <name val="Tahoma"/>
      <family val="2"/>
    </font>
    <font>
      <b/>
      <sz val="11"/>
      <name val="Calibri"/>
      <family val="2"/>
      <scheme val="minor"/>
    </font>
    <font>
      <sz val="10"/>
      <name val="Calibri"/>
      <family val="2"/>
      <scheme val="minor"/>
    </font>
    <font>
      <sz val="14"/>
      <name val="Arial"/>
      <family val="2"/>
    </font>
    <font>
      <b/>
      <sz val="14"/>
      <name val="Arial"/>
      <family val="2"/>
    </font>
    <font>
      <sz val="10"/>
      <color indexed="8"/>
      <name val="Calibri"/>
      <family val="2"/>
      <scheme val="minor"/>
    </font>
    <font>
      <sz val="10"/>
      <color rgb="FF000000"/>
      <name val="Calibri"/>
      <family val="2"/>
      <scheme val="minor"/>
    </font>
    <font>
      <sz val="10"/>
      <color rgb="FFFF0000"/>
      <name val="Calibri"/>
      <family val="2"/>
      <scheme val="minor"/>
    </font>
    <font>
      <b/>
      <sz val="8"/>
      <color indexed="81"/>
      <name val="Tahoma"/>
      <family val="2"/>
    </font>
    <font>
      <sz val="8"/>
      <color indexed="81"/>
      <name val="Tahoma"/>
      <family val="2"/>
    </font>
    <font>
      <sz val="10"/>
      <color indexed="10"/>
      <name val="Arial"/>
      <family val="2"/>
    </font>
    <font>
      <sz val="10"/>
      <name val="Arial"/>
      <family val="2"/>
    </font>
    <font>
      <sz val="11"/>
      <color rgb="FF000000"/>
      <name val="Calibri"/>
      <family val="2"/>
      <scheme val="minor"/>
    </font>
    <font>
      <sz val="11"/>
      <color rgb="FF555555"/>
      <name val="Arial"/>
      <family val="2"/>
    </font>
    <font>
      <sz val="9"/>
      <color rgb="FF555555"/>
      <name val="Arial"/>
      <family val="2"/>
    </font>
    <font>
      <sz val="11"/>
      <color rgb="FF333333"/>
      <name val="Arial"/>
      <family val="2"/>
    </font>
    <font>
      <u/>
      <sz val="11"/>
      <color theme="10"/>
      <name val="Calibri"/>
      <family val="2"/>
      <scheme val="minor"/>
    </font>
    <font>
      <sz val="9"/>
      <color rgb="FF555555"/>
      <name val="Calibri"/>
      <family val="2"/>
      <scheme val="minor"/>
    </font>
    <font>
      <sz val="11"/>
      <color rgb="FFD90000"/>
      <name val="Arial"/>
      <family val="2"/>
    </font>
    <font>
      <b/>
      <sz val="11"/>
      <color theme="1"/>
      <name val="Calibri"/>
      <family val="2"/>
      <scheme val="minor"/>
    </font>
    <font>
      <sz val="11"/>
      <color rgb="FF000000"/>
      <name val="Arial"/>
      <family val="2"/>
    </font>
    <font>
      <sz val="8"/>
      <name val="Calibri"/>
      <family val="2"/>
      <scheme val="minor"/>
    </font>
    <font>
      <sz val="8"/>
      <color theme="1"/>
      <name val="Calibri"/>
      <family val="2"/>
      <scheme val="minor"/>
    </font>
    <font>
      <sz val="8"/>
      <name val="Arial"/>
      <family val="2"/>
    </font>
    <font>
      <b/>
      <sz val="8"/>
      <name val="Arial"/>
      <family val="2"/>
    </font>
    <font>
      <b/>
      <sz val="8"/>
      <name val="Calibri"/>
      <family val="2"/>
      <scheme val="minor"/>
    </font>
    <font>
      <sz val="8"/>
      <color indexed="8"/>
      <name val="Calibri"/>
      <family val="2"/>
      <scheme val="minor"/>
    </font>
    <font>
      <sz val="8"/>
      <color rgb="FF000000"/>
      <name val="Calibri"/>
      <family val="2"/>
      <scheme val="minor"/>
    </font>
    <font>
      <sz val="8"/>
      <color rgb="FFFF0000"/>
      <name val="Calibri"/>
      <family val="2"/>
      <scheme val="minor"/>
    </font>
    <font>
      <sz val="8"/>
      <color theme="0" tint="-0.14999847407452621"/>
      <name val="Calibri"/>
      <family val="2"/>
      <scheme val="minor"/>
    </font>
    <font>
      <b/>
      <sz val="14"/>
      <color theme="1"/>
      <name val="Calibri"/>
      <family val="2"/>
      <scheme val="minor"/>
    </font>
    <font>
      <b/>
      <sz val="8"/>
      <color theme="1"/>
      <name val="Calibri"/>
      <family val="2"/>
      <scheme val="minor"/>
    </font>
    <font>
      <i/>
      <sz val="8"/>
      <color theme="1"/>
      <name val="Calibri"/>
      <family val="2"/>
      <scheme val="minor"/>
    </font>
    <font>
      <sz val="11"/>
      <name val="Calibri"/>
      <family val="2"/>
    </font>
    <font>
      <sz val="12"/>
      <name val="Calibri"/>
      <family val="2"/>
    </font>
    <font>
      <sz val="10"/>
      <color theme="1"/>
      <name val="Calibri"/>
      <family val="2"/>
      <scheme val="minor"/>
    </font>
    <font>
      <sz val="14"/>
      <name val="Calibri"/>
      <family val="2"/>
      <scheme val="minor"/>
    </font>
    <font>
      <sz val="12"/>
      <name val="Calibri"/>
      <family val="2"/>
      <scheme val="minor"/>
    </font>
    <font>
      <b/>
      <sz val="12"/>
      <name val="Calibri"/>
      <family val="2"/>
      <scheme val="minor"/>
    </font>
    <font>
      <b/>
      <sz val="16"/>
      <name val="Calibri"/>
      <family val="2"/>
      <scheme val="minor"/>
    </font>
    <font>
      <sz val="12"/>
      <name val="Arial"/>
      <family val="2"/>
    </font>
    <font>
      <b/>
      <sz val="10"/>
      <name val="Arial"/>
      <family val="2"/>
    </font>
    <font>
      <u/>
      <sz val="10"/>
      <name val="Arial"/>
      <family val="2"/>
    </font>
    <font>
      <sz val="11"/>
      <name val="Arial"/>
      <family val="2"/>
    </font>
    <font>
      <sz val="10"/>
      <name val="Calibri"/>
      <family val="2"/>
    </font>
    <font>
      <b/>
      <sz val="10"/>
      <name val="Calibri"/>
      <family val="2"/>
      <scheme val="minor"/>
    </font>
    <font>
      <b/>
      <sz val="8"/>
      <color indexed="81"/>
      <name val="Tahoma"/>
    </font>
    <font>
      <sz val="8"/>
      <color indexed="81"/>
      <name val="Tahoma"/>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9900"/>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15">
    <xf numFmtId="0" fontId="0" fillId="0" borderId="0"/>
    <xf numFmtId="0" fontId="2" fillId="0" borderId="0"/>
    <xf numFmtId="43" fontId="2" fillId="0" borderId="0" applyFont="0" applyFill="0" applyBorder="0" applyAlignment="0" applyProtection="0"/>
    <xf numFmtId="42"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2"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75" fontId="2" fillId="0" borderId="0" applyFont="0" applyFill="0" applyBorder="0" applyAlignment="0" applyProtection="0"/>
  </cellStyleXfs>
  <cellXfs count="336">
    <xf numFmtId="0" fontId="0" fillId="0" borderId="0" xfId="0"/>
    <xf numFmtId="0" fontId="4" fillId="2" borderId="0" xfId="2" applyNumberFormat="1" applyFont="1" applyFill="1" applyAlignment="1">
      <alignment vertical="center"/>
    </xf>
    <xf numFmtId="0" fontId="12" fillId="4" borderId="4" xfId="2" applyNumberFormat="1" applyFont="1" applyFill="1" applyBorder="1" applyAlignment="1">
      <alignment horizontal="center" vertical="center" wrapText="1"/>
    </xf>
    <xf numFmtId="0" fontId="4" fillId="0" borderId="0" xfId="2" applyNumberFormat="1" applyFont="1" applyFill="1" applyAlignment="1">
      <alignment vertical="center"/>
    </xf>
    <xf numFmtId="0" fontId="0" fillId="0" borderId="0" xfId="2" applyNumberFormat="1" applyFont="1" applyAlignment="1">
      <alignment vertical="center"/>
    </xf>
    <xf numFmtId="0" fontId="9" fillId="0" borderId="0" xfId="0" applyFont="1" applyAlignment="1">
      <alignment horizontal="center" vertical="center"/>
    </xf>
    <xf numFmtId="3" fontId="0" fillId="0" borderId="0" xfId="0" applyNumberFormat="1" applyFill="1" applyAlignment="1">
      <alignment vertical="center"/>
    </xf>
    <xf numFmtId="0" fontId="17" fillId="0" borderId="0" xfId="0" applyFont="1" applyAlignment="1">
      <alignment horizontal="left" vertical="center"/>
    </xf>
    <xf numFmtId="0" fontId="5" fillId="0" borderId="0" xfId="2" applyNumberFormat="1" applyFont="1" applyFill="1" applyAlignment="1">
      <alignment vertical="center"/>
    </xf>
    <xf numFmtId="0" fontId="1" fillId="0" borderId="0" xfId="2" applyNumberFormat="1" applyFont="1" applyFill="1" applyBorder="1" applyAlignment="1">
      <alignment vertical="center"/>
    </xf>
    <xf numFmtId="0" fontId="0" fillId="0" borderId="0" xfId="2" applyNumberFormat="1" applyFont="1" applyFill="1" applyAlignment="1">
      <alignment vertical="center"/>
    </xf>
    <xf numFmtId="0" fontId="16" fillId="0" borderId="0" xfId="0" applyFont="1" applyFill="1" applyAlignment="1">
      <alignment vertical="center"/>
    </xf>
    <xf numFmtId="0" fontId="0" fillId="0" borderId="0" xfId="0" applyFill="1" applyAlignment="1">
      <alignment vertical="center"/>
    </xf>
    <xf numFmtId="0" fontId="8" fillId="3" borderId="4" xfId="0" applyFont="1" applyFill="1" applyBorder="1" applyAlignment="1">
      <alignment horizontal="center" vertical="center" wrapText="1"/>
    </xf>
    <xf numFmtId="0" fontId="9" fillId="0" borderId="0" xfId="0" applyFont="1" applyAlignment="1">
      <alignment horizontal="center" vertical="center"/>
    </xf>
    <xf numFmtId="0" fontId="11" fillId="3" borderId="4" xfId="0" applyFont="1" applyFill="1" applyBorder="1" applyAlignment="1">
      <alignment horizontal="center" vertical="center" wrapText="1"/>
    </xf>
    <xf numFmtId="3" fontId="0" fillId="0" borderId="0" xfId="0" applyNumberFormat="1"/>
    <xf numFmtId="0" fontId="27" fillId="2" borderId="0" xfId="2" applyNumberFormat="1" applyFont="1" applyFill="1"/>
    <xf numFmtId="0" fontId="27" fillId="2" borderId="0" xfId="2" applyNumberFormat="1" applyFont="1" applyFill="1" applyAlignment="1">
      <alignment vertical="center"/>
    </xf>
    <xf numFmtId="0" fontId="28" fillId="0" borderId="0" xfId="2" applyNumberFormat="1" applyFont="1"/>
    <xf numFmtId="0" fontId="28" fillId="0" borderId="0" xfId="2" applyNumberFormat="1" applyFont="1" applyAlignment="1">
      <alignment horizontal="center"/>
    </xf>
    <xf numFmtId="3" fontId="28" fillId="0" borderId="0" xfId="0" applyNumberFormat="1" applyFont="1"/>
    <xf numFmtId="0" fontId="29" fillId="0" borderId="0" xfId="0" applyFont="1" applyAlignment="1">
      <alignment horizontal="center"/>
    </xf>
    <xf numFmtId="0" fontId="29" fillId="0" borderId="0" xfId="0" applyFont="1" applyAlignment="1">
      <alignment horizontal="left"/>
    </xf>
    <xf numFmtId="0" fontId="27" fillId="3" borderId="4" xfId="0" applyFont="1" applyFill="1" applyBorder="1" applyAlignment="1">
      <alignment horizontal="center" vertical="center" wrapText="1"/>
    </xf>
    <xf numFmtId="0" fontId="33" fillId="4" borderId="4" xfId="2" applyNumberFormat="1" applyFont="1" applyFill="1" applyBorder="1" applyAlignment="1">
      <alignment horizontal="center" vertical="center" wrapText="1"/>
    </xf>
    <xf numFmtId="0" fontId="32" fillId="3" borderId="4" xfId="0" applyFont="1" applyFill="1" applyBorder="1" applyAlignment="1">
      <alignment horizontal="center" vertical="center" wrapText="1"/>
    </xf>
    <xf numFmtId="0" fontId="4" fillId="2" borderId="0" xfId="2" applyNumberFormat="1" applyFont="1" applyFill="1"/>
    <xf numFmtId="0" fontId="0" fillId="0" borderId="0" xfId="2" applyNumberFormat="1" applyFont="1"/>
    <xf numFmtId="0" fontId="4" fillId="2" borderId="4" xfId="2" applyNumberFormat="1" applyFont="1" applyFill="1" applyBorder="1" applyAlignment="1">
      <alignment vertical="top" wrapText="1"/>
    </xf>
    <xf numFmtId="3" fontId="0" fillId="0" borderId="0" xfId="0" applyNumberFormat="1" applyFill="1"/>
    <xf numFmtId="0" fontId="9" fillId="0" borderId="0" xfId="0" applyFont="1" applyAlignment="1">
      <alignment horizontal="center"/>
    </xf>
    <xf numFmtId="0" fontId="17" fillId="0" borderId="0" xfId="0" applyFont="1" applyAlignment="1">
      <alignment horizontal="left"/>
    </xf>
    <xf numFmtId="0" fontId="4" fillId="0" borderId="4" xfId="2" applyNumberFormat="1" applyFont="1" applyFill="1" applyBorder="1" applyAlignment="1">
      <alignment vertical="top" wrapText="1"/>
    </xf>
    <xf numFmtId="0" fontId="40" fillId="0" borderId="4" xfId="2" applyNumberFormat="1" applyFont="1" applyFill="1" applyBorder="1" applyAlignment="1">
      <alignment vertical="top" wrapText="1"/>
    </xf>
    <xf numFmtId="0" fontId="39" fillId="0" borderId="4" xfId="2" applyNumberFormat="1" applyFont="1" applyFill="1" applyBorder="1" applyAlignment="1">
      <alignment horizontal="left" vertical="top" wrapText="1"/>
    </xf>
    <xf numFmtId="0" fontId="39" fillId="0" borderId="4" xfId="2" applyNumberFormat="1" applyFont="1" applyFill="1" applyBorder="1" applyAlignment="1">
      <alignment horizontal="center" vertical="top" wrapText="1"/>
    </xf>
    <xf numFmtId="0" fontId="40" fillId="0" borderId="4" xfId="2" applyNumberFormat="1" applyFont="1" applyFill="1" applyBorder="1" applyAlignment="1">
      <alignment horizontal="center" vertical="top" wrapText="1"/>
    </xf>
    <xf numFmtId="0" fontId="39" fillId="0" borderId="4" xfId="2" applyNumberFormat="1" applyFont="1" applyFill="1" applyBorder="1" applyAlignment="1">
      <alignment vertical="top" wrapText="1"/>
    </xf>
    <xf numFmtId="3" fontId="18" fillId="0" borderId="4" xfId="0" applyNumberFormat="1" applyFont="1" applyFill="1" applyBorder="1" applyAlignment="1">
      <alignment horizontal="right" vertical="top"/>
    </xf>
    <xf numFmtId="0" fontId="4" fillId="0" borderId="4" xfId="2" applyNumberFormat="1" applyFont="1" applyFill="1" applyBorder="1" applyAlignment="1">
      <alignment horizontal="left" vertical="top" wrapText="1"/>
    </xf>
    <xf numFmtId="0" fontId="44" fillId="0" borderId="4" xfId="2" applyNumberFormat="1" applyFont="1" applyFill="1" applyBorder="1" applyAlignment="1">
      <alignment horizontal="center" vertical="top" wrapText="1"/>
    </xf>
    <xf numFmtId="3" fontId="4" fillId="0" borderId="4" xfId="0" applyNumberFormat="1" applyFont="1" applyFill="1" applyBorder="1" applyAlignment="1">
      <alignment horizontal="right" vertical="top"/>
    </xf>
    <xf numFmtId="0" fontId="4" fillId="0" borderId="4" xfId="2" applyNumberFormat="1" applyFont="1" applyFill="1" applyBorder="1" applyAlignment="1">
      <alignment horizontal="center" vertical="top" wrapText="1"/>
    </xf>
    <xf numFmtId="0" fontId="0" fillId="0" borderId="0" xfId="2" applyNumberFormat="1" applyFont="1" applyFill="1" applyBorder="1"/>
    <xf numFmtId="172" fontId="41" fillId="0" borderId="0" xfId="3" applyNumberFormat="1" applyFont="1" applyFill="1" applyBorder="1" applyAlignment="1">
      <alignment vertical="center"/>
    </xf>
    <xf numFmtId="164" fontId="0" fillId="0" borderId="0" xfId="10" applyFont="1" applyAlignment="1">
      <alignment horizontal="center" vertical="center"/>
    </xf>
    <xf numFmtId="0" fontId="4" fillId="0" borderId="1" xfId="2" applyNumberFormat="1" applyFont="1" applyFill="1" applyBorder="1" applyAlignment="1">
      <alignment vertical="top" wrapText="1"/>
    </xf>
    <xf numFmtId="0" fontId="49" fillId="0" borderId="4" xfId="2" applyNumberFormat="1" applyFont="1" applyFill="1" applyBorder="1" applyAlignment="1">
      <alignment horizontal="center" vertical="top" wrapText="1"/>
    </xf>
    <xf numFmtId="0" fontId="39" fillId="0" borderId="4" xfId="14" applyNumberFormat="1" applyFont="1" applyFill="1" applyBorder="1" applyAlignment="1">
      <alignment vertical="top" wrapText="1"/>
    </xf>
    <xf numFmtId="0" fontId="0" fillId="0" borderId="0" xfId="0" applyFill="1"/>
    <xf numFmtId="0" fontId="39" fillId="0" borderId="4" xfId="14" applyNumberFormat="1" applyFont="1" applyFill="1" applyBorder="1" applyAlignment="1">
      <alignment horizontal="left" vertical="top" wrapText="1"/>
    </xf>
    <xf numFmtId="0" fontId="39" fillId="0" borderId="4" xfId="2" applyNumberFormat="1" applyFont="1" applyFill="1" applyBorder="1" applyAlignment="1">
      <alignment horizontal="right" vertical="top" wrapText="1"/>
    </xf>
    <xf numFmtId="0" fontId="25" fillId="0" borderId="4" xfId="2" applyNumberFormat="1" applyFont="1" applyFill="1" applyBorder="1" applyAlignment="1">
      <alignment horizontal="center" vertical="top"/>
    </xf>
    <xf numFmtId="0" fontId="2" fillId="0" borderId="4" xfId="2" applyNumberFormat="1" applyFont="1" applyFill="1" applyBorder="1" applyAlignment="1">
      <alignment vertical="top"/>
    </xf>
    <xf numFmtId="0" fontId="28" fillId="0" borderId="4" xfId="2" applyNumberFormat="1" applyFont="1" applyFill="1" applyBorder="1" applyAlignment="1">
      <alignment vertical="top" wrapText="1"/>
    </xf>
    <xf numFmtId="164" fontId="2" fillId="0" borderId="4" xfId="10" applyFont="1" applyFill="1" applyBorder="1" applyAlignment="1">
      <alignment horizontal="center" vertical="top"/>
    </xf>
    <xf numFmtId="164" fontId="2" fillId="0" borderId="4" xfId="10" applyFont="1" applyFill="1" applyBorder="1" applyAlignment="1">
      <alignment vertical="top"/>
    </xf>
    <xf numFmtId="0" fontId="2" fillId="0" borderId="4" xfId="2" applyNumberFormat="1" applyFont="1" applyFill="1" applyBorder="1" applyAlignment="1">
      <alignment vertical="top" wrapText="1"/>
    </xf>
    <xf numFmtId="0" fontId="2" fillId="0" borderId="4" xfId="2" applyNumberFormat="1" applyFont="1" applyFill="1" applyBorder="1" applyAlignment="1">
      <alignment horizontal="center" vertical="top" wrapText="1"/>
    </xf>
    <xf numFmtId="3" fontId="2" fillId="0" borderId="4" xfId="2" applyNumberFormat="1" applyFont="1" applyFill="1" applyBorder="1" applyAlignment="1">
      <alignment vertical="top"/>
    </xf>
    <xf numFmtId="0" fontId="2" fillId="0" borderId="4" xfId="2" applyNumberFormat="1" applyFont="1" applyFill="1" applyBorder="1" applyAlignment="1">
      <alignment horizontal="left" vertical="top" wrapText="1"/>
    </xf>
    <xf numFmtId="0" fontId="2" fillId="0" borderId="4" xfId="2" applyNumberFormat="1" applyFont="1" applyFill="1" applyBorder="1" applyAlignment="1">
      <alignment horizontal="center" vertical="top"/>
    </xf>
    <xf numFmtId="0" fontId="2" fillId="0" borderId="1" xfId="2" applyNumberFormat="1" applyFont="1" applyFill="1" applyBorder="1" applyAlignment="1">
      <alignment vertical="top" wrapText="1"/>
    </xf>
    <xf numFmtId="174" fontId="2" fillId="0" borderId="4" xfId="2" applyNumberFormat="1" applyFont="1" applyFill="1" applyBorder="1" applyAlignment="1">
      <alignment vertical="top"/>
    </xf>
    <xf numFmtId="0" fontId="4" fillId="0" borderId="4" xfId="2" applyNumberFormat="1" applyFont="1" applyFill="1" applyBorder="1" applyAlignment="1">
      <alignment vertical="top" wrapText="1"/>
    </xf>
    <xf numFmtId="0" fontId="0" fillId="0" borderId="4" xfId="0" applyBorder="1" applyAlignment="1">
      <alignment horizontal="center" vertical="top" wrapText="1"/>
    </xf>
    <xf numFmtId="0" fontId="5" fillId="0" borderId="4" xfId="2" applyNumberFormat="1" applyFont="1" applyFill="1" applyBorder="1" applyAlignment="1">
      <alignment vertical="top" wrapText="1"/>
    </xf>
    <xf numFmtId="0" fontId="26" fillId="0" borderId="4" xfId="0" applyFont="1" applyBorder="1" applyAlignment="1">
      <alignment horizontal="right" vertical="top"/>
    </xf>
    <xf numFmtId="0" fontId="18" fillId="0" borderId="4" xfId="0" applyFont="1" applyFill="1" applyBorder="1" applyAlignment="1">
      <alignment horizontal="right" vertical="top"/>
    </xf>
    <xf numFmtId="0" fontId="5" fillId="0" borderId="4" xfId="2" applyNumberFormat="1" applyFont="1" applyFill="1" applyBorder="1" applyAlignment="1">
      <alignment vertical="top"/>
    </xf>
    <xf numFmtId="0" fontId="1" fillId="0" borderId="4" xfId="2" applyNumberFormat="1" applyFont="1" applyFill="1" applyBorder="1" applyAlignment="1">
      <alignment vertical="top" wrapText="1"/>
    </xf>
    <xf numFmtId="0" fontId="5" fillId="0" borderId="4" xfId="2" applyNumberFormat="1" applyFont="1" applyFill="1" applyBorder="1" applyAlignment="1">
      <alignment horizontal="center" vertical="top"/>
    </xf>
    <xf numFmtId="168" fontId="5" fillId="0" borderId="4" xfId="2" applyNumberFormat="1" applyFont="1" applyFill="1" applyBorder="1" applyAlignment="1">
      <alignment vertical="top"/>
    </xf>
    <xf numFmtId="168" fontId="5" fillId="0" borderId="4" xfId="2" applyNumberFormat="1" applyFont="1" applyFill="1" applyBorder="1" applyAlignment="1">
      <alignment vertical="top" wrapText="1"/>
    </xf>
    <xf numFmtId="3" fontId="4" fillId="0" borderId="4" xfId="2" applyNumberFormat="1" applyFont="1" applyFill="1" applyBorder="1" applyAlignment="1">
      <alignment horizontal="center" vertical="top" wrapText="1"/>
    </xf>
    <xf numFmtId="3" fontId="26" fillId="0" borderId="4" xfId="0" applyNumberFormat="1" applyFont="1" applyBorder="1" applyAlignment="1">
      <alignment horizontal="right" vertical="top" wrapText="1"/>
    </xf>
    <xf numFmtId="0" fontId="4" fillId="0" borderId="4" xfId="11" applyFont="1" applyFill="1" applyBorder="1" applyAlignment="1">
      <alignment vertical="top" wrapText="1"/>
    </xf>
    <xf numFmtId="1" fontId="23" fillId="0" borderId="4" xfId="0" applyNumberFormat="1" applyFont="1" applyFill="1" applyBorder="1" applyAlignment="1">
      <alignment vertical="top"/>
    </xf>
    <xf numFmtId="38" fontId="24" fillId="0" borderId="4" xfId="0" applyNumberFormat="1" applyFont="1" applyFill="1" applyBorder="1" applyAlignment="1">
      <alignment vertical="top"/>
    </xf>
    <xf numFmtId="0" fontId="21" fillId="0" borderId="4" xfId="0" applyFont="1" applyFill="1" applyBorder="1" applyAlignment="1">
      <alignment vertical="top" wrapText="1"/>
    </xf>
    <xf numFmtId="43" fontId="18" fillId="0" borderId="4" xfId="2" applyFont="1" applyFill="1" applyBorder="1" applyAlignment="1">
      <alignment horizontal="right" vertical="top"/>
    </xf>
    <xf numFmtId="3" fontId="21" fillId="0" borderId="4" xfId="0" applyNumberFormat="1" applyFont="1" applyFill="1" applyBorder="1" applyAlignment="1">
      <alignment vertical="top"/>
    </xf>
    <xf numFmtId="3" fontId="5" fillId="0" borderId="4" xfId="2" applyNumberFormat="1" applyFont="1" applyFill="1" applyBorder="1" applyAlignment="1">
      <alignment vertical="top"/>
    </xf>
    <xf numFmtId="0" fontId="8" fillId="0" borderId="4" xfId="0" applyFont="1" applyFill="1" applyBorder="1" applyAlignment="1">
      <alignment horizontal="center" vertical="top" wrapText="1"/>
    </xf>
    <xf numFmtId="1" fontId="8" fillId="0" borderId="4" xfId="0" applyNumberFormat="1" applyFont="1" applyFill="1" applyBorder="1" applyAlignment="1">
      <alignment horizontal="center" vertical="top"/>
    </xf>
    <xf numFmtId="0" fontId="12" fillId="0" borderId="4" xfId="0" applyFont="1" applyFill="1" applyBorder="1" applyAlignment="1">
      <alignment horizontal="left" vertical="top" wrapText="1"/>
    </xf>
    <xf numFmtId="3" fontId="4" fillId="0" borderId="4" xfId="0" applyNumberFormat="1" applyFont="1" applyFill="1" applyBorder="1" applyAlignment="1">
      <alignment horizontal="left" vertical="top"/>
    </xf>
    <xf numFmtId="3" fontId="18" fillId="0" borderId="4" xfId="0" applyNumberFormat="1" applyFont="1" applyFill="1" applyBorder="1" applyAlignment="1">
      <alignment horizontal="center" vertical="top" readingOrder="1"/>
    </xf>
    <xf numFmtId="1" fontId="19" fillId="0" borderId="4" xfId="0" applyNumberFormat="1" applyFont="1" applyFill="1" applyBorder="1" applyAlignment="1">
      <alignment vertical="top"/>
    </xf>
    <xf numFmtId="0" fontId="0" fillId="0" borderId="4" xfId="0" applyFill="1" applyBorder="1" applyAlignment="1">
      <alignment vertical="top" wrapText="1"/>
    </xf>
    <xf numFmtId="3" fontId="0" fillId="0" borderId="4" xfId="0" applyNumberFormat="1" applyFont="1" applyFill="1" applyBorder="1" applyAlignment="1">
      <alignment horizontal="right" vertical="top" wrapText="1"/>
    </xf>
    <xf numFmtId="0" fontId="0" fillId="0" borderId="4" xfId="0" applyFont="1" applyFill="1" applyBorder="1" applyAlignment="1">
      <alignment horizontal="left" vertical="top" wrapText="1"/>
    </xf>
    <xf numFmtId="1" fontId="5" fillId="0" borderId="4" xfId="0" applyNumberFormat="1" applyFont="1" applyFill="1" applyBorder="1" applyAlignment="1">
      <alignment vertical="top"/>
    </xf>
    <xf numFmtId="3" fontId="0" fillId="0" borderId="4" xfId="0" applyNumberFormat="1" applyFont="1" applyFill="1" applyBorder="1" applyAlignment="1">
      <alignment horizontal="left" vertical="top" wrapText="1"/>
    </xf>
    <xf numFmtId="1" fontId="5" fillId="0" borderId="4" xfId="2" applyNumberFormat="1" applyFont="1" applyFill="1" applyBorder="1" applyAlignment="1">
      <alignment vertical="top"/>
    </xf>
    <xf numFmtId="0" fontId="4" fillId="0" borderId="4" xfId="2" quotePrefix="1" applyNumberFormat="1" applyFont="1" applyFill="1" applyBorder="1" applyAlignment="1">
      <alignment horizontal="center" vertical="top" wrapText="1"/>
    </xf>
    <xf numFmtId="3" fontId="2" fillId="0" borderId="4" xfId="2" applyNumberFormat="1" applyFont="1" applyFill="1" applyBorder="1" applyAlignment="1">
      <alignment horizontal="right" vertical="top"/>
    </xf>
    <xf numFmtId="0" fontId="0" fillId="0" borderId="4" xfId="0" applyFont="1" applyFill="1" applyBorder="1" applyAlignment="1">
      <alignment horizontal="center" vertical="top" wrapText="1"/>
    </xf>
    <xf numFmtId="0" fontId="2" fillId="0" borderId="4" xfId="0" applyFont="1" applyFill="1" applyBorder="1" applyAlignment="1">
      <alignment vertical="top" wrapText="1"/>
    </xf>
    <xf numFmtId="169" fontId="2" fillId="0" borderId="4" xfId="2" applyNumberFormat="1" applyFont="1" applyFill="1" applyBorder="1" applyAlignment="1">
      <alignment vertical="top"/>
    </xf>
    <xf numFmtId="0" fontId="0" fillId="0" borderId="4" xfId="0" applyFont="1" applyFill="1" applyBorder="1" applyAlignment="1">
      <alignment vertical="top" wrapText="1"/>
    </xf>
    <xf numFmtId="1" fontId="2" fillId="0" borderId="4" xfId="0" applyNumberFormat="1" applyFont="1" applyFill="1" applyBorder="1" applyAlignment="1">
      <alignment horizontal="right" vertical="top"/>
    </xf>
    <xf numFmtId="3" fontId="4" fillId="0" borderId="4" xfId="2" quotePrefix="1" applyNumberFormat="1" applyFont="1" applyFill="1" applyBorder="1" applyAlignment="1">
      <alignment horizontal="center" vertical="top" wrapText="1"/>
    </xf>
    <xf numFmtId="9" fontId="4" fillId="0" borderId="4" xfId="2" quotePrefix="1" applyNumberFormat="1" applyFont="1" applyFill="1" applyBorder="1" applyAlignment="1">
      <alignment horizontal="center" vertical="top" wrapText="1"/>
    </xf>
    <xf numFmtId="9" fontId="0" fillId="0" borderId="4" xfId="0" applyNumberFormat="1" applyBorder="1" applyAlignment="1">
      <alignment horizontal="center" vertical="top" wrapText="1"/>
    </xf>
    <xf numFmtId="0" fontId="5" fillId="0" borderId="4" xfId="2" applyNumberFormat="1" applyFont="1" applyFill="1" applyBorder="1" applyAlignment="1">
      <alignment horizontal="center" vertical="top" wrapText="1"/>
    </xf>
    <xf numFmtId="9" fontId="26" fillId="0" borderId="4" xfId="0" applyNumberFormat="1" applyFont="1" applyBorder="1" applyAlignment="1">
      <alignment horizontal="right" vertical="top"/>
    </xf>
    <xf numFmtId="6" fontId="5" fillId="0" borderId="4" xfId="2" applyNumberFormat="1" applyFont="1" applyFill="1" applyBorder="1" applyAlignment="1">
      <alignment vertical="top"/>
    </xf>
    <xf numFmtId="3" fontId="26" fillId="0" borderId="4" xfId="0" applyNumberFormat="1" applyFont="1" applyBorder="1" applyAlignment="1">
      <alignment horizontal="right" vertical="top"/>
    </xf>
    <xf numFmtId="1" fontId="5" fillId="0" borderId="4" xfId="2" applyNumberFormat="1" applyFont="1" applyFill="1" applyBorder="1" applyAlignment="1">
      <alignment vertical="top" wrapText="1"/>
    </xf>
    <xf numFmtId="0" fontId="18" fillId="0" borderId="4" xfId="0" applyFont="1" applyFill="1" applyBorder="1" applyAlignment="1">
      <alignment horizontal="right" vertical="top" wrapText="1"/>
    </xf>
    <xf numFmtId="168" fontId="2" fillId="0" borderId="4" xfId="2" applyNumberFormat="1" applyFont="1" applyFill="1" applyBorder="1" applyAlignment="1">
      <alignment vertical="top"/>
    </xf>
    <xf numFmtId="0" fontId="4" fillId="0" borderId="4" xfId="2" applyNumberFormat="1" applyFont="1" applyFill="1" applyBorder="1" applyAlignment="1">
      <alignment horizontal="justify" vertical="top" wrapText="1"/>
    </xf>
    <xf numFmtId="9" fontId="4" fillId="0" borderId="4" xfId="2" applyNumberFormat="1" applyFont="1" applyFill="1" applyBorder="1" applyAlignment="1">
      <alignment horizontal="center" vertical="top" wrapText="1"/>
    </xf>
    <xf numFmtId="0" fontId="1" fillId="0" borderId="4" xfId="2" applyNumberFormat="1" applyFont="1" applyFill="1" applyBorder="1" applyAlignment="1">
      <alignment vertical="top"/>
    </xf>
    <xf numFmtId="0" fontId="4" fillId="0" borderId="4" xfId="2" applyNumberFormat="1" applyFont="1" applyFill="1" applyBorder="1" applyAlignment="1">
      <alignment horizontal="center" vertical="top"/>
    </xf>
    <xf numFmtId="170" fontId="18" fillId="0" borderId="4" xfId="0" applyNumberFormat="1" applyFont="1" applyFill="1" applyBorder="1" applyAlignment="1">
      <alignment horizontal="right" vertical="top"/>
    </xf>
    <xf numFmtId="1" fontId="5" fillId="0" borderId="4" xfId="2" applyNumberFormat="1" applyFont="1" applyFill="1" applyBorder="1" applyAlignment="1">
      <alignment horizontal="center" vertical="top"/>
    </xf>
    <xf numFmtId="0" fontId="5" fillId="0" borderId="4" xfId="1" applyFont="1" applyFill="1" applyBorder="1" applyAlignment="1">
      <alignment horizontal="center" vertical="top" wrapText="1"/>
    </xf>
    <xf numFmtId="169" fontId="5" fillId="0" borderId="4" xfId="8" applyNumberFormat="1" applyFont="1" applyFill="1" applyBorder="1" applyAlignment="1">
      <alignment horizontal="center" vertical="top"/>
    </xf>
    <xf numFmtId="165" fontId="2" fillId="0" borderId="4" xfId="9" applyFont="1" applyFill="1" applyBorder="1" applyAlignment="1">
      <alignment horizontal="center" vertical="top"/>
    </xf>
    <xf numFmtId="3" fontId="1" fillId="0" borderId="4" xfId="2" applyNumberFormat="1" applyFont="1" applyFill="1" applyBorder="1" applyAlignment="1">
      <alignment vertical="top"/>
    </xf>
    <xf numFmtId="168" fontId="1" fillId="0" borderId="4" xfId="2" applyNumberFormat="1" applyFont="1" applyFill="1" applyBorder="1" applyAlignment="1">
      <alignment vertical="top"/>
    </xf>
    <xf numFmtId="1" fontId="1" fillId="0" borderId="4" xfId="2" applyNumberFormat="1" applyFont="1" applyFill="1" applyBorder="1" applyAlignment="1">
      <alignment vertical="top"/>
    </xf>
    <xf numFmtId="0" fontId="4" fillId="0" borderId="4" xfId="2" applyNumberFormat="1" applyFont="1" applyFill="1" applyBorder="1" applyAlignment="1">
      <alignment horizontal="center" vertical="top"/>
    </xf>
    <xf numFmtId="0" fontId="20" fillId="0" borderId="4" xfId="0" applyFont="1" applyFill="1" applyBorder="1" applyAlignment="1">
      <alignment vertical="top" wrapText="1"/>
    </xf>
    <xf numFmtId="3" fontId="5" fillId="0" borderId="4" xfId="2" applyNumberFormat="1" applyFont="1" applyFill="1" applyBorder="1" applyAlignment="1">
      <alignment vertical="top" wrapText="1"/>
    </xf>
    <xf numFmtId="0" fontId="27" fillId="0" borderId="1" xfId="2" applyNumberFormat="1" applyFont="1" applyFill="1" applyBorder="1" applyAlignment="1">
      <alignment vertical="top" wrapText="1"/>
    </xf>
    <xf numFmtId="0" fontId="27" fillId="0" borderId="4" xfId="2" applyNumberFormat="1" applyFont="1" applyFill="1" applyBorder="1" applyAlignment="1">
      <alignment horizontal="center" vertical="top" wrapText="1"/>
    </xf>
    <xf numFmtId="0" fontId="27" fillId="0" borderId="1" xfId="2" applyNumberFormat="1" applyFont="1" applyFill="1" applyBorder="1" applyAlignment="1">
      <alignment horizontal="center" vertical="top" wrapText="1"/>
    </xf>
    <xf numFmtId="2" fontId="27" fillId="0" borderId="4" xfId="13" applyNumberFormat="1" applyFont="1" applyFill="1" applyBorder="1" applyAlignment="1">
      <alignment horizontal="center" vertical="top" wrapText="1"/>
    </xf>
    <xf numFmtId="0" fontId="28" fillId="0" borderId="4" xfId="2" applyNumberFormat="1" applyFont="1" applyFill="1" applyBorder="1" applyAlignment="1">
      <alignment horizontal="center" vertical="top" wrapText="1"/>
    </xf>
    <xf numFmtId="0" fontId="28" fillId="0" borderId="4" xfId="2" applyNumberFormat="1" applyFont="1" applyFill="1" applyBorder="1" applyAlignment="1">
      <alignment horizontal="center" vertical="top"/>
    </xf>
    <xf numFmtId="3" fontId="33" fillId="0" borderId="4" xfId="0" applyNumberFormat="1" applyFont="1" applyFill="1" applyBorder="1" applyAlignment="1">
      <alignment horizontal="center" vertical="top"/>
    </xf>
    <xf numFmtId="3" fontId="28" fillId="0" borderId="4" xfId="2" applyNumberFormat="1" applyFont="1" applyFill="1" applyBorder="1" applyAlignment="1">
      <alignment vertical="top"/>
    </xf>
    <xf numFmtId="0" fontId="28" fillId="0" borderId="4" xfId="2" applyNumberFormat="1" applyFont="1" applyFill="1" applyBorder="1" applyAlignment="1">
      <alignment vertical="top"/>
    </xf>
    <xf numFmtId="1" fontId="28" fillId="0" borderId="4" xfId="2" applyNumberFormat="1" applyFont="1" applyFill="1" applyBorder="1" applyAlignment="1">
      <alignment horizontal="center" vertical="top"/>
    </xf>
    <xf numFmtId="3" fontId="28" fillId="0" borderId="4" xfId="2" applyNumberFormat="1" applyFont="1" applyFill="1" applyBorder="1" applyAlignment="1">
      <alignment horizontal="center" vertical="top"/>
    </xf>
    <xf numFmtId="0" fontId="36" fillId="0" borderId="4" xfId="2" applyNumberFormat="1" applyFont="1" applyFill="1" applyBorder="1" applyAlignment="1">
      <alignment horizontal="center" vertical="top"/>
    </xf>
    <xf numFmtId="0" fontId="37" fillId="0" borderId="4" xfId="2" applyNumberFormat="1" applyFont="1" applyFill="1" applyBorder="1" applyAlignment="1">
      <alignment horizontal="center" vertical="top"/>
    </xf>
    <xf numFmtId="0" fontId="0" fillId="0" borderId="0" xfId="0" applyAlignment="1">
      <alignment vertical="top"/>
    </xf>
    <xf numFmtId="0" fontId="27" fillId="0" borderId="4" xfId="2" applyNumberFormat="1" applyFont="1" applyFill="1" applyBorder="1" applyAlignment="1">
      <alignment vertical="top" wrapText="1"/>
    </xf>
    <xf numFmtId="9" fontId="27" fillId="0" borderId="1" xfId="2" applyNumberFormat="1" applyFont="1" applyFill="1" applyBorder="1" applyAlignment="1">
      <alignment horizontal="center" vertical="top" wrapText="1"/>
    </xf>
    <xf numFmtId="9" fontId="27" fillId="0" borderId="4" xfId="2" applyNumberFormat="1" applyFont="1" applyFill="1" applyBorder="1" applyAlignment="1">
      <alignment horizontal="center" vertical="top" wrapText="1"/>
    </xf>
    <xf numFmtId="9" fontId="28" fillId="0" borderId="4" xfId="2" applyNumberFormat="1" applyFont="1" applyFill="1" applyBorder="1" applyAlignment="1">
      <alignment horizontal="center" vertical="top"/>
    </xf>
    <xf numFmtId="0" fontId="28" fillId="0" borderId="4" xfId="2" applyNumberFormat="1" applyFont="1" applyFill="1" applyBorder="1" applyAlignment="1">
      <alignment horizontal="left" vertical="top" wrapText="1"/>
    </xf>
    <xf numFmtId="3" fontId="28" fillId="0" borderId="4" xfId="2" applyNumberFormat="1" applyFont="1" applyFill="1" applyBorder="1" applyAlignment="1">
      <alignment horizontal="center" vertical="top" wrapText="1"/>
    </xf>
    <xf numFmtId="2" fontId="27" fillId="0" borderId="4" xfId="2" applyNumberFormat="1" applyFont="1" applyFill="1" applyBorder="1" applyAlignment="1">
      <alignment horizontal="center" vertical="top" wrapText="1"/>
    </xf>
    <xf numFmtId="168" fontId="28" fillId="0" borderId="4" xfId="2" applyNumberFormat="1" applyFont="1" applyFill="1" applyBorder="1" applyAlignment="1">
      <alignment horizontal="center" vertical="top"/>
    </xf>
    <xf numFmtId="0" fontId="27" fillId="0" borderId="2" xfId="2" applyNumberFormat="1" applyFont="1" applyFill="1" applyBorder="1" applyAlignment="1">
      <alignment vertical="top" wrapText="1"/>
    </xf>
    <xf numFmtId="171" fontId="28" fillId="0" borderId="4" xfId="2" applyNumberFormat="1" applyFont="1" applyFill="1" applyBorder="1" applyAlignment="1">
      <alignment horizontal="center" vertical="top"/>
    </xf>
    <xf numFmtId="1" fontId="28" fillId="0" borderId="4" xfId="9" applyNumberFormat="1" applyFont="1" applyFill="1" applyBorder="1" applyAlignment="1">
      <alignment horizontal="center" vertical="top"/>
    </xf>
    <xf numFmtId="0" fontId="27" fillId="0" borderId="3" xfId="2" applyNumberFormat="1" applyFont="1" applyFill="1" applyBorder="1" applyAlignment="1">
      <alignment vertical="top" wrapText="1"/>
    </xf>
    <xf numFmtId="168" fontId="28" fillId="0" borderId="4" xfId="2" applyNumberFormat="1" applyFont="1" applyFill="1" applyBorder="1" applyAlignment="1">
      <alignment vertical="top"/>
    </xf>
    <xf numFmtId="6" fontId="28" fillId="0" borderId="4" xfId="2" applyNumberFormat="1" applyFont="1" applyFill="1" applyBorder="1" applyAlignment="1">
      <alignment vertical="top"/>
    </xf>
    <xf numFmtId="3" fontId="27" fillId="0" borderId="4" xfId="2" applyNumberFormat="1" applyFont="1" applyFill="1" applyBorder="1" applyAlignment="1">
      <alignment horizontal="center" vertical="top"/>
    </xf>
    <xf numFmtId="0" fontId="28" fillId="0" borderId="1" xfId="2" applyNumberFormat="1" applyFont="1" applyFill="1" applyBorder="1" applyAlignment="1">
      <alignment horizontal="center" vertical="top" wrapText="1"/>
    </xf>
    <xf numFmtId="0" fontId="28" fillId="0" borderId="1" xfId="2" applyNumberFormat="1" applyFont="1" applyFill="1" applyBorder="1" applyAlignment="1">
      <alignment horizontal="center" vertical="top"/>
    </xf>
    <xf numFmtId="3" fontId="33" fillId="0" borderId="1" xfId="0" applyNumberFormat="1" applyFont="1" applyFill="1" applyBorder="1" applyAlignment="1">
      <alignment horizontal="center" vertical="top"/>
    </xf>
    <xf numFmtId="3" fontId="34" fillId="0" borderId="4" xfId="2" applyNumberFormat="1" applyFont="1" applyFill="1" applyBorder="1" applyAlignment="1">
      <alignment horizontal="center" vertical="top"/>
    </xf>
    <xf numFmtId="3" fontId="28" fillId="0" borderId="1" xfId="2" applyNumberFormat="1" applyFont="1" applyFill="1" applyBorder="1" applyAlignment="1">
      <alignment horizontal="center" vertical="top" wrapText="1"/>
    </xf>
    <xf numFmtId="0" fontId="34" fillId="0" borderId="4" xfId="2" applyNumberFormat="1" applyFont="1" applyFill="1" applyBorder="1" applyAlignment="1">
      <alignment vertical="top"/>
    </xf>
    <xf numFmtId="0" fontId="28" fillId="0" borderId="4" xfId="0" applyFont="1" applyFill="1" applyBorder="1" applyAlignment="1">
      <alignment vertical="top" wrapText="1"/>
    </xf>
    <xf numFmtId="0" fontId="0" fillId="0" borderId="0" xfId="2" applyNumberFormat="1" applyFont="1" applyAlignment="1">
      <alignment horizontal="center" vertical="center"/>
    </xf>
    <xf numFmtId="0" fontId="4" fillId="2" borderId="4" xfId="2" applyNumberFormat="1" applyFont="1" applyFill="1" applyBorder="1" applyAlignment="1">
      <alignment horizontal="left" vertical="top" wrapText="1"/>
    </xf>
    <xf numFmtId="0" fontId="0" fillId="2" borderId="4" xfId="2" applyNumberFormat="1" applyFont="1" applyFill="1" applyBorder="1" applyAlignment="1">
      <alignment horizontal="left" vertical="top" wrapText="1"/>
    </xf>
    <xf numFmtId="0" fontId="4" fillId="2" borderId="4" xfId="2" applyNumberFormat="1" applyFont="1" applyFill="1" applyBorder="1" applyAlignment="1">
      <alignment horizontal="center" vertical="top" wrapText="1"/>
    </xf>
    <xf numFmtId="0" fontId="8" fillId="2" borderId="4" xfId="2" applyNumberFormat="1" applyFont="1" applyFill="1" applyBorder="1" applyAlignment="1">
      <alignment horizontal="center" vertical="top" wrapText="1"/>
    </xf>
    <xf numFmtId="9" fontId="4" fillId="2" borderId="4" xfId="2" applyNumberFormat="1" applyFont="1" applyFill="1" applyBorder="1" applyAlignment="1">
      <alignment horizontal="center" vertical="top" wrapText="1"/>
    </xf>
    <xf numFmtId="9" fontId="7" fillId="2" borderId="4" xfId="2" applyNumberFormat="1" applyFont="1" applyFill="1" applyBorder="1" applyAlignment="1">
      <alignment horizontal="center" vertical="top" wrapText="1"/>
    </xf>
    <xf numFmtId="9" fontId="0" fillId="2" borderId="4" xfId="2" applyNumberFormat="1" applyFont="1" applyFill="1" applyBorder="1" applyAlignment="1">
      <alignment horizontal="center" vertical="top"/>
    </xf>
    <xf numFmtId="3" fontId="18" fillId="0" borderId="4" xfId="0" applyNumberFormat="1" applyFont="1" applyFill="1" applyBorder="1" applyAlignment="1">
      <alignment horizontal="center" vertical="top"/>
    </xf>
    <xf numFmtId="0" fontId="0" fillId="2" borderId="4" xfId="2" applyNumberFormat="1" applyFont="1" applyFill="1" applyBorder="1" applyAlignment="1">
      <alignment vertical="top"/>
    </xf>
    <xf numFmtId="0" fontId="0" fillId="2" borderId="4" xfId="2" applyNumberFormat="1" applyFont="1" applyFill="1" applyBorder="1" applyAlignment="1">
      <alignment vertical="top" wrapText="1"/>
    </xf>
    <xf numFmtId="0" fontId="0" fillId="2" borderId="4" xfId="2" applyNumberFormat="1" applyFont="1" applyFill="1" applyBorder="1" applyAlignment="1">
      <alignment horizontal="center" vertical="top" wrapText="1"/>
    </xf>
    <xf numFmtId="0" fontId="0" fillId="2" borderId="4" xfId="2" applyNumberFormat="1" applyFont="1" applyFill="1" applyBorder="1" applyAlignment="1">
      <alignment horizontal="center" vertical="top"/>
    </xf>
    <xf numFmtId="49" fontId="0" fillId="2" borderId="4" xfId="2" applyNumberFormat="1" applyFont="1" applyFill="1" applyBorder="1" applyAlignment="1">
      <alignment horizontal="justify" vertical="top" wrapText="1"/>
    </xf>
    <xf numFmtId="0" fontId="18" fillId="0" borderId="4" xfId="0" applyFont="1" applyFill="1" applyBorder="1" applyAlignment="1">
      <alignment horizontal="center" vertical="top"/>
    </xf>
    <xf numFmtId="0" fontId="7" fillId="2" borderId="4" xfId="2" applyNumberFormat="1" applyFont="1" applyFill="1" applyBorder="1" applyAlignment="1">
      <alignment horizontal="center" vertical="top" wrapText="1"/>
    </xf>
    <xf numFmtId="176" fontId="0" fillId="2" borderId="4" xfId="2" applyNumberFormat="1" applyFont="1" applyFill="1" applyBorder="1" applyAlignment="1">
      <alignment horizontal="center" vertical="top"/>
    </xf>
    <xf numFmtId="1" fontId="0" fillId="2" borderId="4" xfId="2" applyNumberFormat="1" applyFont="1" applyFill="1" applyBorder="1" applyAlignment="1">
      <alignment vertical="top"/>
    </xf>
    <xf numFmtId="176" fontId="0" fillId="2" borderId="4" xfId="2" applyNumberFormat="1" applyFont="1" applyFill="1" applyBorder="1" applyAlignment="1">
      <alignment vertical="top"/>
    </xf>
    <xf numFmtId="3" fontId="0" fillId="2" borderId="4" xfId="2" applyNumberFormat="1" applyFont="1" applyFill="1" applyBorder="1" applyAlignment="1">
      <alignment horizontal="center" vertical="top"/>
    </xf>
    <xf numFmtId="1" fontId="0" fillId="2" borderId="4" xfId="2" applyNumberFormat="1" applyFont="1" applyFill="1" applyBorder="1" applyAlignment="1">
      <alignment horizontal="center" vertical="top"/>
    </xf>
    <xf numFmtId="49" fontId="0" fillId="2" borderId="4" xfId="2" applyNumberFormat="1" applyFont="1" applyFill="1" applyBorder="1" applyAlignment="1">
      <alignment horizontal="center" vertical="top"/>
    </xf>
    <xf numFmtId="171" fontId="0" fillId="2" borderId="4" xfId="2" applyNumberFormat="1" applyFont="1" applyFill="1" applyBorder="1" applyAlignment="1">
      <alignment horizontal="center" vertical="top"/>
    </xf>
    <xf numFmtId="0" fontId="50" fillId="2"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wrapText="1"/>
    </xf>
    <xf numFmtId="0" fontId="51" fillId="2" borderId="4" xfId="2" applyNumberFormat="1" applyFont="1" applyFill="1" applyBorder="1" applyAlignment="1">
      <alignment horizontal="center" vertical="top" wrapText="1"/>
    </xf>
    <xf numFmtId="2" fontId="0" fillId="2" borderId="4" xfId="2" applyNumberFormat="1" applyFont="1" applyFill="1" applyBorder="1" applyAlignment="1">
      <alignment horizontal="center" vertical="top"/>
    </xf>
    <xf numFmtId="9" fontId="0" fillId="2" borderId="4" xfId="2" applyNumberFormat="1" applyFont="1" applyFill="1" applyBorder="1" applyAlignment="1">
      <alignment vertical="top"/>
    </xf>
    <xf numFmtId="3" fontId="18" fillId="0" borderId="4" xfId="0" applyNumberFormat="1" applyFont="1" applyFill="1" applyBorder="1" applyAlignment="1">
      <alignment horizontal="center" vertical="top"/>
    </xf>
    <xf numFmtId="0" fontId="18" fillId="0" borderId="4" xfId="0" applyFont="1" applyFill="1" applyBorder="1" applyAlignment="1">
      <alignment horizontal="center" vertical="top"/>
    </xf>
    <xf numFmtId="3" fontId="18" fillId="0" borderId="4" xfId="0" applyNumberFormat="1" applyFont="1" applyFill="1" applyBorder="1" applyAlignment="1">
      <alignment horizontal="right" vertical="top" wrapText="1"/>
    </xf>
    <xf numFmtId="0" fontId="0" fillId="0" borderId="4" xfId="0" applyFill="1" applyBorder="1" applyAlignment="1">
      <alignment horizontal="right" vertical="top" wrapText="1"/>
    </xf>
    <xf numFmtId="0" fontId="8"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4" fillId="0" borderId="4" xfId="2" applyNumberFormat="1" applyFont="1" applyFill="1" applyBorder="1" applyAlignment="1">
      <alignment vertical="top" wrapText="1"/>
    </xf>
    <xf numFmtId="0" fontId="0" fillId="0" borderId="4" xfId="0" applyFill="1" applyBorder="1" applyAlignment="1">
      <alignment vertical="top" wrapText="1"/>
    </xf>
    <xf numFmtId="0" fontId="4" fillId="0" borderId="4" xfId="2" applyNumberFormat="1" applyFont="1" applyFill="1" applyBorder="1" applyAlignment="1">
      <alignment horizontal="center" vertical="top" wrapText="1"/>
    </xf>
    <xf numFmtId="0" fontId="0" fillId="0" borderId="4" xfId="0" applyFill="1" applyBorder="1" applyAlignment="1">
      <alignment horizontal="center" vertical="top" wrapText="1"/>
    </xf>
    <xf numFmtId="0" fontId="26" fillId="0" borderId="4" xfId="0" applyFont="1" applyBorder="1" applyAlignment="1">
      <alignment horizontal="right" vertical="top" wrapText="1"/>
    </xf>
    <xf numFmtId="0" fontId="4" fillId="0" borderId="4" xfId="2" applyNumberFormat="1" applyFont="1" applyFill="1" applyBorder="1" applyAlignment="1">
      <alignment horizontal="justify" vertical="top" wrapText="1"/>
    </xf>
    <xf numFmtId="0" fontId="4" fillId="0" borderId="4" xfId="2" applyNumberFormat="1" applyFont="1" applyFill="1" applyBorder="1" applyAlignment="1">
      <alignment horizontal="center" vertical="top"/>
    </xf>
    <xf numFmtId="0" fontId="0" fillId="0" borderId="4" xfId="0" applyBorder="1" applyAlignment="1">
      <alignment horizontal="center" vertical="top" wrapText="1"/>
    </xf>
    <xf numFmtId="0" fontId="9" fillId="0" borderId="0" xfId="0" applyFont="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vertical="center"/>
    </xf>
    <xf numFmtId="0" fontId="7" fillId="3" borderId="4" xfId="2" applyNumberFormat="1" applyFont="1" applyFill="1" applyBorder="1" applyAlignment="1">
      <alignment horizontal="center" vertical="center" wrapText="1"/>
    </xf>
    <xf numFmtId="0" fontId="7" fillId="4" borderId="4" xfId="2" applyNumberFormat="1" applyFont="1" applyFill="1" applyBorder="1" applyAlignment="1">
      <alignment horizontal="center" vertical="center" wrapText="1"/>
    </xf>
    <xf numFmtId="0" fontId="17" fillId="0" borderId="0" xfId="0" applyFont="1" applyAlignment="1">
      <alignment horizontal="left" vertical="center"/>
    </xf>
    <xf numFmtId="0" fontId="16" fillId="0" borderId="0" xfId="0" applyFont="1" applyFill="1" applyAlignment="1">
      <alignment horizontal="left" vertical="center"/>
    </xf>
    <xf numFmtId="0" fontId="17" fillId="0" borderId="0" xfId="0" applyFont="1" applyFill="1" applyAlignment="1">
      <alignment horizontal="center" vertical="center"/>
    </xf>
    <xf numFmtId="0" fontId="0" fillId="0" borderId="0" xfId="0" applyFill="1" applyAlignment="1">
      <alignment horizontal="center" vertical="center"/>
    </xf>
    <xf numFmtId="0" fontId="0" fillId="0" borderId="4" xfId="0" applyBorder="1" applyAlignment="1">
      <alignment vertical="top" wrapText="1"/>
    </xf>
    <xf numFmtId="0" fontId="28" fillId="0" borderId="1" xfId="2" applyNumberFormat="1" applyFont="1" applyFill="1" applyBorder="1" applyAlignment="1">
      <alignment horizontal="center" vertical="top" wrapText="1"/>
    </xf>
    <xf numFmtId="0" fontId="28" fillId="0" borderId="3" xfId="2" applyNumberFormat="1" applyFont="1" applyFill="1" applyBorder="1" applyAlignment="1">
      <alignment horizontal="center" vertical="top" wrapText="1"/>
    </xf>
    <xf numFmtId="0" fontId="27" fillId="0" borderId="4" xfId="2" applyNumberFormat="1" applyFont="1" applyFill="1" applyBorder="1" applyAlignment="1">
      <alignment horizontal="center" vertical="top" wrapText="1"/>
    </xf>
    <xf numFmtId="6" fontId="28" fillId="0" borderId="1" xfId="2" applyNumberFormat="1" applyFont="1" applyFill="1" applyBorder="1" applyAlignment="1">
      <alignment horizontal="center" vertical="top"/>
    </xf>
    <xf numFmtId="6" fontId="28" fillId="0" borderId="2" xfId="2" applyNumberFormat="1" applyFont="1" applyFill="1" applyBorder="1" applyAlignment="1">
      <alignment horizontal="center" vertical="top"/>
    </xf>
    <xf numFmtId="6" fontId="28" fillId="0" borderId="3" xfId="2" applyNumberFormat="1" applyFont="1" applyFill="1" applyBorder="1" applyAlignment="1">
      <alignment horizontal="center" vertical="top"/>
    </xf>
    <xf numFmtId="0" fontId="27" fillId="0" borderId="1" xfId="2" applyNumberFormat="1" applyFont="1" applyFill="1" applyBorder="1" applyAlignment="1">
      <alignment horizontal="center" vertical="top" wrapText="1"/>
    </xf>
    <xf numFmtId="0" fontId="27" fillId="0" borderId="2" xfId="2" applyNumberFormat="1" applyFont="1" applyFill="1" applyBorder="1" applyAlignment="1">
      <alignment horizontal="center" vertical="top" wrapText="1"/>
    </xf>
    <xf numFmtId="0" fontId="27" fillId="0" borderId="3" xfId="2" applyNumberFormat="1" applyFont="1" applyFill="1" applyBorder="1" applyAlignment="1">
      <alignment horizontal="center" vertical="top" wrapText="1"/>
    </xf>
    <xf numFmtId="0" fontId="28" fillId="0" borderId="2" xfId="2" applyNumberFormat="1" applyFont="1" applyFill="1" applyBorder="1" applyAlignment="1">
      <alignment horizontal="center" vertical="top" wrapText="1"/>
    </xf>
    <xf numFmtId="171" fontId="28" fillId="0" borderId="1" xfId="2" applyNumberFormat="1" applyFont="1" applyFill="1" applyBorder="1" applyAlignment="1">
      <alignment horizontal="center" vertical="top"/>
    </xf>
    <xf numFmtId="171" fontId="28" fillId="0" borderId="2" xfId="2" applyNumberFormat="1" applyFont="1" applyFill="1" applyBorder="1" applyAlignment="1">
      <alignment horizontal="center" vertical="top"/>
    </xf>
    <xf numFmtId="171" fontId="28" fillId="0" borderId="3" xfId="2" applyNumberFormat="1" applyFont="1" applyFill="1" applyBorder="1" applyAlignment="1">
      <alignment horizontal="center" vertical="top"/>
    </xf>
    <xf numFmtId="0" fontId="28" fillId="0" borderId="1" xfId="2" applyNumberFormat="1" applyFont="1" applyFill="1" applyBorder="1" applyAlignment="1">
      <alignment horizontal="center" vertical="top"/>
    </xf>
    <xf numFmtId="0" fontId="28" fillId="0" borderId="3" xfId="2" applyNumberFormat="1" applyFont="1" applyFill="1" applyBorder="1" applyAlignment="1">
      <alignment horizontal="center" vertical="top"/>
    </xf>
    <xf numFmtId="3" fontId="28" fillId="0" borderId="1" xfId="2" applyNumberFormat="1" applyFont="1" applyFill="1" applyBorder="1" applyAlignment="1">
      <alignment horizontal="center" vertical="top"/>
    </xf>
    <xf numFmtId="3" fontId="28" fillId="0" borderId="3" xfId="2" applyNumberFormat="1" applyFont="1" applyFill="1" applyBorder="1" applyAlignment="1">
      <alignment horizontal="center" vertical="top"/>
    </xf>
    <xf numFmtId="1" fontId="27" fillId="0" borderId="1" xfId="13" applyNumberFormat="1" applyFont="1" applyFill="1" applyBorder="1" applyAlignment="1">
      <alignment horizontal="center" vertical="top" wrapText="1"/>
    </xf>
    <xf numFmtId="1" fontId="27" fillId="0" borderId="3" xfId="13" applyNumberFormat="1" applyFont="1" applyFill="1" applyBorder="1" applyAlignment="1">
      <alignment horizontal="center" vertical="top" wrapText="1"/>
    </xf>
    <xf numFmtId="3" fontId="33" fillId="0" borderId="1" xfId="0" applyNumberFormat="1" applyFont="1" applyFill="1" applyBorder="1" applyAlignment="1">
      <alignment horizontal="center" vertical="top"/>
    </xf>
    <xf numFmtId="3" fontId="33" fillId="0" borderId="3" xfId="0" applyNumberFormat="1" applyFont="1" applyFill="1" applyBorder="1" applyAlignment="1">
      <alignment horizontal="center" vertical="top"/>
    </xf>
    <xf numFmtId="0" fontId="32" fillId="3" borderId="1"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27" fillId="3" borderId="1"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31" fillId="4" borderId="1" xfId="2" applyNumberFormat="1" applyFont="1" applyFill="1" applyBorder="1" applyAlignment="1">
      <alignment horizontal="center" vertical="center" wrapText="1"/>
    </xf>
    <xf numFmtId="0" fontId="31" fillId="4" borderId="3" xfId="2" applyNumberFormat="1" applyFont="1" applyFill="1" applyBorder="1" applyAlignment="1">
      <alignment horizontal="center" vertical="center" wrapText="1"/>
    </xf>
    <xf numFmtId="0" fontId="31" fillId="3" borderId="1" xfId="2" applyNumberFormat="1" applyFont="1" applyFill="1" applyBorder="1" applyAlignment="1">
      <alignment horizontal="center" vertical="center" wrapText="1"/>
    </xf>
    <xf numFmtId="0" fontId="31" fillId="3" borderId="3" xfId="2" applyNumberFormat="1"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29" fillId="0" borderId="0" xfId="0" applyFont="1" applyAlignment="1">
      <alignment horizontal="left"/>
    </xf>
    <xf numFmtId="0" fontId="39" fillId="0" borderId="4" xfId="2" applyNumberFormat="1" applyFont="1" applyFill="1" applyBorder="1" applyAlignment="1">
      <alignment horizontal="center" vertical="top" wrapText="1"/>
    </xf>
    <xf numFmtId="0" fontId="40" fillId="0" borderId="4" xfId="2" applyNumberFormat="1" applyFont="1" applyFill="1" applyBorder="1" applyAlignment="1">
      <alignment horizontal="center" vertical="top" wrapText="1"/>
    </xf>
    <xf numFmtId="0" fontId="39" fillId="0" borderId="1" xfId="2" applyNumberFormat="1" applyFont="1" applyFill="1" applyBorder="1" applyAlignment="1">
      <alignment horizontal="center" vertical="top" wrapText="1"/>
    </xf>
    <xf numFmtId="0" fontId="39" fillId="0" borderId="2" xfId="2" applyNumberFormat="1" applyFont="1" applyFill="1" applyBorder="1" applyAlignment="1">
      <alignment horizontal="center" vertical="top" wrapText="1"/>
    </xf>
    <xf numFmtId="0" fontId="39" fillId="0" borderId="3" xfId="2" applyNumberFormat="1" applyFont="1" applyFill="1" applyBorder="1" applyAlignment="1">
      <alignment horizontal="center" vertical="top" wrapText="1"/>
    </xf>
    <xf numFmtId="0" fontId="4" fillId="0" borderId="1" xfId="2" applyNumberFormat="1" applyFont="1" applyFill="1" applyBorder="1" applyAlignment="1">
      <alignment horizontal="center" vertical="top" wrapText="1"/>
    </xf>
    <xf numFmtId="0" fontId="4" fillId="0" borderId="2" xfId="2" applyNumberFormat="1" applyFont="1" applyFill="1" applyBorder="1" applyAlignment="1">
      <alignment horizontal="center" vertical="top" wrapText="1"/>
    </xf>
    <xf numFmtId="0" fontId="4" fillId="0" borderId="3" xfId="2" applyNumberFormat="1" applyFont="1" applyFill="1" applyBorder="1" applyAlignment="1">
      <alignment horizontal="center" vertical="top"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39" fillId="0" borderId="4" xfId="2" applyNumberFormat="1" applyFont="1" applyFill="1" applyBorder="1" applyAlignment="1">
      <alignment horizontal="left" vertical="top"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4" borderId="1" xfId="2" applyNumberFormat="1" applyFont="1" applyFill="1" applyBorder="1" applyAlignment="1">
      <alignment horizontal="center" vertical="center" wrapText="1"/>
    </xf>
    <xf numFmtId="0" fontId="7" fillId="4" borderId="3" xfId="2" applyNumberFormat="1" applyFont="1" applyFill="1" applyBorder="1" applyAlignment="1">
      <alignment horizontal="center" vertical="center" wrapText="1"/>
    </xf>
    <xf numFmtId="0" fontId="7" fillId="3" borderId="1" xfId="2" applyNumberFormat="1" applyFont="1" applyFill="1" applyBorder="1" applyAlignment="1">
      <alignment horizontal="center" vertical="center" wrapText="1"/>
    </xf>
    <xf numFmtId="0" fontId="7" fillId="3" borderId="3" xfId="2" applyNumberFormat="1" applyFont="1" applyFill="1" applyBorder="1" applyAlignment="1">
      <alignment horizontal="center" vertical="center" wrapText="1"/>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horizontal="center"/>
    </xf>
    <xf numFmtId="0" fontId="17" fillId="0" borderId="0" xfId="0" applyFont="1" applyAlignment="1">
      <alignment horizontal="left"/>
    </xf>
    <xf numFmtId="164" fontId="8" fillId="3" borderId="1" xfId="10" applyFont="1" applyFill="1" applyBorder="1" applyAlignment="1">
      <alignment horizontal="center" vertical="center" wrapText="1"/>
    </xf>
    <xf numFmtId="164" fontId="8" fillId="3" borderId="3" xfId="10" applyFont="1" applyFill="1" applyBorder="1" applyAlignment="1">
      <alignment horizontal="center" vertical="center" wrapText="1"/>
    </xf>
    <xf numFmtId="0" fontId="4" fillId="2" borderId="4" xfId="2" applyNumberFormat="1" applyFont="1" applyFill="1" applyBorder="1" applyAlignment="1">
      <alignment horizontal="center" vertical="top" wrapText="1"/>
    </xf>
    <xf numFmtId="2" fontId="4" fillId="2" borderId="4" xfId="2" applyNumberFormat="1" applyFont="1" applyFill="1" applyBorder="1" applyAlignment="1">
      <alignment horizontal="center" vertical="top" wrapText="1"/>
    </xf>
    <xf numFmtId="169" fontId="0" fillId="0" borderId="4" xfId="2" applyNumberFormat="1" applyFont="1" applyFill="1" applyBorder="1" applyAlignment="1">
      <alignment vertical="top"/>
    </xf>
    <xf numFmtId="0" fontId="7" fillId="0" borderId="4" xfId="2" applyNumberFormat="1" applyFont="1" applyFill="1" applyBorder="1" applyAlignment="1">
      <alignment horizontal="center" vertical="top"/>
    </xf>
    <xf numFmtId="3" fontId="7" fillId="0" borderId="4" xfId="0" applyNumberFormat="1" applyFont="1" applyFill="1" applyBorder="1" applyAlignment="1">
      <alignment horizontal="center" vertical="top"/>
    </xf>
    <xf numFmtId="0" fontId="4" fillId="0" borderId="4" xfId="2" applyNumberFormat="1" applyFont="1" applyFill="1" applyBorder="1" applyAlignment="1">
      <alignment vertical="top"/>
    </xf>
    <xf numFmtId="168" fontId="7" fillId="0" borderId="4" xfId="2" applyNumberFormat="1" applyFont="1" applyFill="1" applyBorder="1" applyAlignment="1">
      <alignment horizontal="center" vertical="top"/>
    </xf>
    <xf numFmtId="172" fontId="8" fillId="0" borderId="4" xfId="3" applyNumberFormat="1" applyFont="1" applyFill="1" applyBorder="1" applyAlignment="1">
      <alignment vertical="top"/>
    </xf>
    <xf numFmtId="1" fontId="27" fillId="0" borderId="4" xfId="2" applyNumberFormat="1" applyFont="1" applyFill="1" applyBorder="1" applyAlignment="1">
      <alignment vertical="top"/>
    </xf>
    <xf numFmtId="0" fontId="7" fillId="0" borderId="4" xfId="2" applyNumberFormat="1" applyFont="1" applyFill="1" applyBorder="1" applyAlignment="1">
      <alignment vertical="top"/>
    </xf>
    <xf numFmtId="0" fontId="44" fillId="0" borderId="4" xfId="2" applyNumberFormat="1" applyFont="1" applyFill="1" applyBorder="1" applyAlignment="1">
      <alignment horizontal="center" vertical="top"/>
    </xf>
    <xf numFmtId="168" fontId="4" fillId="0" borderId="4" xfId="2" applyNumberFormat="1" applyFont="1" applyFill="1" applyBorder="1" applyAlignment="1">
      <alignment vertical="top"/>
    </xf>
    <xf numFmtId="168" fontId="7" fillId="0" borderId="4" xfId="2" applyNumberFormat="1" applyFont="1" applyFill="1" applyBorder="1" applyAlignment="1">
      <alignment vertical="top"/>
    </xf>
    <xf numFmtId="9" fontId="4" fillId="0" borderId="4" xfId="2" applyNumberFormat="1" applyFont="1" applyFill="1" applyBorder="1" applyAlignment="1">
      <alignment horizontal="center" vertical="top"/>
    </xf>
    <xf numFmtId="9" fontId="7" fillId="0" borderId="4" xfId="2" applyNumberFormat="1" applyFont="1" applyFill="1" applyBorder="1" applyAlignment="1">
      <alignment horizontal="center" vertical="top"/>
    </xf>
    <xf numFmtId="42" fontId="7" fillId="0" borderId="4" xfId="3" applyFont="1" applyFill="1" applyBorder="1" applyAlignment="1">
      <alignment vertical="top"/>
    </xf>
    <xf numFmtId="42" fontId="8" fillId="0" borderId="4" xfId="3" applyFont="1" applyFill="1" applyBorder="1" applyAlignment="1">
      <alignment vertical="top"/>
    </xf>
    <xf numFmtId="3" fontId="4" fillId="0" borderId="4" xfId="2" applyNumberFormat="1" applyFont="1" applyFill="1" applyBorder="1" applyAlignment="1">
      <alignment vertical="top"/>
    </xf>
    <xf numFmtId="3" fontId="7" fillId="0" borderId="4" xfId="2" applyNumberFormat="1" applyFont="1" applyFill="1" applyBorder="1" applyAlignment="1">
      <alignment horizontal="center" vertical="top"/>
    </xf>
    <xf numFmtId="3" fontId="4" fillId="0" borderId="4" xfId="2" applyNumberFormat="1" applyFont="1" applyFill="1" applyBorder="1" applyAlignment="1">
      <alignment horizontal="center" vertical="top"/>
    </xf>
    <xf numFmtId="42" fontId="7" fillId="0" borderId="4" xfId="3" applyFont="1" applyFill="1" applyBorder="1" applyAlignment="1">
      <alignment horizontal="center" vertical="top"/>
    </xf>
    <xf numFmtId="0" fontId="7" fillId="0" borderId="4" xfId="2" applyNumberFormat="1" applyFont="1" applyFill="1" applyBorder="1" applyAlignment="1">
      <alignment horizontal="center" vertical="top" wrapText="1"/>
    </xf>
    <xf numFmtId="42" fontId="44" fillId="0" borderId="4" xfId="3" applyFont="1" applyFill="1" applyBorder="1" applyAlignment="1">
      <alignment vertical="top"/>
    </xf>
    <xf numFmtId="1" fontId="4" fillId="0" borderId="4" xfId="2" applyNumberFormat="1" applyFont="1" applyFill="1" applyBorder="1" applyAlignment="1">
      <alignment horizontal="center" vertical="top"/>
    </xf>
    <xf numFmtId="0" fontId="42" fillId="0" borderId="4" xfId="2" applyNumberFormat="1" applyFont="1" applyFill="1" applyBorder="1" applyAlignment="1">
      <alignment horizontal="center" vertical="top" wrapText="1"/>
    </xf>
    <xf numFmtId="42" fontId="7" fillId="0" borderId="4" xfId="2" applyNumberFormat="1" applyFont="1" applyFill="1" applyBorder="1" applyAlignment="1">
      <alignment horizontal="center" vertical="top"/>
    </xf>
    <xf numFmtId="0" fontId="45" fillId="0" borderId="4" xfId="2" applyNumberFormat="1" applyFont="1" applyFill="1" applyBorder="1" applyAlignment="1">
      <alignment horizontal="center" vertical="top"/>
    </xf>
    <xf numFmtId="3" fontId="7" fillId="0" borderId="4" xfId="2" applyNumberFormat="1" applyFont="1" applyFill="1" applyBorder="1" applyAlignment="1">
      <alignment vertical="top"/>
    </xf>
    <xf numFmtId="42" fontId="4" fillId="0" borderId="4" xfId="3" applyFont="1" applyFill="1" applyBorder="1" applyAlignment="1">
      <alignment horizontal="center" vertical="top"/>
    </xf>
    <xf numFmtId="3" fontId="44" fillId="0" borderId="4" xfId="2" applyNumberFormat="1" applyFont="1" applyFill="1" applyBorder="1" applyAlignment="1">
      <alignment vertical="top" wrapText="1"/>
    </xf>
    <xf numFmtId="1" fontId="4" fillId="0" borderId="4" xfId="2" applyNumberFormat="1" applyFont="1" applyFill="1" applyBorder="1" applyAlignment="1">
      <alignment vertical="top"/>
    </xf>
    <xf numFmtId="3" fontId="4" fillId="0" borderId="4" xfId="2" applyNumberFormat="1" applyFont="1" applyFill="1" applyBorder="1" applyAlignment="1">
      <alignment vertical="top" wrapText="1"/>
    </xf>
    <xf numFmtId="173" fontId="7" fillId="0" borderId="4" xfId="12" applyNumberFormat="1" applyFont="1" applyFill="1" applyBorder="1" applyAlignment="1">
      <alignment horizontal="center" vertical="top"/>
    </xf>
    <xf numFmtId="0" fontId="43" fillId="0" borderId="4" xfId="2" applyNumberFormat="1" applyFont="1" applyFill="1" applyBorder="1" applyAlignment="1">
      <alignment horizontal="center" vertical="top" wrapText="1"/>
    </xf>
    <xf numFmtId="168" fontId="7" fillId="0" borderId="4" xfId="2" applyNumberFormat="1" applyFont="1" applyFill="1" applyBorder="1" applyAlignment="1">
      <alignment horizontal="center" vertical="top" wrapText="1"/>
    </xf>
    <xf numFmtId="3" fontId="7" fillId="0" borderId="4" xfId="0" applyNumberFormat="1" applyFont="1" applyFill="1" applyBorder="1" applyAlignment="1">
      <alignment horizontal="right" vertical="top"/>
    </xf>
    <xf numFmtId="0" fontId="46" fillId="0" borderId="4" xfId="0" applyFont="1" applyFill="1" applyBorder="1" applyAlignment="1">
      <alignment horizontal="center" vertical="top" wrapText="1"/>
    </xf>
    <xf numFmtId="42" fontId="4" fillId="0" borderId="4" xfId="2" applyNumberFormat="1" applyFont="1" applyFill="1" applyBorder="1" applyAlignment="1">
      <alignment vertical="top"/>
    </xf>
    <xf numFmtId="168" fontId="7" fillId="0" borderId="4" xfId="2" applyNumberFormat="1" applyFont="1" applyFill="1" applyBorder="1" applyAlignment="1">
      <alignment vertical="top" wrapText="1"/>
    </xf>
    <xf numFmtId="42" fontId="7" fillId="0" borderId="4" xfId="2" applyNumberFormat="1" applyFont="1" applyFill="1" applyBorder="1" applyAlignment="1">
      <alignment vertical="top"/>
    </xf>
    <xf numFmtId="3" fontId="7" fillId="0" borderId="4" xfId="0" applyNumberFormat="1" applyFont="1" applyFill="1" applyBorder="1" applyAlignment="1">
      <alignment horizontal="center" vertical="top" wrapText="1"/>
    </xf>
    <xf numFmtId="0" fontId="46" fillId="0" borderId="4" xfId="0" applyFont="1" applyFill="1" applyBorder="1" applyAlignment="1">
      <alignment vertical="top" wrapText="1"/>
    </xf>
    <xf numFmtId="0" fontId="4" fillId="3" borderId="1" xfId="2" applyNumberFormat="1" applyFont="1" applyFill="1" applyBorder="1" applyAlignment="1">
      <alignment horizontal="center" vertical="center" wrapText="1"/>
    </xf>
    <xf numFmtId="0" fontId="4" fillId="4" borderId="1" xfId="2" applyNumberFormat="1" applyFont="1" applyFill="1" applyBorder="1" applyAlignment="1">
      <alignment horizontal="center" vertical="center" wrapText="1"/>
    </xf>
    <xf numFmtId="0" fontId="4" fillId="3" borderId="3" xfId="2" applyNumberFormat="1" applyFont="1" applyFill="1" applyBorder="1" applyAlignment="1">
      <alignment horizontal="center" vertical="center" wrapText="1"/>
    </xf>
    <xf numFmtId="0" fontId="4" fillId="4" borderId="3" xfId="2" applyNumberFormat="1" applyFont="1" applyFill="1" applyBorder="1" applyAlignment="1">
      <alignment horizontal="center" vertical="center" wrapText="1"/>
    </xf>
    <xf numFmtId="0" fontId="0" fillId="0" borderId="4" xfId="2" applyNumberFormat="1" applyFont="1" applyFill="1" applyBorder="1" applyAlignment="1">
      <alignment horizontal="center" vertical="top" wrapText="1"/>
    </xf>
    <xf numFmtId="0" fontId="0" fillId="0" borderId="4" xfId="2" applyNumberFormat="1" applyFont="1" applyFill="1" applyBorder="1" applyAlignment="1">
      <alignment horizontal="left" vertical="top" wrapText="1"/>
    </xf>
  </cellXfs>
  <cellStyles count="15">
    <cellStyle name="Hipervínculo" xfId="11" builtinId="8"/>
    <cellStyle name="Millares" xfId="2" builtinId="3"/>
    <cellStyle name="Millares [0]" xfId="9" builtinId="6"/>
    <cellStyle name="Millares 2" xfId="8"/>
    <cellStyle name="Millares 3" xfId="14"/>
    <cellStyle name="Moneda" xfId="12" builtinId="4"/>
    <cellStyle name="Moneda [0]" xfId="10" builtinId="7"/>
    <cellStyle name="Moneda [0] 2" xfId="3"/>
    <cellStyle name="Moneda 2" xfId="4"/>
    <cellStyle name="Moneda 3" xfId="7"/>
    <cellStyle name="Moneda 4" xfId="6"/>
    <cellStyle name="Normal" xfId="0" builtinId="0"/>
    <cellStyle name="Normal 14" xfId="5"/>
    <cellStyle name="Normal 2" xfId="1"/>
    <cellStyle name="Porcentaje" xfId="13" builtinId="5"/>
  </cellStyles>
  <dxfs count="0"/>
  <tableStyles count="0" defaultTableStyle="TableStyleMedium2" defaultPivotStyle="PivotStyleLight16"/>
  <colors>
    <mruColors>
      <color rgb="FFFFFF00"/>
      <color rgb="FFFFFFCC"/>
      <color rgb="FFFDC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javascript:mga.projects.GetProjects.redirectCreateNewPage(true);" TargetMode="External"/><Relationship Id="rId1" Type="http://schemas.openxmlformats.org/officeDocument/2006/relationships/hyperlink" Target="javascript:mga.projects.GetProjects.redirectCreateNewPage(tru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A94"/>
  <sheetViews>
    <sheetView tabSelected="1" zoomScale="68" zoomScaleNormal="68" workbookViewId="0">
      <selection activeCell="B21" sqref="B21"/>
    </sheetView>
  </sheetViews>
  <sheetFormatPr baseColWidth="10" defaultColWidth="11.42578125" defaultRowHeight="15" x14ac:dyDescent="0.25"/>
  <cols>
    <col min="1" max="1" width="19.5703125" style="1" customWidth="1"/>
    <col min="2" max="2" width="25.42578125" style="1" customWidth="1"/>
    <col min="3" max="3" width="27.140625" style="1" customWidth="1"/>
    <col min="4" max="4" width="22.140625" style="1" customWidth="1"/>
    <col min="5" max="5" width="25.5703125" style="1" customWidth="1"/>
    <col min="6" max="6" width="24" style="1" customWidth="1"/>
    <col min="7" max="8" width="21.7109375" style="1" customWidth="1"/>
    <col min="9" max="9" width="33.140625" style="1" customWidth="1"/>
    <col min="10" max="10" width="18.85546875" style="1" customWidth="1"/>
    <col min="11" max="11" width="17.85546875" style="1" customWidth="1"/>
    <col min="12" max="12" width="19.42578125" style="1" customWidth="1"/>
    <col min="13" max="13" width="18.140625" style="4" customWidth="1"/>
    <col min="14" max="14" width="25.85546875" style="4" customWidth="1"/>
    <col min="15" max="15" width="16.140625" style="4" customWidth="1"/>
    <col min="16" max="16" width="18.5703125" style="4" customWidth="1"/>
    <col min="17" max="17" width="12.7109375" style="4" customWidth="1"/>
    <col min="18" max="22" width="11.42578125" style="4" customWidth="1"/>
    <col min="23" max="23" width="19.42578125" style="4" customWidth="1"/>
    <col min="24" max="24" width="21.42578125" style="4" customWidth="1"/>
    <col min="25" max="29" width="11.42578125" style="4" customWidth="1"/>
    <col min="30" max="30" width="12" style="4" customWidth="1"/>
    <col min="31" max="32" width="11.42578125" style="4" customWidth="1"/>
    <col min="33" max="33" width="41.5703125" style="4" customWidth="1"/>
    <col min="34" max="34" width="21.7109375" style="4" customWidth="1"/>
    <col min="35" max="35" width="31" style="4" customWidth="1"/>
    <col min="36" max="36" width="14.140625" style="4" customWidth="1"/>
    <col min="37" max="37" width="24" style="4" customWidth="1"/>
    <col min="38" max="38" width="16.7109375" style="4" customWidth="1"/>
    <col min="39" max="39" width="45.140625" style="4" customWidth="1"/>
    <col min="40" max="51" width="8.7109375" style="4" customWidth="1"/>
    <col min="52" max="52" width="17.7109375" style="4" customWidth="1"/>
    <col min="53" max="53" width="30.140625" style="4" customWidth="1"/>
    <col min="54" max="16384" width="11.42578125" style="4"/>
  </cols>
  <sheetData>
    <row r="2" spans="1:53" ht="18" x14ac:dyDescent="0.25">
      <c r="A2" s="207" t="s">
        <v>139</v>
      </c>
      <c r="B2" s="207"/>
      <c r="C2" s="207"/>
      <c r="D2" s="207"/>
      <c r="E2" s="207"/>
      <c r="F2" s="207"/>
      <c r="G2" s="207"/>
      <c r="H2" s="207"/>
      <c r="I2" s="207"/>
      <c r="J2" s="207"/>
      <c r="K2" s="207"/>
      <c r="L2" s="207"/>
    </row>
    <row r="3" spans="1:53" ht="18" x14ac:dyDescent="0.25">
      <c r="A3" s="208" t="s">
        <v>140</v>
      </c>
      <c r="B3" s="208"/>
      <c r="C3" s="208"/>
      <c r="D3" s="208"/>
      <c r="E3" s="208"/>
      <c r="F3" s="208"/>
      <c r="G3" s="208"/>
      <c r="H3" s="208"/>
      <c r="I3" s="208"/>
      <c r="J3" s="208"/>
      <c r="K3" s="208"/>
      <c r="L3" s="208"/>
    </row>
    <row r="4" spans="1:53" x14ac:dyDescent="0.25">
      <c r="A4" s="6"/>
    </row>
    <row r="5" spans="1:53" ht="18" x14ac:dyDescent="0.25">
      <c r="A5" s="209" t="s">
        <v>141</v>
      </c>
      <c r="B5" s="209"/>
      <c r="C5" s="209"/>
      <c r="D5" s="209"/>
      <c r="E5" s="209"/>
      <c r="F5" s="209"/>
      <c r="G5" s="209"/>
      <c r="H5" s="209"/>
      <c r="I5" s="209"/>
      <c r="J5" s="209"/>
      <c r="K5" s="209"/>
      <c r="L5" s="209"/>
    </row>
    <row r="6" spans="1:53" ht="18" x14ac:dyDescent="0.25">
      <c r="A6" s="207" t="s">
        <v>189</v>
      </c>
      <c r="B6" s="207"/>
      <c r="C6" s="207"/>
      <c r="D6" s="207"/>
      <c r="E6" s="207"/>
      <c r="F6" s="207"/>
      <c r="G6" s="207"/>
      <c r="H6" s="207"/>
      <c r="I6" s="207"/>
      <c r="J6" s="207"/>
      <c r="K6" s="207"/>
      <c r="L6" s="207"/>
    </row>
    <row r="7" spans="1:53" ht="18" x14ac:dyDescent="0.25">
      <c r="A7" s="5"/>
      <c r="B7" s="5"/>
      <c r="C7" s="5"/>
      <c r="D7" s="5"/>
      <c r="E7" s="5"/>
      <c r="F7" s="5"/>
      <c r="G7" s="5"/>
      <c r="H7" s="5"/>
      <c r="I7" s="5"/>
      <c r="J7" s="5"/>
      <c r="K7" s="5"/>
      <c r="L7" s="5"/>
    </row>
    <row r="8" spans="1:53" ht="18" x14ac:dyDescent="0.25">
      <c r="A8" s="5"/>
      <c r="B8" s="5"/>
      <c r="C8" s="5"/>
      <c r="D8" s="5"/>
      <c r="E8" s="5"/>
      <c r="F8" s="5"/>
      <c r="G8" s="5"/>
      <c r="H8" s="5"/>
      <c r="I8" s="5"/>
      <c r="J8" s="5"/>
      <c r="K8" s="5"/>
      <c r="L8" s="5"/>
    </row>
    <row r="9" spans="1:53" x14ac:dyDescent="0.25">
      <c r="A9" s="212" t="s">
        <v>295</v>
      </c>
      <c r="B9" s="212"/>
      <c r="C9" s="212"/>
      <c r="D9" s="212"/>
      <c r="E9" s="212"/>
      <c r="F9" s="212"/>
      <c r="G9" s="212"/>
      <c r="H9" s="212"/>
      <c r="I9" s="212"/>
      <c r="J9" s="212"/>
      <c r="K9" s="212"/>
      <c r="L9" s="212"/>
      <c r="M9" s="7"/>
    </row>
    <row r="10" spans="1:53" ht="18" x14ac:dyDescent="0.25">
      <c r="A10" s="7"/>
      <c r="B10" s="7"/>
      <c r="C10" s="7"/>
      <c r="D10" s="7"/>
      <c r="E10" s="7"/>
      <c r="F10" s="5"/>
      <c r="G10" s="5"/>
      <c r="H10" s="5"/>
      <c r="I10" s="5"/>
      <c r="J10" s="5"/>
      <c r="K10" s="5"/>
      <c r="L10" s="5"/>
      <c r="M10" s="5"/>
    </row>
    <row r="11" spans="1:53" x14ac:dyDescent="0.25">
      <c r="A11" s="212" t="s">
        <v>180</v>
      </c>
      <c r="B11" s="212"/>
      <c r="C11" s="212"/>
      <c r="D11" s="212"/>
      <c r="E11" s="212"/>
      <c r="F11" s="212"/>
      <c r="G11" s="212"/>
      <c r="H11" s="212"/>
      <c r="I11" s="212"/>
      <c r="J11" s="212"/>
      <c r="K11" s="212"/>
      <c r="L11" s="212"/>
      <c r="M11" s="7"/>
    </row>
    <row r="12" spans="1:53" ht="18" customHeight="1" x14ac:dyDescent="0.25">
      <c r="A12" s="5"/>
      <c r="B12" s="5"/>
      <c r="C12" s="5"/>
      <c r="D12" s="5"/>
      <c r="E12" s="5"/>
      <c r="F12" s="5"/>
      <c r="G12" s="5"/>
      <c r="H12" s="5"/>
      <c r="I12" s="5"/>
      <c r="J12" s="5"/>
      <c r="K12" s="5"/>
      <c r="L12" s="5"/>
    </row>
    <row r="13" spans="1:53" ht="18" customHeight="1" x14ac:dyDescent="0.25">
      <c r="A13" s="14"/>
      <c r="B13" s="14"/>
      <c r="C13" s="14"/>
      <c r="D13" s="14"/>
      <c r="E13" s="14"/>
      <c r="F13" s="14"/>
      <c r="G13" s="14"/>
      <c r="H13" s="14"/>
      <c r="I13" s="14"/>
      <c r="J13" s="14"/>
      <c r="K13" s="14"/>
      <c r="L13" s="14"/>
    </row>
    <row r="15" spans="1:53" ht="53.25" customHeight="1" x14ac:dyDescent="0.25">
      <c r="A15" s="210" t="s">
        <v>4</v>
      </c>
      <c r="B15" s="210" t="s">
        <v>5</v>
      </c>
      <c r="C15" s="211" t="s">
        <v>0</v>
      </c>
      <c r="D15" s="211" t="s">
        <v>1</v>
      </c>
      <c r="E15" s="211" t="s">
        <v>2</v>
      </c>
      <c r="F15" s="211" t="s">
        <v>3</v>
      </c>
      <c r="G15" s="211" t="s">
        <v>6</v>
      </c>
      <c r="H15" s="211" t="s">
        <v>7</v>
      </c>
      <c r="I15" s="211" t="s">
        <v>8</v>
      </c>
      <c r="J15" s="211" t="s">
        <v>9</v>
      </c>
      <c r="K15" s="211" t="s">
        <v>138</v>
      </c>
      <c r="L15" s="211" t="s">
        <v>181</v>
      </c>
      <c r="M15" s="198" t="s">
        <v>190</v>
      </c>
      <c r="N15" s="198" t="s">
        <v>8</v>
      </c>
      <c r="O15" s="198"/>
      <c r="P15" s="198" t="s">
        <v>193</v>
      </c>
      <c r="Q15" s="198" t="s">
        <v>142</v>
      </c>
      <c r="R15" s="198"/>
      <c r="S15" s="198"/>
      <c r="T15" s="198"/>
      <c r="U15" s="198"/>
      <c r="V15" s="198"/>
      <c r="W15" s="198"/>
      <c r="X15" s="198"/>
      <c r="Y15" s="198"/>
      <c r="Z15" s="198"/>
      <c r="AA15" s="198"/>
      <c r="AB15" s="198"/>
      <c r="AC15" s="198"/>
      <c r="AD15" s="198"/>
      <c r="AE15" s="198"/>
      <c r="AF15" s="198"/>
      <c r="AG15" s="198" t="s">
        <v>143</v>
      </c>
      <c r="AH15" s="198" t="s">
        <v>192</v>
      </c>
      <c r="AI15" s="198" t="s">
        <v>144</v>
      </c>
      <c r="AJ15" s="198" t="s">
        <v>170</v>
      </c>
      <c r="AK15" s="198" t="s">
        <v>145</v>
      </c>
      <c r="AL15" s="198" t="s">
        <v>196</v>
      </c>
      <c r="AM15" s="198" t="s">
        <v>146</v>
      </c>
      <c r="AN15" s="197" t="s">
        <v>184</v>
      </c>
      <c r="AO15" s="197"/>
      <c r="AP15" s="197"/>
      <c r="AQ15" s="197"/>
      <c r="AR15" s="197"/>
      <c r="AS15" s="197"/>
      <c r="AT15" s="197"/>
      <c r="AU15" s="197"/>
      <c r="AV15" s="197"/>
      <c r="AW15" s="197"/>
      <c r="AX15" s="197"/>
      <c r="AY15" s="197"/>
      <c r="AZ15" s="197" t="s">
        <v>171</v>
      </c>
      <c r="BA15" s="196" t="s">
        <v>147</v>
      </c>
    </row>
    <row r="16" spans="1:53" ht="85.5" customHeight="1" x14ac:dyDescent="0.25">
      <c r="A16" s="210"/>
      <c r="B16" s="210"/>
      <c r="C16" s="211"/>
      <c r="D16" s="211"/>
      <c r="E16" s="211"/>
      <c r="F16" s="211"/>
      <c r="G16" s="211"/>
      <c r="H16" s="211"/>
      <c r="I16" s="211"/>
      <c r="J16" s="211"/>
      <c r="K16" s="211"/>
      <c r="L16" s="211"/>
      <c r="M16" s="198"/>
      <c r="N16" s="13" t="s">
        <v>148</v>
      </c>
      <c r="O16" s="13" t="s">
        <v>191</v>
      </c>
      <c r="P16" s="198"/>
      <c r="Q16" s="2" t="s">
        <v>149</v>
      </c>
      <c r="R16" s="2" t="s">
        <v>194</v>
      </c>
      <c r="S16" s="2" t="s">
        <v>150</v>
      </c>
      <c r="T16" s="2" t="s">
        <v>151</v>
      </c>
      <c r="U16" s="2" t="s">
        <v>182</v>
      </c>
      <c r="V16" s="2" t="s">
        <v>152</v>
      </c>
      <c r="W16" s="2" t="s">
        <v>153</v>
      </c>
      <c r="X16" s="2" t="s">
        <v>154</v>
      </c>
      <c r="Y16" s="2" t="s">
        <v>155</v>
      </c>
      <c r="Z16" s="2" t="s">
        <v>156</v>
      </c>
      <c r="AA16" s="2" t="s">
        <v>183</v>
      </c>
      <c r="AB16" s="2" t="s">
        <v>195</v>
      </c>
      <c r="AC16" s="2" t="s">
        <v>157</v>
      </c>
      <c r="AD16" s="2" t="s">
        <v>158</v>
      </c>
      <c r="AE16" s="2" t="s">
        <v>159</v>
      </c>
      <c r="AF16" s="2" t="s">
        <v>160</v>
      </c>
      <c r="AG16" s="198"/>
      <c r="AH16" s="198"/>
      <c r="AI16" s="198"/>
      <c r="AJ16" s="198"/>
      <c r="AK16" s="198"/>
      <c r="AL16" s="198"/>
      <c r="AM16" s="198"/>
      <c r="AN16" s="15" t="s">
        <v>161</v>
      </c>
      <c r="AO16" s="15" t="s">
        <v>162</v>
      </c>
      <c r="AP16" s="15" t="s">
        <v>163</v>
      </c>
      <c r="AQ16" s="15" t="s">
        <v>164</v>
      </c>
      <c r="AR16" s="15" t="s">
        <v>163</v>
      </c>
      <c r="AS16" s="15" t="s">
        <v>165</v>
      </c>
      <c r="AT16" s="15" t="s">
        <v>165</v>
      </c>
      <c r="AU16" s="15" t="s">
        <v>164</v>
      </c>
      <c r="AV16" s="15" t="s">
        <v>166</v>
      </c>
      <c r="AW16" s="15" t="s">
        <v>167</v>
      </c>
      <c r="AX16" s="15" t="s">
        <v>168</v>
      </c>
      <c r="AY16" s="15" t="s">
        <v>169</v>
      </c>
      <c r="AZ16" s="197"/>
      <c r="BA16" s="196"/>
    </row>
    <row r="17" spans="1:53" s="8" customFormat="1" ht="143.25" customHeight="1" x14ac:dyDescent="0.25">
      <c r="A17" s="33" t="s">
        <v>40</v>
      </c>
      <c r="B17" s="33" t="s">
        <v>42</v>
      </c>
      <c r="C17" s="201" t="s">
        <v>43</v>
      </c>
      <c r="D17" s="201" t="s">
        <v>44</v>
      </c>
      <c r="E17" s="201">
        <v>5100</v>
      </c>
      <c r="F17" s="33" t="s">
        <v>45</v>
      </c>
      <c r="G17" s="199" t="s">
        <v>46</v>
      </c>
      <c r="H17" s="43" t="s">
        <v>47</v>
      </c>
      <c r="I17" s="43" t="s">
        <v>48</v>
      </c>
      <c r="J17" s="43">
        <v>1633</v>
      </c>
      <c r="K17" s="43" t="s">
        <v>186</v>
      </c>
      <c r="L17" s="43">
        <v>2000</v>
      </c>
      <c r="M17" s="66">
        <v>480</v>
      </c>
      <c r="N17" s="67" t="s">
        <v>48</v>
      </c>
      <c r="O17" s="68">
        <v>1520</v>
      </c>
      <c r="P17" s="69">
        <f>SUM(Q17:AF17)</f>
        <v>172500</v>
      </c>
      <c r="Q17" s="70">
        <v>75000</v>
      </c>
      <c r="R17" s="70"/>
      <c r="S17" s="70"/>
      <c r="T17" s="70"/>
      <c r="U17" s="70"/>
      <c r="V17" s="70"/>
      <c r="W17" s="70"/>
      <c r="X17" s="70"/>
      <c r="Y17" s="70"/>
      <c r="Z17" s="70"/>
      <c r="AA17" s="70"/>
      <c r="AB17" s="70"/>
      <c r="AC17" s="70"/>
      <c r="AD17" s="70">
        <v>97500</v>
      </c>
      <c r="AE17" s="70"/>
      <c r="AF17" s="70"/>
      <c r="AG17" s="71" t="s">
        <v>293</v>
      </c>
      <c r="AH17" s="67"/>
      <c r="AI17" s="67" t="s">
        <v>870</v>
      </c>
      <c r="AJ17" s="67" t="s">
        <v>197</v>
      </c>
      <c r="AK17" s="67" t="s">
        <v>198</v>
      </c>
      <c r="AL17" s="70">
        <v>97500</v>
      </c>
      <c r="AM17" s="67" t="s">
        <v>199</v>
      </c>
      <c r="AN17" s="70"/>
      <c r="AO17" s="72" t="s">
        <v>200</v>
      </c>
      <c r="AP17" s="72" t="s">
        <v>200</v>
      </c>
      <c r="AQ17" s="72" t="s">
        <v>200</v>
      </c>
      <c r="AR17" s="72" t="s">
        <v>200</v>
      </c>
      <c r="AS17" s="72" t="s">
        <v>200</v>
      </c>
      <c r="AT17" s="72" t="s">
        <v>200</v>
      </c>
      <c r="AU17" s="72" t="s">
        <v>200</v>
      </c>
      <c r="AV17" s="72" t="s">
        <v>200</v>
      </c>
      <c r="AW17" s="72" t="s">
        <v>200</v>
      </c>
      <c r="AX17" s="72" t="s">
        <v>200</v>
      </c>
      <c r="AY17" s="72" t="s">
        <v>200</v>
      </c>
      <c r="AZ17" s="67" t="s">
        <v>236</v>
      </c>
      <c r="BA17" s="70" t="s">
        <v>871</v>
      </c>
    </row>
    <row r="18" spans="1:53" s="8" customFormat="1" ht="63" customHeight="1" x14ac:dyDescent="0.25">
      <c r="A18" s="33" t="s">
        <v>40</v>
      </c>
      <c r="B18" s="33" t="s">
        <v>42</v>
      </c>
      <c r="C18" s="201"/>
      <c r="D18" s="201"/>
      <c r="E18" s="201"/>
      <c r="F18" s="33" t="s">
        <v>45</v>
      </c>
      <c r="G18" s="200"/>
      <c r="H18" s="43" t="s">
        <v>49</v>
      </c>
      <c r="I18" s="43" t="s">
        <v>50</v>
      </c>
      <c r="J18" s="43">
        <v>120</v>
      </c>
      <c r="K18" s="43" t="s">
        <v>187</v>
      </c>
      <c r="L18" s="43">
        <v>400</v>
      </c>
      <c r="M18" s="66">
        <v>0</v>
      </c>
      <c r="N18" s="43" t="s">
        <v>50</v>
      </c>
      <c r="O18" s="68">
        <v>561</v>
      </c>
      <c r="P18" s="69"/>
      <c r="Q18" s="70"/>
      <c r="R18" s="70"/>
      <c r="S18" s="70"/>
      <c r="T18" s="70"/>
      <c r="U18" s="70"/>
      <c r="V18" s="70"/>
      <c r="W18" s="70"/>
      <c r="X18" s="70"/>
      <c r="Y18" s="70"/>
      <c r="Z18" s="70"/>
      <c r="AA18" s="70"/>
      <c r="AB18" s="70"/>
      <c r="AC18" s="70"/>
      <c r="AD18" s="70"/>
      <c r="AE18" s="70"/>
      <c r="AF18" s="70"/>
      <c r="AG18" s="71"/>
      <c r="AH18" s="67"/>
      <c r="AI18" s="67"/>
      <c r="AJ18" s="67"/>
      <c r="AK18" s="67"/>
      <c r="AL18" s="70"/>
      <c r="AM18" s="67"/>
      <c r="AN18" s="67"/>
      <c r="AO18" s="70"/>
      <c r="AP18" s="70"/>
      <c r="AQ18" s="70"/>
      <c r="AR18" s="70"/>
      <c r="AS18" s="70"/>
      <c r="AT18" s="70"/>
      <c r="AU18" s="70"/>
      <c r="AV18" s="70"/>
      <c r="AW18" s="70"/>
      <c r="AX18" s="70"/>
      <c r="AY18" s="70"/>
      <c r="AZ18" s="67"/>
      <c r="BA18" s="67"/>
    </row>
    <row r="19" spans="1:53" s="8" customFormat="1" ht="124.5" customHeight="1" x14ac:dyDescent="0.25">
      <c r="A19" s="33" t="s">
        <v>40</v>
      </c>
      <c r="B19" s="33" t="s">
        <v>42</v>
      </c>
      <c r="C19" s="201"/>
      <c r="D19" s="201"/>
      <c r="E19" s="201"/>
      <c r="F19" s="33" t="s">
        <v>45</v>
      </c>
      <c r="G19" s="200"/>
      <c r="H19" s="43" t="s">
        <v>12</v>
      </c>
      <c r="I19" s="43" t="s">
        <v>51</v>
      </c>
      <c r="J19" s="43">
        <v>0</v>
      </c>
      <c r="K19" s="43" t="s">
        <v>187</v>
      </c>
      <c r="L19" s="43">
        <v>700</v>
      </c>
      <c r="M19" s="66">
        <v>22</v>
      </c>
      <c r="N19" s="43" t="s">
        <v>51</v>
      </c>
      <c r="O19" s="68">
        <v>678</v>
      </c>
      <c r="P19" s="69">
        <f>SUM(Q19:AF19)</f>
        <v>95000</v>
      </c>
      <c r="Q19" s="70"/>
      <c r="R19" s="70"/>
      <c r="S19" s="70"/>
      <c r="T19" s="70"/>
      <c r="U19" s="70"/>
      <c r="V19" s="70"/>
      <c r="W19" s="70"/>
      <c r="X19" s="70"/>
      <c r="Y19" s="70"/>
      <c r="Z19" s="70"/>
      <c r="AA19" s="70"/>
      <c r="AB19" s="70"/>
      <c r="AC19" s="70"/>
      <c r="AD19" s="70">
        <v>95000</v>
      </c>
      <c r="AE19" s="70"/>
      <c r="AF19" s="70"/>
      <c r="AG19" s="71" t="s">
        <v>293</v>
      </c>
      <c r="AH19" s="67"/>
      <c r="AI19" s="67" t="s">
        <v>870</v>
      </c>
      <c r="AJ19" s="67" t="s">
        <v>201</v>
      </c>
      <c r="AK19" s="67" t="s">
        <v>203</v>
      </c>
      <c r="AL19" s="70">
        <v>95000</v>
      </c>
      <c r="AM19" s="67" t="s">
        <v>872</v>
      </c>
      <c r="AN19" s="70"/>
      <c r="AO19" s="70" t="s">
        <v>200</v>
      </c>
      <c r="AP19" s="70" t="s">
        <v>200</v>
      </c>
      <c r="AQ19" s="70" t="s">
        <v>200</v>
      </c>
      <c r="AR19" s="70" t="s">
        <v>200</v>
      </c>
      <c r="AS19" s="70" t="s">
        <v>200</v>
      </c>
      <c r="AT19" s="70" t="s">
        <v>200</v>
      </c>
      <c r="AU19" s="70" t="s">
        <v>200</v>
      </c>
      <c r="AV19" s="70" t="s">
        <v>200</v>
      </c>
      <c r="AW19" s="70" t="s">
        <v>200</v>
      </c>
      <c r="AX19" s="70" t="s">
        <v>200</v>
      </c>
      <c r="AY19" s="70" t="s">
        <v>200</v>
      </c>
      <c r="AZ19" s="67" t="s">
        <v>236</v>
      </c>
      <c r="BA19" s="70" t="s">
        <v>871</v>
      </c>
    </row>
    <row r="20" spans="1:53" s="8" customFormat="1" ht="90" x14ac:dyDescent="0.25">
      <c r="A20" s="33" t="s">
        <v>40</v>
      </c>
      <c r="B20" s="33" t="s">
        <v>42</v>
      </c>
      <c r="C20" s="201" t="s">
        <v>52</v>
      </c>
      <c r="D20" s="201" t="s">
        <v>53</v>
      </c>
      <c r="E20" s="201">
        <v>95000</v>
      </c>
      <c r="F20" s="33" t="s">
        <v>45</v>
      </c>
      <c r="G20" s="200"/>
      <c r="H20" s="43" t="s">
        <v>10</v>
      </c>
      <c r="I20" s="43" t="s">
        <v>54</v>
      </c>
      <c r="J20" s="43">
        <v>0</v>
      </c>
      <c r="K20" s="43" t="s">
        <v>187</v>
      </c>
      <c r="L20" s="43">
        <v>20</v>
      </c>
      <c r="M20" s="66">
        <v>0</v>
      </c>
      <c r="N20" s="43" t="s">
        <v>54</v>
      </c>
      <c r="O20" s="68">
        <v>24</v>
      </c>
      <c r="P20" s="69"/>
      <c r="Q20" s="73"/>
      <c r="R20" s="70"/>
      <c r="S20" s="70"/>
      <c r="T20" s="70"/>
      <c r="U20" s="70"/>
      <c r="V20" s="70"/>
      <c r="W20" s="70"/>
      <c r="X20" s="70"/>
      <c r="Y20" s="70"/>
      <c r="Z20" s="70"/>
      <c r="AA20" s="70"/>
      <c r="AB20" s="70"/>
      <c r="AC20" s="70"/>
      <c r="AD20" s="70"/>
      <c r="AE20" s="70"/>
      <c r="AF20" s="70"/>
      <c r="AG20" s="71"/>
      <c r="AH20" s="67"/>
      <c r="AI20" s="67"/>
      <c r="AJ20" s="67"/>
      <c r="AK20" s="67"/>
      <c r="AL20" s="73"/>
      <c r="AM20" s="74"/>
      <c r="AN20" s="72"/>
      <c r="AO20" s="72"/>
      <c r="AP20" s="72"/>
      <c r="AQ20" s="72"/>
      <c r="AR20" s="72"/>
      <c r="AS20" s="72"/>
      <c r="AT20" s="72"/>
      <c r="AU20" s="72"/>
      <c r="AV20" s="72"/>
      <c r="AW20" s="72"/>
      <c r="AX20" s="72"/>
      <c r="AY20" s="72"/>
      <c r="AZ20" s="67"/>
      <c r="BA20" s="67"/>
    </row>
    <row r="21" spans="1:53" s="8" customFormat="1" ht="95.25" customHeight="1" x14ac:dyDescent="0.25">
      <c r="A21" s="33" t="s">
        <v>40</v>
      </c>
      <c r="B21" s="33" t="s">
        <v>42</v>
      </c>
      <c r="C21" s="201"/>
      <c r="D21" s="201"/>
      <c r="E21" s="201"/>
      <c r="F21" s="33" t="s">
        <v>45</v>
      </c>
      <c r="G21" s="200"/>
      <c r="H21" s="43" t="s">
        <v>13</v>
      </c>
      <c r="I21" s="43" t="s">
        <v>55</v>
      </c>
      <c r="J21" s="43">
        <v>5100</v>
      </c>
      <c r="K21" s="43" t="s">
        <v>188</v>
      </c>
      <c r="L21" s="75">
        <v>4000</v>
      </c>
      <c r="M21" s="66">
        <v>385</v>
      </c>
      <c r="N21" s="43" t="s">
        <v>55</v>
      </c>
      <c r="O21" s="76">
        <v>3615</v>
      </c>
      <c r="P21" s="69">
        <f>SUM(Q21:AF21)</f>
        <v>82000</v>
      </c>
      <c r="Q21" s="73">
        <v>82000</v>
      </c>
      <c r="R21" s="70"/>
      <c r="S21" s="70"/>
      <c r="T21" s="70"/>
      <c r="U21" s="70"/>
      <c r="V21" s="70"/>
      <c r="W21" s="70"/>
      <c r="X21" s="70"/>
      <c r="Y21" s="70"/>
      <c r="Z21" s="70"/>
      <c r="AA21" s="70"/>
      <c r="AB21" s="70"/>
      <c r="AC21" s="70"/>
      <c r="AD21" s="73"/>
      <c r="AE21" s="70"/>
      <c r="AF21" s="70"/>
      <c r="AG21" s="71" t="s">
        <v>293</v>
      </c>
      <c r="AH21" s="67"/>
      <c r="AI21" s="67" t="s">
        <v>870</v>
      </c>
      <c r="AJ21" s="67" t="s">
        <v>201</v>
      </c>
      <c r="AK21" s="67" t="s">
        <v>204</v>
      </c>
      <c r="AL21" s="73">
        <v>182000</v>
      </c>
      <c r="AM21" s="67" t="s">
        <v>205</v>
      </c>
      <c r="AN21" s="70"/>
      <c r="AO21" s="72" t="s">
        <v>200</v>
      </c>
      <c r="AP21" s="72" t="s">
        <v>200</v>
      </c>
      <c r="AQ21" s="72" t="s">
        <v>200</v>
      </c>
      <c r="AR21" s="72" t="s">
        <v>200</v>
      </c>
      <c r="AS21" s="72" t="s">
        <v>200</v>
      </c>
      <c r="AT21" s="72" t="s">
        <v>200</v>
      </c>
      <c r="AU21" s="72" t="s">
        <v>200</v>
      </c>
      <c r="AV21" s="72" t="s">
        <v>200</v>
      </c>
      <c r="AW21" s="72" t="s">
        <v>200</v>
      </c>
      <c r="AX21" s="72" t="s">
        <v>200</v>
      </c>
      <c r="AY21" s="72" t="s">
        <v>200</v>
      </c>
      <c r="AZ21" s="67" t="s">
        <v>236</v>
      </c>
      <c r="BA21" s="70" t="s">
        <v>871</v>
      </c>
    </row>
    <row r="22" spans="1:53" s="8" customFormat="1" ht="75" x14ac:dyDescent="0.25">
      <c r="A22" s="33" t="s">
        <v>40</v>
      </c>
      <c r="B22" s="33" t="s">
        <v>42</v>
      </c>
      <c r="C22" s="201"/>
      <c r="D22" s="201"/>
      <c r="E22" s="201"/>
      <c r="F22" s="33" t="s">
        <v>45</v>
      </c>
      <c r="G22" s="200"/>
      <c r="H22" s="43" t="s">
        <v>56</v>
      </c>
      <c r="I22" s="43" t="s">
        <v>57</v>
      </c>
      <c r="J22" s="43">
        <v>20</v>
      </c>
      <c r="K22" s="43" t="s">
        <v>185</v>
      </c>
      <c r="L22" s="43">
        <v>20</v>
      </c>
      <c r="M22" s="66">
        <v>4</v>
      </c>
      <c r="N22" s="43" t="s">
        <v>57</v>
      </c>
      <c r="O22" s="68">
        <v>16</v>
      </c>
      <c r="P22" s="69">
        <f t="shared" ref="P22:P24" si="0">SUM(Q22:AF22)</f>
        <v>20000</v>
      </c>
      <c r="Q22" s="73">
        <v>20000</v>
      </c>
      <c r="R22" s="70"/>
      <c r="S22" s="70"/>
      <c r="T22" s="70"/>
      <c r="U22" s="70"/>
      <c r="V22" s="70"/>
      <c r="W22" s="70"/>
      <c r="X22" s="70"/>
      <c r="Y22" s="70"/>
      <c r="Z22" s="70"/>
      <c r="AA22" s="70"/>
      <c r="AB22" s="70"/>
      <c r="AC22" s="70"/>
      <c r="AD22" s="70"/>
      <c r="AE22" s="70"/>
      <c r="AF22" s="70"/>
      <c r="AG22" s="71" t="s">
        <v>222</v>
      </c>
      <c r="AH22" s="67"/>
      <c r="AI22" s="67" t="s">
        <v>870</v>
      </c>
      <c r="AJ22" s="67" t="s">
        <v>201</v>
      </c>
      <c r="AK22" s="67" t="s">
        <v>206</v>
      </c>
      <c r="AL22" s="73">
        <v>12000</v>
      </c>
      <c r="AM22" s="67" t="s">
        <v>207</v>
      </c>
      <c r="AN22" s="70"/>
      <c r="AO22" s="72" t="s">
        <v>202</v>
      </c>
      <c r="AP22" s="72" t="s">
        <v>202</v>
      </c>
      <c r="AQ22" s="72" t="s">
        <v>202</v>
      </c>
      <c r="AR22" s="72" t="s">
        <v>202</v>
      </c>
      <c r="AS22" s="72" t="s">
        <v>202</v>
      </c>
      <c r="AT22" s="72" t="s">
        <v>202</v>
      </c>
      <c r="AU22" s="72" t="s">
        <v>202</v>
      </c>
      <c r="AV22" s="72" t="s">
        <v>202</v>
      </c>
      <c r="AW22" s="72" t="s">
        <v>202</v>
      </c>
      <c r="AX22" s="72" t="s">
        <v>202</v>
      </c>
      <c r="AY22" s="72" t="s">
        <v>202</v>
      </c>
      <c r="AZ22" s="67" t="s">
        <v>236</v>
      </c>
      <c r="BA22" s="70" t="s">
        <v>871</v>
      </c>
    </row>
    <row r="23" spans="1:53" s="8" customFormat="1" ht="60" customHeight="1" x14ac:dyDescent="0.25">
      <c r="A23" s="33" t="s">
        <v>40</v>
      </c>
      <c r="B23" s="33" t="s">
        <v>42</v>
      </c>
      <c r="C23" s="201" t="s">
        <v>58</v>
      </c>
      <c r="D23" s="201" t="s">
        <v>59</v>
      </c>
      <c r="E23" s="201">
        <v>4</v>
      </c>
      <c r="F23" s="33" t="s">
        <v>14</v>
      </c>
      <c r="G23" s="201" t="s">
        <v>60</v>
      </c>
      <c r="H23" s="43" t="s">
        <v>15</v>
      </c>
      <c r="I23" s="43" t="s">
        <v>61</v>
      </c>
      <c r="J23" s="43">
        <v>4</v>
      </c>
      <c r="K23" s="43" t="s">
        <v>187</v>
      </c>
      <c r="L23" s="43">
        <v>20</v>
      </c>
      <c r="M23" s="66">
        <v>7</v>
      </c>
      <c r="N23" s="43" t="s">
        <v>61</v>
      </c>
      <c r="O23" s="68">
        <v>13</v>
      </c>
      <c r="P23" s="69">
        <f t="shared" si="0"/>
        <v>306000</v>
      </c>
      <c r="Q23" s="39">
        <v>76000</v>
      </c>
      <c r="R23" s="70"/>
      <c r="S23" s="70"/>
      <c r="T23" s="70"/>
      <c r="U23" s="70"/>
      <c r="V23" s="70"/>
      <c r="W23" s="70"/>
      <c r="X23" s="70"/>
      <c r="Y23" s="70"/>
      <c r="Z23" s="70">
        <v>80000</v>
      </c>
      <c r="AA23" s="70"/>
      <c r="AB23" s="70"/>
      <c r="AC23" s="70">
        <v>50000</v>
      </c>
      <c r="AD23" s="70">
        <v>100000</v>
      </c>
      <c r="AE23" s="70"/>
      <c r="AF23" s="70"/>
      <c r="AG23" s="77" t="s">
        <v>243</v>
      </c>
      <c r="AH23" s="78">
        <v>2017000030037</v>
      </c>
      <c r="AI23" s="70" t="s">
        <v>228</v>
      </c>
      <c r="AJ23" s="70" t="s">
        <v>233</v>
      </c>
      <c r="AK23" s="67" t="s">
        <v>224</v>
      </c>
      <c r="AL23" s="79">
        <v>311000</v>
      </c>
      <c r="AM23" s="80" t="s">
        <v>242</v>
      </c>
      <c r="AN23" s="70"/>
      <c r="AO23" s="70"/>
      <c r="AP23" s="70" t="s">
        <v>200</v>
      </c>
      <c r="AQ23" s="70" t="s">
        <v>200</v>
      </c>
      <c r="AR23" s="70" t="s">
        <v>200</v>
      </c>
      <c r="AS23" s="70" t="s">
        <v>200</v>
      </c>
      <c r="AT23" s="70" t="s">
        <v>200</v>
      </c>
      <c r="AU23" s="70" t="s">
        <v>200</v>
      </c>
      <c r="AV23" s="70" t="s">
        <v>200</v>
      </c>
      <c r="AW23" s="70" t="s">
        <v>200</v>
      </c>
      <c r="AX23" s="70" t="s">
        <v>200</v>
      </c>
      <c r="AY23" s="70" t="s">
        <v>200</v>
      </c>
      <c r="AZ23" s="67" t="s">
        <v>244</v>
      </c>
      <c r="BA23" s="67" t="s">
        <v>245</v>
      </c>
    </row>
    <row r="24" spans="1:53" s="8" customFormat="1" ht="90.75" customHeight="1" x14ac:dyDescent="0.25">
      <c r="A24" s="33" t="s">
        <v>40</v>
      </c>
      <c r="B24" s="33" t="s">
        <v>42</v>
      </c>
      <c r="C24" s="201"/>
      <c r="D24" s="201"/>
      <c r="E24" s="201"/>
      <c r="F24" s="33" t="s">
        <v>14</v>
      </c>
      <c r="G24" s="201"/>
      <c r="H24" s="43" t="s">
        <v>124</v>
      </c>
      <c r="I24" s="43" t="s">
        <v>62</v>
      </c>
      <c r="J24" s="43">
        <v>4</v>
      </c>
      <c r="K24" s="43" t="s">
        <v>187</v>
      </c>
      <c r="L24" s="43">
        <v>20</v>
      </c>
      <c r="M24" s="66">
        <v>7</v>
      </c>
      <c r="N24" s="43" t="s">
        <v>62</v>
      </c>
      <c r="O24" s="68">
        <v>13</v>
      </c>
      <c r="P24" s="69">
        <f t="shared" si="0"/>
        <v>90000</v>
      </c>
      <c r="Q24" s="70"/>
      <c r="R24" s="70"/>
      <c r="S24" s="70"/>
      <c r="T24" s="70"/>
      <c r="U24" s="70"/>
      <c r="V24" s="70"/>
      <c r="W24" s="70"/>
      <c r="X24" s="70"/>
      <c r="Y24" s="70"/>
      <c r="Z24" s="70"/>
      <c r="AA24" s="70"/>
      <c r="AB24" s="70"/>
      <c r="AC24" s="70"/>
      <c r="AD24" s="81">
        <v>90000</v>
      </c>
      <c r="AE24" s="70"/>
      <c r="AF24" s="70"/>
      <c r="AG24" s="77" t="s">
        <v>243</v>
      </c>
      <c r="AH24" s="78">
        <v>2017000030037</v>
      </c>
      <c r="AI24" s="70" t="s">
        <v>228</v>
      </c>
      <c r="AJ24" s="70" t="s">
        <v>233</v>
      </c>
      <c r="AK24" s="67" t="s">
        <v>224</v>
      </c>
      <c r="AL24" s="82">
        <v>92562</v>
      </c>
      <c r="AM24" s="80" t="s">
        <v>246</v>
      </c>
      <c r="AN24" s="70"/>
      <c r="AO24" s="70"/>
      <c r="AP24" s="70" t="s">
        <v>200</v>
      </c>
      <c r="AQ24" s="70" t="s">
        <v>200</v>
      </c>
      <c r="AR24" s="70" t="s">
        <v>200</v>
      </c>
      <c r="AS24" s="70" t="s">
        <v>200</v>
      </c>
      <c r="AT24" s="70" t="s">
        <v>200</v>
      </c>
      <c r="AU24" s="70" t="s">
        <v>200</v>
      </c>
      <c r="AV24" s="70" t="s">
        <v>200</v>
      </c>
      <c r="AW24" s="70" t="s">
        <v>200</v>
      </c>
      <c r="AX24" s="70" t="s">
        <v>200</v>
      </c>
      <c r="AY24" s="70" t="s">
        <v>200</v>
      </c>
      <c r="AZ24" s="67" t="s">
        <v>244</v>
      </c>
      <c r="BA24" s="67" t="s">
        <v>245</v>
      </c>
    </row>
    <row r="25" spans="1:53" s="8" customFormat="1" ht="60" customHeight="1" x14ac:dyDescent="0.25">
      <c r="A25" s="199" t="s">
        <v>11</v>
      </c>
      <c r="B25" s="199" t="s">
        <v>16</v>
      </c>
      <c r="C25" s="201" t="s">
        <v>129</v>
      </c>
      <c r="D25" s="201" t="s">
        <v>63</v>
      </c>
      <c r="E25" s="201">
        <v>0</v>
      </c>
      <c r="F25" s="199" t="s">
        <v>17</v>
      </c>
      <c r="G25" s="201" t="s">
        <v>18</v>
      </c>
      <c r="H25" s="201" t="s">
        <v>19</v>
      </c>
      <c r="I25" s="201" t="s">
        <v>64</v>
      </c>
      <c r="J25" s="201">
        <v>7</v>
      </c>
      <c r="K25" s="201" t="s">
        <v>185</v>
      </c>
      <c r="L25" s="201">
        <v>12</v>
      </c>
      <c r="M25" s="206">
        <v>7</v>
      </c>
      <c r="N25" s="201" t="s">
        <v>64</v>
      </c>
      <c r="O25" s="203">
        <v>20</v>
      </c>
      <c r="P25" s="194">
        <f>SUM(W25:W31)</f>
        <v>31428679.703999996</v>
      </c>
      <c r="Q25" s="70"/>
      <c r="R25" s="70"/>
      <c r="S25" s="70"/>
      <c r="T25" s="70"/>
      <c r="U25" s="70"/>
      <c r="V25" s="70"/>
      <c r="W25" s="83">
        <f>AL25</f>
        <v>3351984.0079999999</v>
      </c>
      <c r="X25" s="70"/>
      <c r="Y25" s="70"/>
      <c r="Z25" s="70"/>
      <c r="AA25" s="70"/>
      <c r="AB25" s="70"/>
      <c r="AC25" s="70"/>
      <c r="AD25" s="70"/>
      <c r="AE25" s="70"/>
      <c r="AF25" s="70"/>
      <c r="AG25" s="84" t="s">
        <v>275</v>
      </c>
      <c r="AH25" s="85">
        <v>2018000030119</v>
      </c>
      <c r="AI25" s="86" t="s">
        <v>276</v>
      </c>
      <c r="AJ25" s="67" t="s">
        <v>277</v>
      </c>
      <c r="AK25" s="87" t="s">
        <v>278</v>
      </c>
      <c r="AL25" s="83">
        <v>3351984.0079999999</v>
      </c>
      <c r="AM25" s="67" t="s">
        <v>279</v>
      </c>
      <c r="AN25" s="70"/>
      <c r="AO25" s="70"/>
      <c r="AP25" s="70"/>
      <c r="AQ25" s="70" t="s">
        <v>200</v>
      </c>
      <c r="AR25" s="70" t="s">
        <v>200</v>
      </c>
      <c r="AS25" s="70" t="s">
        <v>200</v>
      </c>
      <c r="AT25" s="70" t="s">
        <v>200</v>
      </c>
      <c r="AU25" s="70" t="s">
        <v>200</v>
      </c>
      <c r="AV25" s="70" t="s">
        <v>200</v>
      </c>
      <c r="AW25" s="70" t="s">
        <v>200</v>
      </c>
      <c r="AX25" s="70" t="s">
        <v>200</v>
      </c>
      <c r="AY25" s="70" t="s">
        <v>200</v>
      </c>
      <c r="AZ25" s="67" t="s">
        <v>274</v>
      </c>
      <c r="BA25" s="67"/>
    </row>
    <row r="26" spans="1:53" s="8" customFormat="1" ht="60" customHeight="1" x14ac:dyDescent="0.25">
      <c r="A26" s="216"/>
      <c r="B26" s="216"/>
      <c r="C26" s="201"/>
      <c r="D26" s="201"/>
      <c r="E26" s="201"/>
      <c r="F26" s="216"/>
      <c r="G26" s="201"/>
      <c r="H26" s="216"/>
      <c r="I26" s="206"/>
      <c r="J26" s="206"/>
      <c r="K26" s="206"/>
      <c r="L26" s="206"/>
      <c r="M26" s="206"/>
      <c r="N26" s="201"/>
      <c r="O26" s="203"/>
      <c r="P26" s="195"/>
      <c r="Q26" s="70"/>
      <c r="R26" s="70"/>
      <c r="S26" s="70"/>
      <c r="T26" s="70"/>
      <c r="U26" s="70"/>
      <c r="V26" s="70"/>
      <c r="W26" s="83">
        <f t="shared" ref="W26:W31" si="1">AL26</f>
        <v>2000000</v>
      </c>
      <c r="X26" s="70"/>
      <c r="Y26" s="70"/>
      <c r="Z26" s="70"/>
      <c r="AA26" s="70"/>
      <c r="AB26" s="70"/>
      <c r="AC26" s="70"/>
      <c r="AD26" s="70"/>
      <c r="AE26" s="70"/>
      <c r="AF26" s="70"/>
      <c r="AG26" s="84" t="s">
        <v>264</v>
      </c>
      <c r="AH26" s="85">
        <v>2012000030051</v>
      </c>
      <c r="AI26" s="86" t="s">
        <v>873</v>
      </c>
      <c r="AJ26" s="67" t="s">
        <v>265</v>
      </c>
      <c r="AK26" s="87" t="s">
        <v>266</v>
      </c>
      <c r="AL26" s="70">
        <v>2000000</v>
      </c>
      <c r="AM26" s="67" t="s">
        <v>874</v>
      </c>
      <c r="AN26" s="70"/>
      <c r="AO26" s="70"/>
      <c r="AP26" s="70"/>
      <c r="AQ26" s="70"/>
      <c r="AR26" s="70" t="s">
        <v>200</v>
      </c>
      <c r="AS26" s="70" t="s">
        <v>200</v>
      </c>
      <c r="AT26" s="70" t="s">
        <v>200</v>
      </c>
      <c r="AU26" s="70" t="s">
        <v>200</v>
      </c>
      <c r="AV26" s="70" t="s">
        <v>200</v>
      </c>
      <c r="AW26" s="70" t="s">
        <v>200</v>
      </c>
      <c r="AX26" s="70" t="s">
        <v>200</v>
      </c>
      <c r="AY26" s="70" t="s">
        <v>200</v>
      </c>
      <c r="AZ26" s="67" t="s">
        <v>280</v>
      </c>
      <c r="BA26" s="67"/>
    </row>
    <row r="27" spans="1:53" s="8" customFormat="1" ht="60" customHeight="1" x14ac:dyDescent="0.25">
      <c r="A27" s="216"/>
      <c r="B27" s="216"/>
      <c r="C27" s="201"/>
      <c r="D27" s="201"/>
      <c r="E27" s="201"/>
      <c r="F27" s="216"/>
      <c r="G27" s="201"/>
      <c r="H27" s="216"/>
      <c r="I27" s="206"/>
      <c r="J27" s="206"/>
      <c r="K27" s="206"/>
      <c r="L27" s="206"/>
      <c r="M27" s="206"/>
      <c r="N27" s="201"/>
      <c r="O27" s="203"/>
      <c r="P27" s="195"/>
      <c r="Q27" s="70"/>
      <c r="R27" s="70"/>
      <c r="S27" s="70"/>
      <c r="T27" s="70"/>
      <c r="U27" s="70"/>
      <c r="V27" s="70"/>
      <c r="W27" s="83">
        <f t="shared" si="1"/>
        <v>2974573</v>
      </c>
      <c r="X27" s="70"/>
      <c r="Y27" s="70"/>
      <c r="Z27" s="70"/>
      <c r="AA27" s="70"/>
      <c r="AB27" s="70"/>
      <c r="AC27" s="70"/>
      <c r="AD27" s="70"/>
      <c r="AE27" s="70"/>
      <c r="AF27" s="70"/>
      <c r="AG27" s="84" t="s">
        <v>267</v>
      </c>
      <c r="AH27" s="85">
        <v>2016000030030</v>
      </c>
      <c r="AI27" s="86" t="s">
        <v>268</v>
      </c>
      <c r="AJ27" s="67" t="s">
        <v>265</v>
      </c>
      <c r="AK27" s="87" t="s">
        <v>269</v>
      </c>
      <c r="AL27" s="83">
        <v>2974573</v>
      </c>
      <c r="AM27" s="67" t="s">
        <v>875</v>
      </c>
      <c r="AN27" s="70" t="s">
        <v>200</v>
      </c>
      <c r="AO27" s="70" t="s">
        <v>200</v>
      </c>
      <c r="AP27" s="70" t="s">
        <v>200</v>
      </c>
      <c r="AQ27" s="70" t="s">
        <v>200</v>
      </c>
      <c r="AR27" s="70" t="s">
        <v>200</v>
      </c>
      <c r="AS27" s="70" t="s">
        <v>200</v>
      </c>
      <c r="AT27" s="70" t="s">
        <v>200</v>
      </c>
      <c r="AU27" s="70" t="s">
        <v>200</v>
      </c>
      <c r="AV27" s="70" t="s">
        <v>200</v>
      </c>
      <c r="AW27" s="70" t="s">
        <v>200</v>
      </c>
      <c r="AX27" s="70" t="s">
        <v>200</v>
      </c>
      <c r="AY27" s="70" t="s">
        <v>200</v>
      </c>
      <c r="AZ27" s="67" t="s">
        <v>274</v>
      </c>
      <c r="BA27" s="67"/>
    </row>
    <row r="28" spans="1:53" s="8" customFormat="1" ht="60" customHeight="1" x14ac:dyDescent="0.25">
      <c r="A28" s="216"/>
      <c r="B28" s="216"/>
      <c r="C28" s="201"/>
      <c r="D28" s="201"/>
      <c r="E28" s="201"/>
      <c r="F28" s="216"/>
      <c r="G28" s="201"/>
      <c r="H28" s="216"/>
      <c r="I28" s="206"/>
      <c r="J28" s="206"/>
      <c r="K28" s="206"/>
      <c r="L28" s="206"/>
      <c r="M28" s="206"/>
      <c r="N28" s="201"/>
      <c r="O28" s="203"/>
      <c r="P28" s="195"/>
      <c r="Q28" s="70"/>
      <c r="R28" s="70"/>
      <c r="S28" s="70"/>
      <c r="T28" s="70"/>
      <c r="U28" s="70"/>
      <c r="V28" s="70"/>
      <c r="W28" s="83">
        <f t="shared" si="1"/>
        <v>1754860.5</v>
      </c>
      <c r="X28" s="70"/>
      <c r="Y28" s="70"/>
      <c r="Z28" s="70"/>
      <c r="AA28" s="70"/>
      <c r="AB28" s="70"/>
      <c r="AC28" s="70"/>
      <c r="AD28" s="70"/>
      <c r="AE28" s="70"/>
      <c r="AF28" s="70"/>
      <c r="AG28" s="84" t="s">
        <v>271</v>
      </c>
      <c r="AH28" s="85">
        <v>2017000030019</v>
      </c>
      <c r="AI28" s="86" t="s">
        <v>272</v>
      </c>
      <c r="AJ28" s="67" t="s">
        <v>265</v>
      </c>
      <c r="AK28" s="87" t="s">
        <v>273</v>
      </c>
      <c r="AL28" s="83">
        <v>1754860.5</v>
      </c>
      <c r="AM28" s="67" t="s">
        <v>283</v>
      </c>
      <c r="AN28" s="70" t="s">
        <v>200</v>
      </c>
      <c r="AO28" s="70" t="s">
        <v>200</v>
      </c>
      <c r="AP28" s="70" t="s">
        <v>200</v>
      </c>
      <c r="AQ28" s="70" t="s">
        <v>200</v>
      </c>
      <c r="AR28" s="70" t="s">
        <v>200</v>
      </c>
      <c r="AS28" s="70" t="s">
        <v>200</v>
      </c>
      <c r="AT28" s="70" t="s">
        <v>200</v>
      </c>
      <c r="AU28" s="70" t="s">
        <v>200</v>
      </c>
      <c r="AV28" s="70" t="s">
        <v>200</v>
      </c>
      <c r="AW28" s="70" t="s">
        <v>200</v>
      </c>
      <c r="AX28" s="70" t="s">
        <v>200</v>
      </c>
      <c r="AY28" s="70" t="s">
        <v>200</v>
      </c>
      <c r="AZ28" s="67" t="s">
        <v>270</v>
      </c>
      <c r="BA28" s="67"/>
    </row>
    <row r="29" spans="1:53" s="8" customFormat="1" ht="60" customHeight="1" x14ac:dyDescent="0.25">
      <c r="A29" s="216"/>
      <c r="B29" s="216"/>
      <c r="C29" s="201"/>
      <c r="D29" s="201"/>
      <c r="E29" s="201"/>
      <c r="F29" s="216"/>
      <c r="G29" s="201"/>
      <c r="H29" s="216"/>
      <c r="I29" s="206"/>
      <c r="J29" s="206"/>
      <c r="K29" s="206"/>
      <c r="L29" s="206"/>
      <c r="M29" s="206"/>
      <c r="N29" s="201"/>
      <c r="O29" s="203"/>
      <c r="P29" s="195"/>
      <c r="Q29" s="70"/>
      <c r="R29" s="70"/>
      <c r="S29" s="70"/>
      <c r="T29" s="70"/>
      <c r="U29" s="70"/>
      <c r="V29" s="70"/>
      <c r="W29" s="83">
        <f>AL29</f>
        <v>3026463.76</v>
      </c>
      <c r="X29" s="70"/>
      <c r="Y29" s="70"/>
      <c r="Z29" s="70"/>
      <c r="AA29" s="70"/>
      <c r="AB29" s="70"/>
      <c r="AC29" s="70"/>
      <c r="AD29" s="70"/>
      <c r="AE29" s="70"/>
      <c r="AF29" s="70"/>
      <c r="AG29" s="84" t="s">
        <v>281</v>
      </c>
      <c r="AH29" s="85">
        <v>2017000030093</v>
      </c>
      <c r="AI29" s="86" t="s">
        <v>282</v>
      </c>
      <c r="AJ29" s="67" t="s">
        <v>876</v>
      </c>
      <c r="AK29" s="87" t="s">
        <v>287</v>
      </c>
      <c r="AL29" s="83">
        <v>3026463.76</v>
      </c>
      <c r="AM29" s="67" t="s">
        <v>286</v>
      </c>
      <c r="AN29" s="70"/>
      <c r="AO29" s="70"/>
      <c r="AP29" s="70" t="s">
        <v>200</v>
      </c>
      <c r="AQ29" s="70" t="s">
        <v>200</v>
      </c>
      <c r="AR29" s="70" t="s">
        <v>200</v>
      </c>
      <c r="AS29" s="70" t="s">
        <v>200</v>
      </c>
      <c r="AT29" s="70" t="s">
        <v>200</v>
      </c>
      <c r="AU29" s="70" t="s">
        <v>200</v>
      </c>
      <c r="AV29" s="70" t="s">
        <v>200</v>
      </c>
      <c r="AW29" s="70" t="s">
        <v>200</v>
      </c>
      <c r="AX29" s="70" t="s">
        <v>200</v>
      </c>
      <c r="AY29" s="70" t="s">
        <v>200</v>
      </c>
      <c r="AZ29" s="67" t="s">
        <v>280</v>
      </c>
      <c r="BA29" s="67"/>
    </row>
    <row r="30" spans="1:53" s="8" customFormat="1" ht="60" customHeight="1" x14ac:dyDescent="0.25">
      <c r="A30" s="216"/>
      <c r="B30" s="216"/>
      <c r="C30" s="201"/>
      <c r="D30" s="201"/>
      <c r="E30" s="201"/>
      <c r="F30" s="216"/>
      <c r="G30" s="201"/>
      <c r="H30" s="216"/>
      <c r="I30" s="206"/>
      <c r="J30" s="206"/>
      <c r="K30" s="206"/>
      <c r="L30" s="206"/>
      <c r="M30" s="206"/>
      <c r="N30" s="201"/>
      <c r="O30" s="203"/>
      <c r="P30" s="195"/>
      <c r="Q30" s="70"/>
      <c r="R30" s="70"/>
      <c r="S30" s="70"/>
      <c r="T30" s="70"/>
      <c r="U30" s="70"/>
      <c r="V30" s="70"/>
      <c r="W30" s="83">
        <f t="shared" si="1"/>
        <v>2110274.6669999999</v>
      </c>
      <c r="X30" s="70"/>
      <c r="Y30" s="70"/>
      <c r="Z30" s="70"/>
      <c r="AA30" s="70"/>
      <c r="AB30" s="70"/>
      <c r="AC30" s="70"/>
      <c r="AD30" s="70"/>
      <c r="AE30" s="70"/>
      <c r="AF30" s="70"/>
      <c r="AG30" s="84" t="s">
        <v>284</v>
      </c>
      <c r="AH30" s="85">
        <v>2017000030092</v>
      </c>
      <c r="AI30" s="86" t="s">
        <v>285</v>
      </c>
      <c r="AJ30" s="67" t="s">
        <v>876</v>
      </c>
      <c r="AK30" s="88" t="s">
        <v>287</v>
      </c>
      <c r="AL30" s="83">
        <v>2110274.6669999999</v>
      </c>
      <c r="AM30" s="67" t="s">
        <v>288</v>
      </c>
      <c r="AN30" s="70"/>
      <c r="AO30" s="70"/>
      <c r="AP30" s="70" t="s">
        <v>200</v>
      </c>
      <c r="AQ30" s="70" t="s">
        <v>200</v>
      </c>
      <c r="AR30" s="70" t="s">
        <v>200</v>
      </c>
      <c r="AS30" s="70" t="s">
        <v>200</v>
      </c>
      <c r="AT30" s="70" t="s">
        <v>200</v>
      </c>
      <c r="AU30" s="70" t="s">
        <v>200</v>
      </c>
      <c r="AV30" s="70" t="s">
        <v>200</v>
      </c>
      <c r="AW30" s="70" t="s">
        <v>200</v>
      </c>
      <c r="AX30" s="70" t="s">
        <v>200</v>
      </c>
      <c r="AY30" s="70" t="s">
        <v>200</v>
      </c>
      <c r="AZ30" s="67" t="s">
        <v>274</v>
      </c>
      <c r="BA30" s="67"/>
    </row>
    <row r="31" spans="1:53" s="8" customFormat="1" ht="60" customHeight="1" x14ac:dyDescent="0.25">
      <c r="A31" s="216"/>
      <c r="B31" s="216"/>
      <c r="C31" s="201"/>
      <c r="D31" s="201"/>
      <c r="E31" s="201"/>
      <c r="F31" s="216"/>
      <c r="G31" s="201"/>
      <c r="H31" s="216"/>
      <c r="I31" s="206"/>
      <c r="J31" s="206"/>
      <c r="K31" s="206"/>
      <c r="L31" s="206"/>
      <c r="M31" s="206"/>
      <c r="N31" s="201"/>
      <c r="O31" s="203"/>
      <c r="P31" s="195"/>
      <c r="Q31" s="70"/>
      <c r="R31" s="70"/>
      <c r="S31" s="70"/>
      <c r="T31" s="70"/>
      <c r="U31" s="70"/>
      <c r="V31" s="70"/>
      <c r="W31" s="83">
        <f t="shared" si="1"/>
        <v>16210523.768999999</v>
      </c>
      <c r="X31" s="70"/>
      <c r="Y31" s="70"/>
      <c r="Z31" s="70"/>
      <c r="AA31" s="70"/>
      <c r="AB31" s="70"/>
      <c r="AC31" s="70"/>
      <c r="AD31" s="70"/>
      <c r="AE31" s="70"/>
      <c r="AF31" s="70"/>
      <c r="AG31" s="84" t="s">
        <v>289</v>
      </c>
      <c r="AH31" s="85">
        <v>2017000030024</v>
      </c>
      <c r="AI31" s="86" t="s">
        <v>877</v>
      </c>
      <c r="AJ31" s="67" t="s">
        <v>277</v>
      </c>
      <c r="AK31" s="87" t="s">
        <v>290</v>
      </c>
      <c r="AL31" s="83">
        <v>16210523.768999999</v>
      </c>
      <c r="AM31" s="67" t="s">
        <v>878</v>
      </c>
      <c r="AN31" s="70"/>
      <c r="AO31" s="70" t="s">
        <v>200</v>
      </c>
      <c r="AP31" s="70" t="s">
        <v>200</v>
      </c>
      <c r="AQ31" s="70" t="s">
        <v>200</v>
      </c>
      <c r="AR31" s="70" t="s">
        <v>200</v>
      </c>
      <c r="AS31" s="70" t="s">
        <v>200</v>
      </c>
      <c r="AT31" s="70" t="s">
        <v>200</v>
      </c>
      <c r="AU31" s="70" t="s">
        <v>200</v>
      </c>
      <c r="AV31" s="70" t="s">
        <v>200</v>
      </c>
      <c r="AW31" s="70" t="s">
        <v>200</v>
      </c>
      <c r="AX31" s="70" t="s">
        <v>200</v>
      </c>
      <c r="AY31" s="70" t="s">
        <v>200</v>
      </c>
      <c r="AZ31" s="67" t="s">
        <v>274</v>
      </c>
      <c r="BA31" s="67"/>
    </row>
    <row r="32" spans="1:53" s="8" customFormat="1" ht="45" x14ac:dyDescent="0.25">
      <c r="A32" s="33" t="s">
        <v>11</v>
      </c>
      <c r="B32" s="33" t="s">
        <v>16</v>
      </c>
      <c r="C32" s="201"/>
      <c r="D32" s="201"/>
      <c r="E32" s="201"/>
      <c r="F32" s="33" t="s">
        <v>17</v>
      </c>
      <c r="G32" s="201"/>
      <c r="H32" s="43" t="s">
        <v>20</v>
      </c>
      <c r="I32" s="43" t="s">
        <v>65</v>
      </c>
      <c r="J32" s="43">
        <v>3</v>
      </c>
      <c r="K32" s="43" t="s">
        <v>187</v>
      </c>
      <c r="L32" s="43">
        <v>6</v>
      </c>
      <c r="M32" s="66">
        <v>1</v>
      </c>
      <c r="N32" s="43" t="s">
        <v>65</v>
      </c>
      <c r="O32" s="68">
        <v>5</v>
      </c>
      <c r="P32" s="69">
        <f t="shared" ref="P32" si="2">SUM(Q32:AF32)</f>
        <v>2000</v>
      </c>
      <c r="Q32" s="70">
        <v>2000</v>
      </c>
      <c r="R32" s="70"/>
      <c r="S32" s="70"/>
      <c r="T32" s="70"/>
      <c r="U32" s="70"/>
      <c r="V32" s="70"/>
      <c r="W32" s="70"/>
      <c r="X32" s="70"/>
      <c r="Y32" s="70"/>
      <c r="Z32" s="70"/>
      <c r="AA32" s="70"/>
      <c r="AB32" s="70"/>
      <c r="AC32" s="70"/>
      <c r="AD32" s="70"/>
      <c r="AE32" s="70"/>
      <c r="AF32" s="70"/>
      <c r="AG32" s="67" t="s">
        <v>291</v>
      </c>
      <c r="AH32" s="70"/>
      <c r="AI32" s="67"/>
      <c r="AJ32" s="67"/>
      <c r="AK32" s="67"/>
      <c r="AL32" s="70"/>
      <c r="AM32" s="67"/>
      <c r="AN32" s="70"/>
      <c r="AO32" s="70"/>
      <c r="AP32" s="70"/>
      <c r="AQ32" s="70"/>
      <c r="AR32" s="70"/>
      <c r="AS32" s="70"/>
      <c r="AT32" s="70"/>
      <c r="AU32" s="70"/>
      <c r="AV32" s="70"/>
      <c r="AW32" s="70"/>
      <c r="AX32" s="70"/>
      <c r="AY32" s="70"/>
      <c r="AZ32" s="67" t="s">
        <v>292</v>
      </c>
      <c r="BA32" s="70"/>
    </row>
    <row r="33" spans="1:53" s="8" customFormat="1" ht="128.25" x14ac:dyDescent="0.25">
      <c r="A33" s="201" t="s">
        <v>11</v>
      </c>
      <c r="B33" s="201" t="s">
        <v>16</v>
      </c>
      <c r="C33" s="201"/>
      <c r="D33" s="201"/>
      <c r="E33" s="201"/>
      <c r="F33" s="201" t="s">
        <v>21</v>
      </c>
      <c r="G33" s="201" t="s">
        <v>22</v>
      </c>
      <c r="H33" s="201" t="s">
        <v>66</v>
      </c>
      <c r="I33" s="201" t="s">
        <v>67</v>
      </c>
      <c r="J33" s="201" t="s">
        <v>68</v>
      </c>
      <c r="K33" s="201" t="s">
        <v>187</v>
      </c>
      <c r="L33" s="201">
        <v>10</v>
      </c>
      <c r="M33" s="206">
        <v>2</v>
      </c>
      <c r="N33" s="201" t="s">
        <v>67</v>
      </c>
      <c r="O33" s="203">
        <v>8</v>
      </c>
      <c r="P33" s="192">
        <f>W33+W34</f>
        <v>8148042.4000000004</v>
      </c>
      <c r="Q33" s="70"/>
      <c r="R33" s="70"/>
      <c r="S33" s="70"/>
      <c r="T33" s="70"/>
      <c r="U33" s="70"/>
      <c r="V33" s="70"/>
      <c r="W33" s="83">
        <v>2148042.4</v>
      </c>
      <c r="X33" s="70"/>
      <c r="Y33" s="70"/>
      <c r="Z33" s="70"/>
      <c r="AA33" s="70"/>
      <c r="AB33" s="70"/>
      <c r="AC33" s="70"/>
      <c r="AD33" s="70"/>
      <c r="AE33" s="70"/>
      <c r="AF33" s="70"/>
      <c r="AG33" s="67" t="s">
        <v>225</v>
      </c>
      <c r="AH33" s="89">
        <v>2018000030006</v>
      </c>
      <c r="AI33" s="90" t="s">
        <v>879</v>
      </c>
      <c r="AJ33" s="90" t="s">
        <v>226</v>
      </c>
      <c r="AK33" s="70" t="s">
        <v>227</v>
      </c>
      <c r="AL33" s="83">
        <v>2148042.4</v>
      </c>
      <c r="AM33" s="67" t="s">
        <v>880</v>
      </c>
      <c r="AN33" s="70"/>
      <c r="AO33" s="70" t="s">
        <v>200</v>
      </c>
      <c r="AP33" s="70" t="s">
        <v>200</v>
      </c>
      <c r="AQ33" s="70" t="s">
        <v>200</v>
      </c>
      <c r="AR33" s="70" t="s">
        <v>200</v>
      </c>
      <c r="AS33" s="70" t="s">
        <v>200</v>
      </c>
      <c r="AT33" s="70" t="s">
        <v>200</v>
      </c>
      <c r="AU33" s="70" t="s">
        <v>200</v>
      </c>
      <c r="AV33" s="70" t="s">
        <v>200</v>
      </c>
      <c r="AW33" s="70" t="s">
        <v>200</v>
      </c>
      <c r="AX33" s="70" t="s">
        <v>200</v>
      </c>
      <c r="AY33" s="70" t="s">
        <v>200</v>
      </c>
      <c r="AZ33" s="67" t="s">
        <v>230</v>
      </c>
      <c r="BA33" s="67" t="s">
        <v>881</v>
      </c>
    </row>
    <row r="34" spans="1:53" s="8" customFormat="1" ht="210" x14ac:dyDescent="0.25">
      <c r="A34" s="206"/>
      <c r="B34" s="206"/>
      <c r="C34" s="206"/>
      <c r="D34" s="206"/>
      <c r="E34" s="206"/>
      <c r="F34" s="206"/>
      <c r="G34" s="202"/>
      <c r="H34" s="202"/>
      <c r="I34" s="202"/>
      <c r="J34" s="202"/>
      <c r="K34" s="202"/>
      <c r="L34" s="200"/>
      <c r="M34" s="206"/>
      <c r="N34" s="201"/>
      <c r="O34" s="203"/>
      <c r="P34" s="193"/>
      <c r="Q34" s="70"/>
      <c r="R34" s="70"/>
      <c r="S34" s="70"/>
      <c r="T34" s="70"/>
      <c r="U34" s="70"/>
      <c r="V34" s="70"/>
      <c r="W34" s="91">
        <v>6000000</v>
      </c>
      <c r="X34" s="70"/>
      <c r="Y34" s="70"/>
      <c r="Z34" s="70"/>
      <c r="AA34" s="70"/>
      <c r="AB34" s="70"/>
      <c r="AC34" s="70"/>
      <c r="AD34" s="70"/>
      <c r="AE34" s="70"/>
      <c r="AF34" s="70"/>
      <c r="AG34" s="92" t="s">
        <v>247</v>
      </c>
      <c r="AH34" s="93">
        <v>20170000030022</v>
      </c>
      <c r="AI34" s="92" t="s">
        <v>248</v>
      </c>
      <c r="AJ34" s="92" t="s">
        <v>197</v>
      </c>
      <c r="AK34" s="92" t="s">
        <v>249</v>
      </c>
      <c r="AL34" s="94">
        <v>6000000000</v>
      </c>
      <c r="AM34" s="67" t="s">
        <v>250</v>
      </c>
      <c r="AN34" s="70"/>
      <c r="AO34" s="70"/>
      <c r="AP34" s="70"/>
      <c r="AQ34" s="70"/>
      <c r="AR34" s="70"/>
      <c r="AS34" s="70"/>
      <c r="AT34" s="70" t="s">
        <v>200</v>
      </c>
      <c r="AU34" s="70" t="s">
        <v>200</v>
      </c>
      <c r="AV34" s="70" t="s">
        <v>200</v>
      </c>
      <c r="AW34" s="70" t="s">
        <v>200</v>
      </c>
      <c r="AX34" s="70" t="s">
        <v>200</v>
      </c>
      <c r="AY34" s="70" t="s">
        <v>200</v>
      </c>
      <c r="AZ34" s="67" t="s">
        <v>230</v>
      </c>
      <c r="BA34" s="67"/>
    </row>
    <row r="35" spans="1:53" s="8" customFormat="1" ht="78.75" customHeight="1" x14ac:dyDescent="0.25">
      <c r="A35" s="33" t="s">
        <v>11</v>
      </c>
      <c r="B35" s="33" t="s">
        <v>16</v>
      </c>
      <c r="C35" s="201" t="s">
        <v>133</v>
      </c>
      <c r="D35" s="201" t="s">
        <v>134</v>
      </c>
      <c r="E35" s="201">
        <v>11</v>
      </c>
      <c r="F35" s="33" t="s">
        <v>23</v>
      </c>
      <c r="G35" s="201" t="s">
        <v>24</v>
      </c>
      <c r="H35" s="43" t="s">
        <v>25</v>
      </c>
      <c r="I35" s="43" t="s">
        <v>69</v>
      </c>
      <c r="J35" s="43">
        <v>1</v>
      </c>
      <c r="K35" s="43" t="s">
        <v>187</v>
      </c>
      <c r="L35" s="43">
        <v>4</v>
      </c>
      <c r="M35" s="66">
        <v>1</v>
      </c>
      <c r="N35" s="43" t="s">
        <v>69</v>
      </c>
      <c r="O35" s="68">
        <v>3</v>
      </c>
      <c r="P35" s="69">
        <f t="shared" ref="P35" si="3">SUM(Q35:AF35)</f>
        <v>40000</v>
      </c>
      <c r="Q35" s="70">
        <v>25000</v>
      </c>
      <c r="R35" s="70"/>
      <c r="S35" s="70"/>
      <c r="T35" s="70"/>
      <c r="U35" s="70"/>
      <c r="V35" s="70"/>
      <c r="W35" s="70"/>
      <c r="X35" s="70"/>
      <c r="Y35" s="70"/>
      <c r="Z35" s="70"/>
      <c r="AA35" s="70"/>
      <c r="AB35" s="70"/>
      <c r="AC35" s="70"/>
      <c r="AD35" s="70">
        <v>15000</v>
      </c>
      <c r="AE35" s="70"/>
      <c r="AF35" s="70"/>
      <c r="AG35" s="67" t="s">
        <v>239</v>
      </c>
      <c r="AH35" s="95">
        <v>2017003190163</v>
      </c>
      <c r="AI35" s="70" t="s">
        <v>228</v>
      </c>
      <c r="AJ35" s="92" t="s">
        <v>197</v>
      </c>
      <c r="AK35" s="70" t="s">
        <v>229</v>
      </c>
      <c r="AL35" s="83">
        <v>17600</v>
      </c>
      <c r="AM35" s="67" t="s">
        <v>882</v>
      </c>
      <c r="AN35" s="70"/>
      <c r="AO35" s="70"/>
      <c r="AP35" s="70" t="s">
        <v>200</v>
      </c>
      <c r="AQ35" s="70" t="s">
        <v>200</v>
      </c>
      <c r="AR35" s="70" t="s">
        <v>200</v>
      </c>
      <c r="AS35" s="70" t="s">
        <v>200</v>
      </c>
      <c r="AT35" s="70" t="s">
        <v>200</v>
      </c>
      <c r="AU35" s="70" t="s">
        <v>200</v>
      </c>
      <c r="AV35" s="70" t="s">
        <v>200</v>
      </c>
      <c r="AW35" s="70" t="s">
        <v>200</v>
      </c>
      <c r="AX35" s="70" t="s">
        <v>200</v>
      </c>
      <c r="AY35" s="70" t="s">
        <v>200</v>
      </c>
      <c r="AZ35" s="67" t="s">
        <v>230</v>
      </c>
      <c r="BA35" s="70"/>
    </row>
    <row r="36" spans="1:53" s="8" customFormat="1" ht="67.5" customHeight="1" x14ac:dyDescent="0.25">
      <c r="A36" s="33" t="s">
        <v>11</v>
      </c>
      <c r="B36" s="33" t="s">
        <v>16</v>
      </c>
      <c r="C36" s="201"/>
      <c r="D36" s="201"/>
      <c r="E36" s="201"/>
      <c r="F36" s="33" t="s">
        <v>23</v>
      </c>
      <c r="G36" s="201"/>
      <c r="H36" s="43" t="s">
        <v>70</v>
      </c>
      <c r="I36" s="43" t="s">
        <v>71</v>
      </c>
      <c r="J36" s="43">
        <v>5</v>
      </c>
      <c r="K36" s="43" t="s">
        <v>187</v>
      </c>
      <c r="L36" s="43">
        <v>4</v>
      </c>
      <c r="M36" s="66">
        <v>0</v>
      </c>
      <c r="N36" s="43" t="s">
        <v>71</v>
      </c>
      <c r="O36" s="68">
        <v>4</v>
      </c>
      <c r="P36" s="69">
        <f t="shared" ref="P36:P62" si="4">SUM(Q36:AF36)</f>
        <v>0</v>
      </c>
      <c r="Q36" s="70"/>
      <c r="R36" s="70"/>
      <c r="S36" s="70"/>
      <c r="T36" s="70"/>
      <c r="U36" s="70"/>
      <c r="V36" s="70"/>
      <c r="W36" s="70"/>
      <c r="X36" s="70"/>
      <c r="Y36" s="70"/>
      <c r="Z36" s="70"/>
      <c r="AA36" s="70"/>
      <c r="AB36" s="70"/>
      <c r="AC36" s="70"/>
      <c r="AD36" s="70"/>
      <c r="AE36" s="70"/>
      <c r="AF36" s="70"/>
      <c r="AG36" s="67"/>
      <c r="AH36" s="95"/>
      <c r="AI36" s="70"/>
      <c r="AJ36" s="92"/>
      <c r="AK36" s="70"/>
      <c r="AL36" s="83"/>
      <c r="AM36" s="67"/>
      <c r="AN36" s="70"/>
      <c r="AO36" s="70"/>
      <c r="AP36" s="70"/>
      <c r="AQ36" s="70"/>
      <c r="AR36" s="70"/>
      <c r="AS36" s="70"/>
      <c r="AT36" s="70"/>
      <c r="AU36" s="70"/>
      <c r="AV36" s="70"/>
      <c r="AW36" s="70"/>
      <c r="AX36" s="70"/>
      <c r="AY36" s="70"/>
      <c r="AZ36" s="67"/>
      <c r="BA36" s="67"/>
    </row>
    <row r="37" spans="1:53" s="8" customFormat="1" ht="60" x14ac:dyDescent="0.25">
      <c r="A37" s="33" t="s">
        <v>11</v>
      </c>
      <c r="B37" s="33" t="s">
        <v>16</v>
      </c>
      <c r="C37" s="201"/>
      <c r="D37" s="201"/>
      <c r="E37" s="201"/>
      <c r="F37" s="33" t="s">
        <v>23</v>
      </c>
      <c r="G37" s="201"/>
      <c r="H37" s="43" t="s">
        <v>26</v>
      </c>
      <c r="I37" s="43" t="s">
        <v>119</v>
      </c>
      <c r="J37" s="96">
        <v>1</v>
      </c>
      <c r="K37" s="96" t="s">
        <v>187</v>
      </c>
      <c r="L37" s="96">
        <v>3</v>
      </c>
      <c r="M37" s="66">
        <v>0</v>
      </c>
      <c r="N37" s="43" t="s">
        <v>119</v>
      </c>
      <c r="O37" s="68">
        <v>3</v>
      </c>
      <c r="P37" s="69">
        <v>0</v>
      </c>
      <c r="Q37" s="70"/>
      <c r="R37" s="70"/>
      <c r="S37" s="70"/>
      <c r="T37" s="70"/>
      <c r="U37" s="70"/>
      <c r="V37" s="70"/>
      <c r="W37" s="70"/>
      <c r="X37" s="70"/>
      <c r="Y37" s="70"/>
      <c r="Z37" s="70"/>
      <c r="AA37" s="70"/>
      <c r="AB37" s="70"/>
      <c r="AC37" s="70"/>
      <c r="AD37" s="70"/>
      <c r="AE37" s="70"/>
      <c r="AF37" s="70"/>
      <c r="AG37" s="67"/>
      <c r="AH37" s="95"/>
      <c r="AI37" s="70"/>
      <c r="AJ37" s="92"/>
      <c r="AK37" s="70"/>
      <c r="AL37" s="83"/>
      <c r="AM37" s="67"/>
      <c r="AN37" s="70"/>
      <c r="AO37" s="70"/>
      <c r="AP37" s="70"/>
      <c r="AQ37" s="70"/>
      <c r="AR37" s="70"/>
      <c r="AS37" s="70"/>
      <c r="AT37" s="70"/>
      <c r="AU37" s="70"/>
      <c r="AV37" s="70"/>
      <c r="AW37" s="70"/>
      <c r="AX37" s="70"/>
      <c r="AY37" s="70"/>
      <c r="AZ37" s="67"/>
      <c r="BA37" s="70"/>
    </row>
    <row r="38" spans="1:53" s="8" customFormat="1" ht="75" x14ac:dyDescent="0.25">
      <c r="A38" s="43" t="s">
        <v>27</v>
      </c>
      <c r="B38" s="43" t="s">
        <v>28</v>
      </c>
      <c r="C38" s="201"/>
      <c r="D38" s="201"/>
      <c r="E38" s="201"/>
      <c r="F38" s="201" t="s">
        <v>29</v>
      </c>
      <c r="G38" s="201" t="s">
        <v>30</v>
      </c>
      <c r="H38" s="201" t="s">
        <v>72</v>
      </c>
      <c r="I38" s="201" t="s">
        <v>73</v>
      </c>
      <c r="J38" s="201">
        <v>13</v>
      </c>
      <c r="K38" s="201" t="s">
        <v>187</v>
      </c>
      <c r="L38" s="201">
        <v>4</v>
      </c>
      <c r="M38" s="206">
        <v>1.05</v>
      </c>
      <c r="N38" s="201" t="s">
        <v>73</v>
      </c>
      <c r="O38" s="203">
        <v>13.95</v>
      </c>
      <c r="P38" s="194">
        <f>X38+X39+X40+X41</f>
        <v>6561463.6809999999</v>
      </c>
      <c r="Q38" s="70"/>
      <c r="R38" s="70"/>
      <c r="S38" s="70"/>
      <c r="T38" s="70"/>
      <c r="U38" s="70"/>
      <c r="V38" s="70"/>
      <c r="W38" s="70"/>
      <c r="X38" s="97">
        <v>2427815.1370000001</v>
      </c>
      <c r="Y38" s="70"/>
      <c r="Z38" s="70"/>
      <c r="AA38" s="70"/>
      <c r="AB38" s="70"/>
      <c r="AC38" s="70"/>
      <c r="AD38" s="70"/>
      <c r="AE38" s="70"/>
      <c r="AF38" s="70"/>
      <c r="AG38" s="98" t="s">
        <v>251</v>
      </c>
      <c r="AH38" s="70"/>
      <c r="AI38" s="99" t="s">
        <v>255</v>
      </c>
      <c r="AJ38" s="70"/>
      <c r="AK38" s="100">
        <v>5000</v>
      </c>
      <c r="AL38" s="97">
        <v>2427815.1370000001</v>
      </c>
      <c r="AM38" s="101" t="s">
        <v>259</v>
      </c>
      <c r="AN38" s="70" t="s">
        <v>200</v>
      </c>
      <c r="AO38" s="70" t="s">
        <v>200</v>
      </c>
      <c r="AP38" s="70" t="s">
        <v>200</v>
      </c>
      <c r="AQ38" s="70" t="s">
        <v>200</v>
      </c>
      <c r="AR38" s="70" t="s">
        <v>200</v>
      </c>
      <c r="AS38" s="70" t="s">
        <v>200</v>
      </c>
      <c r="AT38" s="70" t="s">
        <v>200</v>
      </c>
      <c r="AU38" s="70" t="s">
        <v>200</v>
      </c>
      <c r="AV38" s="70" t="s">
        <v>200</v>
      </c>
      <c r="AW38" s="70" t="s">
        <v>200</v>
      </c>
      <c r="AX38" s="70" t="s">
        <v>200</v>
      </c>
      <c r="AY38" s="70" t="s">
        <v>200</v>
      </c>
      <c r="AZ38" s="99" t="s">
        <v>263</v>
      </c>
      <c r="BA38" s="67"/>
    </row>
    <row r="39" spans="1:53" s="8" customFormat="1" ht="180" x14ac:dyDescent="0.25">
      <c r="A39" s="43"/>
      <c r="B39" s="43"/>
      <c r="C39" s="201"/>
      <c r="D39" s="201"/>
      <c r="E39" s="201"/>
      <c r="F39" s="206"/>
      <c r="G39" s="206"/>
      <c r="H39" s="206"/>
      <c r="I39" s="206"/>
      <c r="J39" s="216"/>
      <c r="K39" s="216"/>
      <c r="L39" s="216"/>
      <c r="M39" s="206"/>
      <c r="N39" s="201"/>
      <c r="O39" s="203"/>
      <c r="P39" s="195"/>
      <c r="Q39" s="70"/>
      <c r="R39" s="70"/>
      <c r="S39" s="70"/>
      <c r="T39" s="70"/>
      <c r="U39" s="70"/>
      <c r="V39" s="70"/>
      <c r="W39" s="70"/>
      <c r="X39" s="97">
        <v>445016.31599999999</v>
      </c>
      <c r="Y39" s="70"/>
      <c r="Z39" s="70"/>
      <c r="AA39" s="70"/>
      <c r="AB39" s="70"/>
      <c r="AC39" s="70"/>
      <c r="AD39" s="70"/>
      <c r="AE39" s="70"/>
      <c r="AF39" s="70"/>
      <c r="AG39" s="98" t="s">
        <v>252</v>
      </c>
      <c r="AH39" s="70"/>
      <c r="AI39" s="99" t="s">
        <v>256</v>
      </c>
      <c r="AJ39" s="70"/>
      <c r="AK39" s="100">
        <v>378964</v>
      </c>
      <c r="AL39" s="97">
        <v>445016.31599999999</v>
      </c>
      <c r="AM39" s="101" t="s">
        <v>260</v>
      </c>
      <c r="AN39" s="70" t="s">
        <v>200</v>
      </c>
      <c r="AO39" s="70" t="s">
        <v>200</v>
      </c>
      <c r="AP39" s="70" t="s">
        <v>200</v>
      </c>
      <c r="AQ39" s="70" t="s">
        <v>200</v>
      </c>
      <c r="AR39" s="70" t="s">
        <v>200</v>
      </c>
      <c r="AS39" s="70" t="s">
        <v>200</v>
      </c>
      <c r="AT39" s="70" t="s">
        <v>200</v>
      </c>
      <c r="AU39" s="70" t="s">
        <v>200</v>
      </c>
      <c r="AV39" s="70" t="s">
        <v>200</v>
      </c>
      <c r="AW39" s="70" t="s">
        <v>200</v>
      </c>
      <c r="AX39" s="70" t="s">
        <v>200</v>
      </c>
      <c r="AY39" s="70" t="s">
        <v>200</v>
      </c>
      <c r="AZ39" s="99" t="s">
        <v>263</v>
      </c>
      <c r="BA39" s="67"/>
    </row>
    <row r="40" spans="1:53" s="8" customFormat="1" ht="105" x14ac:dyDescent="0.25">
      <c r="A40" s="43"/>
      <c r="B40" s="43"/>
      <c r="C40" s="201"/>
      <c r="D40" s="201"/>
      <c r="E40" s="201"/>
      <c r="F40" s="206"/>
      <c r="G40" s="206"/>
      <c r="H40" s="206"/>
      <c r="I40" s="206"/>
      <c r="J40" s="216"/>
      <c r="K40" s="216"/>
      <c r="L40" s="216"/>
      <c r="M40" s="206"/>
      <c r="N40" s="201"/>
      <c r="O40" s="203"/>
      <c r="P40" s="195"/>
      <c r="Q40" s="70"/>
      <c r="R40" s="70"/>
      <c r="S40" s="70"/>
      <c r="T40" s="70"/>
      <c r="U40" s="70"/>
      <c r="V40" s="70"/>
      <c r="W40" s="70"/>
      <c r="X40" s="102">
        <v>2358120.7629999998</v>
      </c>
      <c r="Y40" s="70"/>
      <c r="Z40" s="70"/>
      <c r="AA40" s="70"/>
      <c r="AB40" s="70"/>
      <c r="AC40" s="70"/>
      <c r="AD40" s="70"/>
      <c r="AE40" s="70"/>
      <c r="AF40" s="70"/>
      <c r="AG40" s="98" t="s">
        <v>253</v>
      </c>
      <c r="AH40" s="70"/>
      <c r="AI40" s="99" t="s">
        <v>257</v>
      </c>
      <c r="AJ40" s="70"/>
      <c r="AK40" s="290" t="s">
        <v>883</v>
      </c>
      <c r="AL40" s="102">
        <v>2358120.7629999998</v>
      </c>
      <c r="AM40" s="101" t="s">
        <v>261</v>
      </c>
      <c r="AN40" s="70" t="s">
        <v>200</v>
      </c>
      <c r="AO40" s="70" t="s">
        <v>200</v>
      </c>
      <c r="AP40" s="70" t="s">
        <v>200</v>
      </c>
      <c r="AQ40" s="70" t="s">
        <v>200</v>
      </c>
      <c r="AR40" s="70" t="s">
        <v>200</v>
      </c>
      <c r="AS40" s="70" t="s">
        <v>200</v>
      </c>
      <c r="AT40" s="70" t="s">
        <v>200</v>
      </c>
      <c r="AU40" s="70" t="s">
        <v>200</v>
      </c>
      <c r="AV40" s="70" t="s">
        <v>200</v>
      </c>
      <c r="AW40" s="70" t="s">
        <v>200</v>
      </c>
      <c r="AX40" s="70" t="s">
        <v>200</v>
      </c>
      <c r="AY40" s="70" t="s">
        <v>200</v>
      </c>
      <c r="AZ40" s="99" t="s">
        <v>263</v>
      </c>
      <c r="BA40" s="67"/>
    </row>
    <row r="41" spans="1:53" s="8" customFormat="1" ht="120" x14ac:dyDescent="0.25">
      <c r="A41" s="43"/>
      <c r="B41" s="43"/>
      <c r="C41" s="201"/>
      <c r="D41" s="201"/>
      <c r="E41" s="201"/>
      <c r="F41" s="206"/>
      <c r="G41" s="206"/>
      <c r="H41" s="206"/>
      <c r="I41" s="206"/>
      <c r="J41" s="216"/>
      <c r="K41" s="216"/>
      <c r="L41" s="216"/>
      <c r="M41" s="206"/>
      <c r="N41" s="201"/>
      <c r="O41" s="203"/>
      <c r="P41" s="195"/>
      <c r="Q41" s="70"/>
      <c r="R41" s="70"/>
      <c r="S41" s="70"/>
      <c r="T41" s="70"/>
      <c r="U41" s="70"/>
      <c r="V41" s="70"/>
      <c r="W41" s="70"/>
      <c r="X41" s="97">
        <v>1330511.4650000001</v>
      </c>
      <c r="Y41" s="70"/>
      <c r="Z41" s="70"/>
      <c r="AA41" s="70"/>
      <c r="AB41" s="70"/>
      <c r="AC41" s="70"/>
      <c r="AD41" s="70"/>
      <c r="AE41" s="70"/>
      <c r="AF41" s="70"/>
      <c r="AG41" s="98" t="s">
        <v>254</v>
      </c>
      <c r="AH41" s="70"/>
      <c r="AI41" s="99" t="s">
        <v>258</v>
      </c>
      <c r="AJ41" s="70"/>
      <c r="AK41" s="100">
        <v>704</v>
      </c>
      <c r="AL41" s="97">
        <v>1330511.4650000001</v>
      </c>
      <c r="AM41" s="101" t="s">
        <v>262</v>
      </c>
      <c r="AN41" s="70" t="s">
        <v>200</v>
      </c>
      <c r="AO41" s="70" t="s">
        <v>200</v>
      </c>
      <c r="AP41" s="70" t="s">
        <v>200</v>
      </c>
      <c r="AQ41" s="70" t="s">
        <v>200</v>
      </c>
      <c r="AR41" s="70" t="s">
        <v>200</v>
      </c>
      <c r="AS41" s="70" t="s">
        <v>200</v>
      </c>
      <c r="AT41" s="70" t="s">
        <v>200</v>
      </c>
      <c r="AU41" s="70" t="s">
        <v>200</v>
      </c>
      <c r="AV41" s="70" t="s">
        <v>200</v>
      </c>
      <c r="AW41" s="70" t="s">
        <v>200</v>
      </c>
      <c r="AX41" s="70" t="s">
        <v>200</v>
      </c>
      <c r="AY41" s="70" t="s">
        <v>200</v>
      </c>
      <c r="AZ41" s="99" t="s">
        <v>263</v>
      </c>
      <c r="BA41" s="67"/>
    </row>
    <row r="42" spans="1:53" s="8" customFormat="1" ht="57" customHeight="1" x14ac:dyDescent="0.25">
      <c r="A42" s="33" t="s">
        <v>11</v>
      </c>
      <c r="B42" s="33" t="s">
        <v>16</v>
      </c>
      <c r="C42" s="201"/>
      <c r="D42" s="201"/>
      <c r="E42" s="201"/>
      <c r="F42" s="33" t="s">
        <v>74</v>
      </c>
      <c r="G42" s="201" t="s">
        <v>75</v>
      </c>
      <c r="H42" s="43" t="s">
        <v>76</v>
      </c>
      <c r="I42" s="43" t="s">
        <v>77</v>
      </c>
      <c r="J42" s="96">
        <v>6</v>
      </c>
      <c r="K42" s="96" t="s">
        <v>187</v>
      </c>
      <c r="L42" s="96">
        <v>4</v>
      </c>
      <c r="M42" s="66">
        <v>2</v>
      </c>
      <c r="N42" s="43" t="s">
        <v>294</v>
      </c>
      <c r="O42" s="68">
        <v>2</v>
      </c>
      <c r="P42" s="69">
        <f t="shared" ref="P42:P54" si="5">SUM(Q42:AF42)</f>
        <v>50000</v>
      </c>
      <c r="Q42" s="39">
        <v>50000</v>
      </c>
      <c r="R42" s="70"/>
      <c r="S42" s="70"/>
      <c r="T42" s="70"/>
      <c r="U42" s="70"/>
      <c r="V42" s="70"/>
      <c r="W42" s="70"/>
      <c r="X42" s="70"/>
      <c r="Y42" s="70"/>
      <c r="Z42" s="70"/>
      <c r="AA42" s="70"/>
      <c r="AB42" s="70"/>
      <c r="AC42" s="70"/>
      <c r="AD42" s="70"/>
      <c r="AE42" s="70"/>
      <c r="AF42" s="70"/>
      <c r="AG42" s="67" t="s">
        <v>291</v>
      </c>
      <c r="AH42" s="70"/>
      <c r="AI42" s="67"/>
      <c r="AJ42" s="67"/>
      <c r="AK42" s="67"/>
      <c r="AL42" s="83"/>
      <c r="AM42" s="67"/>
      <c r="AN42" s="70"/>
      <c r="AO42" s="70"/>
      <c r="AP42" s="70"/>
      <c r="AQ42" s="70"/>
      <c r="AR42" s="70"/>
      <c r="AS42" s="70"/>
      <c r="AT42" s="70"/>
      <c r="AU42" s="70"/>
      <c r="AV42" s="70"/>
      <c r="AW42" s="70"/>
      <c r="AX42" s="70"/>
      <c r="AY42" s="70"/>
      <c r="AZ42" s="67"/>
      <c r="BA42" s="67" t="s">
        <v>884</v>
      </c>
    </row>
    <row r="43" spans="1:53" s="8" customFormat="1" ht="77.25" customHeight="1" x14ac:dyDescent="0.25">
      <c r="A43" s="33" t="s">
        <v>11</v>
      </c>
      <c r="B43" s="33" t="s">
        <v>16</v>
      </c>
      <c r="C43" s="201"/>
      <c r="D43" s="201"/>
      <c r="E43" s="201"/>
      <c r="F43" s="33" t="s">
        <v>74</v>
      </c>
      <c r="G43" s="201"/>
      <c r="H43" s="43" t="s">
        <v>78</v>
      </c>
      <c r="I43" s="43" t="s">
        <v>79</v>
      </c>
      <c r="J43" s="96">
        <v>770</v>
      </c>
      <c r="K43" s="96" t="s">
        <v>185</v>
      </c>
      <c r="L43" s="103">
        <v>2000</v>
      </c>
      <c r="M43" s="66">
        <v>1709</v>
      </c>
      <c r="N43" s="43" t="s">
        <v>79</v>
      </c>
      <c r="O43" s="68">
        <v>291</v>
      </c>
      <c r="P43" s="69">
        <f t="shared" si="5"/>
        <v>350000</v>
      </c>
      <c r="Q43" s="83">
        <v>350000</v>
      </c>
      <c r="R43" s="70"/>
      <c r="S43" s="70"/>
      <c r="T43" s="70"/>
      <c r="U43" s="70"/>
      <c r="V43" s="70"/>
      <c r="W43" s="70"/>
      <c r="X43" s="70"/>
      <c r="Y43" s="70"/>
      <c r="Z43" s="70"/>
      <c r="AA43" s="70"/>
      <c r="AB43" s="70"/>
      <c r="AC43" s="70"/>
      <c r="AD43" s="70"/>
      <c r="AE43" s="70"/>
      <c r="AF43" s="70"/>
      <c r="AG43" s="67"/>
      <c r="AH43" s="70"/>
      <c r="AI43" s="70"/>
      <c r="AJ43" s="67"/>
      <c r="AK43" s="67"/>
      <c r="AL43" s="70"/>
      <c r="AM43" s="67"/>
      <c r="AN43" s="70"/>
      <c r="AO43" s="70"/>
      <c r="AP43" s="70"/>
      <c r="AQ43" s="70"/>
      <c r="AR43" s="70"/>
      <c r="AS43" s="70"/>
      <c r="AT43" s="70"/>
      <c r="AU43" s="70"/>
      <c r="AV43" s="70"/>
      <c r="AW43" s="70"/>
      <c r="AX43" s="70"/>
      <c r="AY43" s="70"/>
      <c r="AZ43" s="67"/>
      <c r="BA43" s="67"/>
    </row>
    <row r="44" spans="1:53" s="8" customFormat="1" ht="74.25" customHeight="1" x14ac:dyDescent="0.25">
      <c r="A44" s="33" t="s">
        <v>11</v>
      </c>
      <c r="B44" s="33" t="s">
        <v>16</v>
      </c>
      <c r="C44" s="201"/>
      <c r="D44" s="201"/>
      <c r="E44" s="201"/>
      <c r="F44" s="33" t="s">
        <v>74</v>
      </c>
      <c r="G44" s="201"/>
      <c r="H44" s="43" t="s">
        <v>31</v>
      </c>
      <c r="I44" s="43" t="s">
        <v>120</v>
      </c>
      <c r="J44" s="96">
        <v>1020</v>
      </c>
      <c r="K44" s="96" t="s">
        <v>187</v>
      </c>
      <c r="L44" s="96">
        <v>500</v>
      </c>
      <c r="M44" s="66">
        <v>125</v>
      </c>
      <c r="N44" s="43" t="s">
        <v>120</v>
      </c>
      <c r="O44" s="68">
        <v>375</v>
      </c>
      <c r="P44" s="69">
        <f t="shared" si="5"/>
        <v>310000</v>
      </c>
      <c r="Q44" s="83">
        <v>310000</v>
      </c>
      <c r="R44" s="70"/>
      <c r="S44" s="70"/>
      <c r="T44" s="70"/>
      <c r="U44" s="70"/>
      <c r="V44" s="70"/>
      <c r="W44" s="70"/>
      <c r="X44" s="70"/>
      <c r="Y44" s="70"/>
      <c r="Z44" s="70"/>
      <c r="AA44" s="70"/>
      <c r="AB44" s="70"/>
      <c r="AC44" s="70"/>
      <c r="AD44" s="70"/>
      <c r="AE44" s="70"/>
      <c r="AF44" s="70"/>
      <c r="AG44" s="67" t="s">
        <v>885</v>
      </c>
      <c r="AH44" s="95">
        <v>2018003190015</v>
      </c>
      <c r="AI44" s="67" t="s">
        <v>886</v>
      </c>
      <c r="AJ44" s="70" t="s">
        <v>223</v>
      </c>
      <c r="AK44" s="70" t="s">
        <v>223</v>
      </c>
      <c r="AL44" s="83">
        <v>309800</v>
      </c>
      <c r="AM44" s="67" t="s">
        <v>887</v>
      </c>
      <c r="AN44" s="70"/>
      <c r="AO44" s="70"/>
      <c r="AP44" s="70"/>
      <c r="AQ44" s="70"/>
      <c r="AR44" s="70" t="s">
        <v>200</v>
      </c>
      <c r="AS44" s="70" t="s">
        <v>200</v>
      </c>
      <c r="AT44" s="70" t="s">
        <v>200</v>
      </c>
      <c r="AU44" s="70" t="s">
        <v>200</v>
      </c>
      <c r="AV44" s="70" t="s">
        <v>200</v>
      </c>
      <c r="AW44" s="70" t="s">
        <v>200</v>
      </c>
      <c r="AX44" s="70" t="s">
        <v>200</v>
      </c>
      <c r="AY44" s="70" t="s">
        <v>200</v>
      </c>
      <c r="AZ44" s="67" t="s">
        <v>230</v>
      </c>
      <c r="BA44" s="70"/>
    </row>
    <row r="45" spans="1:53" s="8" customFormat="1" ht="274.5" customHeight="1" x14ac:dyDescent="0.25">
      <c r="A45" s="33" t="s">
        <v>11</v>
      </c>
      <c r="B45" s="33" t="s">
        <v>16</v>
      </c>
      <c r="C45" s="201" t="s">
        <v>125</v>
      </c>
      <c r="D45" s="201" t="s">
        <v>126</v>
      </c>
      <c r="E45" s="201">
        <v>0</v>
      </c>
      <c r="F45" s="33" t="s">
        <v>32</v>
      </c>
      <c r="G45" s="201" t="s">
        <v>80</v>
      </c>
      <c r="H45" s="43" t="s">
        <v>33</v>
      </c>
      <c r="I45" s="43" t="s">
        <v>81</v>
      </c>
      <c r="J45" s="96" t="s">
        <v>82</v>
      </c>
      <c r="K45" s="96" t="s">
        <v>187</v>
      </c>
      <c r="L45" s="104">
        <v>0.2</v>
      </c>
      <c r="M45" s="105">
        <v>7.0000000000000007E-2</v>
      </c>
      <c r="N45" s="106" t="s">
        <v>81</v>
      </c>
      <c r="O45" s="107">
        <v>0.3725</v>
      </c>
      <c r="P45" s="69">
        <f>SUM(Q45:AF45)</f>
        <v>1335004.074</v>
      </c>
      <c r="Q45" s="70"/>
      <c r="R45" s="70"/>
      <c r="S45" s="70"/>
      <c r="T45" s="70"/>
      <c r="U45" s="70"/>
      <c r="V45" s="70"/>
      <c r="W45" s="108">
        <v>1335004.074</v>
      </c>
      <c r="X45" s="70"/>
      <c r="Y45" s="70"/>
      <c r="Z45" s="70"/>
      <c r="AA45" s="70"/>
      <c r="AB45" s="70"/>
      <c r="AC45" s="70"/>
      <c r="AD45" s="70"/>
      <c r="AE45" s="70"/>
      <c r="AF45" s="70"/>
      <c r="AG45" s="67" t="s">
        <v>211</v>
      </c>
      <c r="AH45" s="67" t="s">
        <v>212</v>
      </c>
      <c r="AI45" s="70">
        <v>42</v>
      </c>
      <c r="AJ45" s="70"/>
      <c r="AK45" s="83">
        <v>812840</v>
      </c>
      <c r="AL45" s="70">
        <v>1234804743</v>
      </c>
      <c r="AM45" s="106" t="s">
        <v>888</v>
      </c>
      <c r="AN45" s="72" t="s">
        <v>200</v>
      </c>
      <c r="AO45" s="72" t="s">
        <v>200</v>
      </c>
      <c r="AP45" s="72" t="s">
        <v>200</v>
      </c>
      <c r="AQ45" s="72" t="s">
        <v>200</v>
      </c>
      <c r="AR45" s="72" t="s">
        <v>200</v>
      </c>
      <c r="AS45" s="72" t="s">
        <v>200</v>
      </c>
      <c r="AT45" s="72" t="s">
        <v>200</v>
      </c>
      <c r="AU45" s="72" t="s">
        <v>200</v>
      </c>
      <c r="AV45" s="70"/>
      <c r="AW45" s="70"/>
      <c r="AX45" s="70"/>
      <c r="AY45" s="70"/>
      <c r="AZ45" s="67" t="s">
        <v>230</v>
      </c>
      <c r="BA45" s="106" t="s">
        <v>213</v>
      </c>
    </row>
    <row r="46" spans="1:53" s="8" customFormat="1" ht="135" x14ac:dyDescent="0.25">
      <c r="A46" s="33" t="s">
        <v>11</v>
      </c>
      <c r="B46" s="33" t="s">
        <v>16</v>
      </c>
      <c r="C46" s="201"/>
      <c r="D46" s="201"/>
      <c r="E46" s="201"/>
      <c r="F46" s="33" t="s">
        <v>32</v>
      </c>
      <c r="G46" s="201"/>
      <c r="H46" s="43" t="s">
        <v>34</v>
      </c>
      <c r="I46" s="43" t="s">
        <v>83</v>
      </c>
      <c r="J46" s="96">
        <v>16</v>
      </c>
      <c r="K46" s="96" t="s">
        <v>187</v>
      </c>
      <c r="L46" s="96">
        <v>1</v>
      </c>
      <c r="M46" s="66">
        <v>0.25</v>
      </c>
      <c r="N46" s="43" t="s">
        <v>83</v>
      </c>
      <c r="O46" s="68">
        <v>0.75</v>
      </c>
      <c r="P46" s="69">
        <f t="shared" si="5"/>
        <v>4000</v>
      </c>
      <c r="Q46" s="83"/>
      <c r="R46" s="70"/>
      <c r="S46" s="70"/>
      <c r="T46" s="70"/>
      <c r="U46" s="70"/>
      <c r="V46" s="70"/>
      <c r="W46" s="70"/>
      <c r="X46" s="70"/>
      <c r="Y46" s="70"/>
      <c r="Z46" s="70"/>
      <c r="AA46" s="70"/>
      <c r="AB46" s="70"/>
      <c r="AC46" s="70"/>
      <c r="AD46" s="70">
        <v>4000</v>
      </c>
      <c r="AE46" s="70"/>
      <c r="AF46" s="70"/>
      <c r="AG46" s="67" t="s">
        <v>291</v>
      </c>
      <c r="AH46" s="70"/>
      <c r="AI46" s="70"/>
      <c r="AJ46" s="67"/>
      <c r="AK46" s="67"/>
      <c r="AL46" s="83"/>
      <c r="AM46" s="67"/>
      <c r="AN46" s="70"/>
      <c r="AO46" s="70"/>
      <c r="AP46" s="70"/>
      <c r="AQ46" s="70"/>
      <c r="AR46" s="70"/>
      <c r="AS46" s="70"/>
      <c r="AT46" s="70"/>
      <c r="AU46" s="70"/>
      <c r="AV46" s="70"/>
      <c r="AW46" s="70"/>
      <c r="AX46" s="70"/>
      <c r="AY46" s="70"/>
      <c r="AZ46" s="67" t="s">
        <v>292</v>
      </c>
      <c r="BA46" s="67" t="s">
        <v>231</v>
      </c>
    </row>
    <row r="47" spans="1:53" s="8" customFormat="1" ht="45" x14ac:dyDescent="0.25">
      <c r="A47" s="33" t="s">
        <v>11</v>
      </c>
      <c r="B47" s="33" t="s">
        <v>16</v>
      </c>
      <c r="C47" s="201"/>
      <c r="D47" s="201"/>
      <c r="E47" s="201"/>
      <c r="F47" s="33" t="s">
        <v>32</v>
      </c>
      <c r="G47" s="201"/>
      <c r="H47" s="43" t="s">
        <v>35</v>
      </c>
      <c r="I47" s="43" t="s">
        <v>84</v>
      </c>
      <c r="J47" s="96">
        <v>9367</v>
      </c>
      <c r="K47" s="96" t="s">
        <v>187</v>
      </c>
      <c r="L47" s="103">
        <v>6000</v>
      </c>
      <c r="M47" s="66">
        <v>2000</v>
      </c>
      <c r="N47" s="43" t="s">
        <v>84</v>
      </c>
      <c r="O47" s="109">
        <v>8993</v>
      </c>
      <c r="P47" s="69">
        <f t="shared" si="5"/>
        <v>75000</v>
      </c>
      <c r="Q47" s="69">
        <v>75000</v>
      </c>
      <c r="R47" s="70"/>
      <c r="S47" s="70"/>
      <c r="T47" s="70"/>
      <c r="U47" s="70"/>
      <c r="V47" s="70"/>
      <c r="W47" s="70"/>
      <c r="X47" s="70"/>
      <c r="Y47" s="70"/>
      <c r="Z47" s="70"/>
      <c r="AA47" s="70"/>
      <c r="AB47" s="70"/>
      <c r="AC47" s="70"/>
      <c r="AD47" s="70"/>
      <c r="AE47" s="70"/>
      <c r="AF47" s="70"/>
      <c r="AG47" s="67" t="s">
        <v>220</v>
      </c>
      <c r="AH47" s="110">
        <v>2017003190381</v>
      </c>
      <c r="AI47" s="67" t="s">
        <v>221</v>
      </c>
      <c r="AJ47" s="67" t="s">
        <v>197</v>
      </c>
      <c r="AK47" s="67">
        <v>4000</v>
      </c>
      <c r="AL47" s="111">
        <v>75000</v>
      </c>
      <c r="AM47" s="43" t="s">
        <v>889</v>
      </c>
      <c r="AN47" s="70" t="s">
        <v>202</v>
      </c>
      <c r="AO47" s="70" t="s">
        <v>202</v>
      </c>
      <c r="AP47" s="70" t="s">
        <v>202</v>
      </c>
      <c r="AQ47" s="70" t="s">
        <v>202</v>
      </c>
      <c r="AR47" s="70" t="s">
        <v>202</v>
      </c>
      <c r="AS47" s="70" t="s">
        <v>202</v>
      </c>
      <c r="AT47" s="70" t="s">
        <v>202</v>
      </c>
      <c r="AU47" s="70" t="s">
        <v>202</v>
      </c>
      <c r="AV47" s="70" t="s">
        <v>202</v>
      </c>
      <c r="AW47" s="70" t="s">
        <v>202</v>
      </c>
      <c r="AX47" s="70" t="s">
        <v>202</v>
      </c>
      <c r="AY47" s="70" t="s">
        <v>202</v>
      </c>
      <c r="AZ47" s="67" t="s">
        <v>230</v>
      </c>
      <c r="BA47" s="70"/>
    </row>
    <row r="48" spans="1:53" s="8" customFormat="1" ht="45" x14ac:dyDescent="0.25">
      <c r="A48" s="33" t="s">
        <v>11</v>
      </c>
      <c r="B48" s="33" t="s">
        <v>16</v>
      </c>
      <c r="C48" s="201"/>
      <c r="D48" s="201"/>
      <c r="E48" s="201"/>
      <c r="F48" s="33" t="s">
        <v>32</v>
      </c>
      <c r="G48" s="201"/>
      <c r="H48" s="43" t="s">
        <v>85</v>
      </c>
      <c r="I48" s="43" t="s">
        <v>86</v>
      </c>
      <c r="J48" s="43">
        <v>46</v>
      </c>
      <c r="K48" s="43" t="s">
        <v>187</v>
      </c>
      <c r="L48" s="43">
        <v>40</v>
      </c>
      <c r="M48" s="66">
        <v>1</v>
      </c>
      <c r="N48" s="43" t="s">
        <v>86</v>
      </c>
      <c r="O48" s="68">
        <v>39</v>
      </c>
      <c r="P48" s="69">
        <f t="shared" si="5"/>
        <v>2000</v>
      </c>
      <c r="Q48" s="69">
        <v>2000</v>
      </c>
      <c r="R48" s="70"/>
      <c r="S48" s="70"/>
      <c r="T48" s="70"/>
      <c r="U48" s="70"/>
      <c r="V48" s="70"/>
      <c r="W48" s="70"/>
      <c r="X48" s="70"/>
      <c r="Y48" s="70"/>
      <c r="Z48" s="70"/>
      <c r="AA48" s="70"/>
      <c r="AB48" s="70"/>
      <c r="AC48" s="70"/>
      <c r="AD48" s="70"/>
      <c r="AE48" s="70"/>
      <c r="AF48" s="70"/>
      <c r="AG48" s="67" t="s">
        <v>220</v>
      </c>
      <c r="AH48" s="110">
        <v>2017003190381</v>
      </c>
      <c r="AI48" s="67" t="s">
        <v>221</v>
      </c>
      <c r="AJ48" s="67" t="s">
        <v>197</v>
      </c>
      <c r="AK48" s="67">
        <v>1000</v>
      </c>
      <c r="AL48" s="111">
        <v>2000</v>
      </c>
      <c r="AM48" s="43" t="s">
        <v>890</v>
      </c>
      <c r="AN48" s="70" t="s">
        <v>202</v>
      </c>
      <c r="AO48" s="70" t="s">
        <v>202</v>
      </c>
      <c r="AP48" s="70" t="s">
        <v>202</v>
      </c>
      <c r="AQ48" s="70" t="s">
        <v>202</v>
      </c>
      <c r="AR48" s="70" t="s">
        <v>202</v>
      </c>
      <c r="AS48" s="70" t="s">
        <v>202</v>
      </c>
      <c r="AT48" s="70" t="s">
        <v>202</v>
      </c>
      <c r="AU48" s="70" t="s">
        <v>202</v>
      </c>
      <c r="AV48" s="70" t="s">
        <v>202</v>
      </c>
      <c r="AW48" s="70" t="s">
        <v>202</v>
      </c>
      <c r="AX48" s="70" t="s">
        <v>202</v>
      </c>
      <c r="AY48" s="70" t="s">
        <v>202</v>
      </c>
      <c r="AZ48" s="67" t="s">
        <v>230</v>
      </c>
      <c r="BA48" s="70"/>
    </row>
    <row r="49" spans="1:53" s="8" customFormat="1" ht="75" x14ac:dyDescent="0.25">
      <c r="A49" s="33" t="s">
        <v>11</v>
      </c>
      <c r="B49" s="33" t="s">
        <v>16</v>
      </c>
      <c r="C49" s="201" t="s">
        <v>127</v>
      </c>
      <c r="D49" s="201" t="s">
        <v>128</v>
      </c>
      <c r="E49" s="201">
        <v>6</v>
      </c>
      <c r="F49" s="33" t="s">
        <v>32</v>
      </c>
      <c r="G49" s="201"/>
      <c r="H49" s="43" t="s">
        <v>121</v>
      </c>
      <c r="I49" s="43" t="s">
        <v>122</v>
      </c>
      <c r="J49" s="43">
        <v>0</v>
      </c>
      <c r="K49" s="43" t="s">
        <v>187</v>
      </c>
      <c r="L49" s="43">
        <v>1</v>
      </c>
      <c r="M49" s="66">
        <v>0</v>
      </c>
      <c r="N49" s="43" t="s">
        <v>122</v>
      </c>
      <c r="O49" s="68">
        <v>1.5</v>
      </c>
      <c r="P49" s="69">
        <f t="shared" si="4"/>
        <v>0</v>
      </c>
      <c r="Q49" s="70"/>
      <c r="R49" s="70"/>
      <c r="S49" s="70"/>
      <c r="T49" s="70"/>
      <c r="U49" s="70"/>
      <c r="V49" s="70"/>
      <c r="W49" s="70"/>
      <c r="X49" s="70"/>
      <c r="Y49" s="70"/>
      <c r="Z49" s="70"/>
      <c r="AA49" s="70"/>
      <c r="AB49" s="70"/>
      <c r="AC49" s="70"/>
      <c r="AD49" s="70"/>
      <c r="AE49" s="70"/>
      <c r="AF49" s="70"/>
      <c r="AG49" s="71"/>
      <c r="AH49" s="67"/>
      <c r="AI49" s="67"/>
      <c r="AJ49" s="67"/>
      <c r="AK49" s="67"/>
      <c r="AL49" s="67"/>
      <c r="AM49" s="67"/>
      <c r="AN49" s="70"/>
      <c r="AO49" s="72"/>
      <c r="AP49" s="72"/>
      <c r="AQ49" s="72"/>
      <c r="AR49" s="72"/>
      <c r="AS49" s="72"/>
      <c r="AT49" s="72"/>
      <c r="AU49" s="72"/>
      <c r="AV49" s="72"/>
      <c r="AW49" s="72"/>
      <c r="AX49" s="72"/>
      <c r="AY49" s="72"/>
      <c r="AZ49" s="67"/>
      <c r="BA49" s="67"/>
    </row>
    <row r="50" spans="1:53" s="8" customFormat="1" ht="45" x14ac:dyDescent="0.25">
      <c r="A50" s="33" t="s">
        <v>11</v>
      </c>
      <c r="B50" s="33" t="s">
        <v>16</v>
      </c>
      <c r="C50" s="201"/>
      <c r="D50" s="201"/>
      <c r="E50" s="201"/>
      <c r="F50" s="33" t="s">
        <v>32</v>
      </c>
      <c r="G50" s="201"/>
      <c r="H50" s="43" t="s">
        <v>87</v>
      </c>
      <c r="I50" s="43" t="s">
        <v>88</v>
      </c>
      <c r="J50" s="43">
        <v>0</v>
      </c>
      <c r="K50" s="43" t="s">
        <v>187</v>
      </c>
      <c r="L50" s="43">
        <v>7</v>
      </c>
      <c r="M50" s="66">
        <v>6.5</v>
      </c>
      <c r="N50" s="43" t="s">
        <v>88</v>
      </c>
      <c r="O50" s="68">
        <v>0.5</v>
      </c>
      <c r="P50" s="69">
        <v>307000</v>
      </c>
      <c r="Q50" s="70">
        <v>307000</v>
      </c>
      <c r="R50" s="70"/>
      <c r="S50" s="70"/>
      <c r="T50" s="70"/>
      <c r="U50" s="70"/>
      <c r="V50" s="70"/>
      <c r="W50" s="70"/>
      <c r="X50" s="70"/>
      <c r="Y50" s="70"/>
      <c r="Z50" s="70"/>
      <c r="AA50" s="70"/>
      <c r="AB50" s="70"/>
      <c r="AC50" s="70"/>
      <c r="AD50" s="70"/>
      <c r="AE50" s="70"/>
      <c r="AF50" s="70"/>
      <c r="AG50" s="71" t="s">
        <v>222</v>
      </c>
      <c r="AH50" s="67"/>
      <c r="AI50" s="67" t="s">
        <v>870</v>
      </c>
      <c r="AJ50" s="67" t="s">
        <v>197</v>
      </c>
      <c r="AK50" s="70">
        <v>168120</v>
      </c>
      <c r="AL50" s="70">
        <v>43000</v>
      </c>
      <c r="AM50" s="67" t="s">
        <v>208</v>
      </c>
      <c r="AN50" s="70"/>
      <c r="AO50" s="70"/>
      <c r="AP50" s="70"/>
      <c r="AQ50" s="70"/>
      <c r="AR50" s="70"/>
      <c r="AS50" s="72" t="s">
        <v>200</v>
      </c>
      <c r="AT50" s="72" t="s">
        <v>200</v>
      </c>
      <c r="AU50" s="72" t="s">
        <v>200</v>
      </c>
      <c r="AV50" s="72" t="s">
        <v>200</v>
      </c>
      <c r="AW50" s="72" t="s">
        <v>200</v>
      </c>
      <c r="AX50" s="72" t="s">
        <v>200</v>
      </c>
      <c r="AY50" s="72" t="s">
        <v>200</v>
      </c>
      <c r="AZ50" s="67" t="s">
        <v>236</v>
      </c>
      <c r="BA50" s="70"/>
    </row>
    <row r="51" spans="1:53" s="8" customFormat="1" ht="81" customHeight="1" x14ac:dyDescent="0.25">
      <c r="A51" s="33" t="s">
        <v>41</v>
      </c>
      <c r="B51" s="33" t="s">
        <v>89</v>
      </c>
      <c r="C51" s="201"/>
      <c r="D51" s="201"/>
      <c r="E51" s="201"/>
      <c r="F51" s="33" t="s">
        <v>32</v>
      </c>
      <c r="G51" s="201"/>
      <c r="H51" s="40" t="s">
        <v>90</v>
      </c>
      <c r="I51" s="40" t="s">
        <v>91</v>
      </c>
      <c r="J51" s="43">
        <v>25</v>
      </c>
      <c r="K51" s="43" t="s">
        <v>185</v>
      </c>
      <c r="L51" s="43">
        <v>8</v>
      </c>
      <c r="M51" s="66">
        <v>6</v>
      </c>
      <c r="N51" s="40" t="s">
        <v>91</v>
      </c>
      <c r="O51" s="68">
        <v>2</v>
      </c>
      <c r="P51" s="69">
        <f t="shared" si="5"/>
        <v>40000</v>
      </c>
      <c r="Q51" s="112">
        <v>40000</v>
      </c>
      <c r="R51" s="70"/>
      <c r="S51" s="70"/>
      <c r="T51" s="70"/>
      <c r="U51" s="70"/>
      <c r="V51" s="70"/>
      <c r="W51" s="70"/>
      <c r="X51" s="70"/>
      <c r="Y51" s="70"/>
      <c r="Z51" s="70"/>
      <c r="AA51" s="70"/>
      <c r="AB51" s="70"/>
      <c r="AC51" s="70"/>
      <c r="AD51" s="70"/>
      <c r="AE51" s="70"/>
      <c r="AF51" s="70"/>
      <c r="AG51" s="71" t="s">
        <v>222</v>
      </c>
      <c r="AH51" s="67"/>
      <c r="AI51" s="67" t="s">
        <v>870</v>
      </c>
      <c r="AJ51" s="67" t="s">
        <v>197</v>
      </c>
      <c r="AK51" s="70">
        <v>24874</v>
      </c>
      <c r="AL51" s="70">
        <v>40000</v>
      </c>
      <c r="AM51" s="67" t="s">
        <v>209</v>
      </c>
      <c r="AN51" s="70"/>
      <c r="AO51" s="70"/>
      <c r="AP51" s="70"/>
      <c r="AQ51" s="70"/>
      <c r="AR51" s="72" t="s">
        <v>200</v>
      </c>
      <c r="AS51" s="72" t="s">
        <v>200</v>
      </c>
      <c r="AT51" s="72" t="s">
        <v>200</v>
      </c>
      <c r="AU51" s="72" t="s">
        <v>200</v>
      </c>
      <c r="AV51" s="72" t="s">
        <v>200</v>
      </c>
      <c r="AW51" s="72" t="s">
        <v>200</v>
      </c>
      <c r="AX51" s="72" t="s">
        <v>200</v>
      </c>
      <c r="AY51" s="72" t="s">
        <v>200</v>
      </c>
      <c r="AZ51" s="67" t="s">
        <v>236</v>
      </c>
      <c r="BA51" s="70"/>
    </row>
    <row r="52" spans="1:53" s="8" customFormat="1" ht="45" x14ac:dyDescent="0.25">
      <c r="A52" s="33" t="s">
        <v>11</v>
      </c>
      <c r="B52" s="33" t="s">
        <v>16</v>
      </c>
      <c r="C52" s="201"/>
      <c r="D52" s="201"/>
      <c r="E52" s="201"/>
      <c r="F52" s="33" t="s">
        <v>32</v>
      </c>
      <c r="G52" s="201"/>
      <c r="H52" s="43" t="s">
        <v>36</v>
      </c>
      <c r="I52" s="43" t="s">
        <v>37</v>
      </c>
      <c r="J52" s="43">
        <v>25</v>
      </c>
      <c r="K52" s="43" t="s">
        <v>187</v>
      </c>
      <c r="L52" s="43">
        <v>6</v>
      </c>
      <c r="M52" s="66">
        <v>0</v>
      </c>
      <c r="N52" s="43" t="s">
        <v>37</v>
      </c>
      <c r="O52" s="68">
        <v>12</v>
      </c>
      <c r="P52" s="69">
        <f t="shared" si="4"/>
        <v>0</v>
      </c>
      <c r="Q52" s="70"/>
      <c r="R52" s="70"/>
      <c r="S52" s="70"/>
      <c r="T52" s="70"/>
      <c r="U52" s="70"/>
      <c r="V52" s="70"/>
      <c r="W52" s="70"/>
      <c r="X52" s="70"/>
      <c r="Y52" s="70"/>
      <c r="Z52" s="70"/>
      <c r="AA52" s="70"/>
      <c r="AB52" s="70"/>
      <c r="AC52" s="70"/>
      <c r="AD52" s="70"/>
      <c r="AE52" s="70"/>
      <c r="AF52" s="70"/>
      <c r="AG52" s="71"/>
      <c r="AH52" s="67"/>
      <c r="AI52" s="67"/>
      <c r="AJ52" s="67"/>
      <c r="AK52" s="70"/>
      <c r="AL52" s="70"/>
      <c r="AM52" s="70"/>
      <c r="AN52" s="70"/>
      <c r="AO52" s="70"/>
      <c r="AP52" s="70"/>
      <c r="AQ52" s="70"/>
      <c r="AR52" s="70"/>
      <c r="AS52" s="70"/>
      <c r="AT52" s="70"/>
      <c r="AU52" s="70"/>
      <c r="AV52" s="70"/>
      <c r="AW52" s="70"/>
      <c r="AX52" s="70"/>
      <c r="AY52" s="70"/>
      <c r="AZ52" s="67"/>
      <c r="BA52" s="67"/>
    </row>
    <row r="53" spans="1:53" s="8" customFormat="1" ht="45" x14ac:dyDescent="0.25">
      <c r="A53" s="33" t="s">
        <v>11</v>
      </c>
      <c r="B53" s="33" t="s">
        <v>16</v>
      </c>
      <c r="C53" s="201"/>
      <c r="D53" s="201"/>
      <c r="E53" s="201"/>
      <c r="F53" s="33" t="s">
        <v>32</v>
      </c>
      <c r="G53" s="201"/>
      <c r="H53" s="43" t="s">
        <v>38</v>
      </c>
      <c r="I53" s="43" t="s">
        <v>92</v>
      </c>
      <c r="J53" s="43">
        <v>3</v>
      </c>
      <c r="K53" s="43" t="s">
        <v>187</v>
      </c>
      <c r="L53" s="43">
        <v>12</v>
      </c>
      <c r="M53" s="66">
        <v>3</v>
      </c>
      <c r="N53" s="43" t="s">
        <v>92</v>
      </c>
      <c r="O53" s="68">
        <v>9</v>
      </c>
      <c r="P53" s="69">
        <f t="shared" si="5"/>
        <v>3000</v>
      </c>
      <c r="Q53" s="70"/>
      <c r="R53" s="70"/>
      <c r="S53" s="70"/>
      <c r="T53" s="70"/>
      <c r="U53" s="70"/>
      <c r="V53" s="70"/>
      <c r="W53" s="70"/>
      <c r="X53" s="70"/>
      <c r="Y53" s="70"/>
      <c r="Z53" s="70"/>
      <c r="AA53" s="70"/>
      <c r="AB53" s="70"/>
      <c r="AC53" s="70"/>
      <c r="AD53" s="70">
        <v>3000</v>
      </c>
      <c r="AE53" s="70"/>
      <c r="AF53" s="70"/>
      <c r="AG53" s="71" t="s">
        <v>222</v>
      </c>
      <c r="AH53" s="67"/>
      <c r="AI53" s="67" t="s">
        <v>870</v>
      </c>
      <c r="AJ53" s="67" t="s">
        <v>197</v>
      </c>
      <c r="AK53" s="73">
        <v>1400000</v>
      </c>
      <c r="AL53" s="70">
        <v>3000</v>
      </c>
      <c r="AM53" s="67" t="s">
        <v>210</v>
      </c>
      <c r="AN53" s="70"/>
      <c r="AO53" s="70"/>
      <c r="AP53" s="70"/>
      <c r="AQ53" s="72" t="s">
        <v>200</v>
      </c>
      <c r="AR53" s="72"/>
      <c r="AS53" s="72"/>
      <c r="AT53" s="72"/>
      <c r="AU53" s="72" t="s">
        <v>200</v>
      </c>
      <c r="AV53" s="72"/>
      <c r="AW53" s="72"/>
      <c r="AX53" s="72" t="s">
        <v>200</v>
      </c>
      <c r="AY53" s="70"/>
      <c r="AZ53" s="67" t="s">
        <v>236</v>
      </c>
      <c r="BA53" s="70"/>
    </row>
    <row r="54" spans="1:53" s="9" customFormat="1" ht="90" x14ac:dyDescent="0.25">
      <c r="A54" s="33" t="s">
        <v>41</v>
      </c>
      <c r="B54" s="33" t="s">
        <v>89</v>
      </c>
      <c r="C54" s="201" t="s">
        <v>93</v>
      </c>
      <c r="D54" s="201" t="s">
        <v>94</v>
      </c>
      <c r="E54" s="201" t="s">
        <v>95</v>
      </c>
      <c r="F54" s="33" t="s">
        <v>132</v>
      </c>
      <c r="G54" s="201" t="s">
        <v>96</v>
      </c>
      <c r="H54" s="113" t="s">
        <v>97</v>
      </c>
      <c r="I54" s="43" t="s">
        <v>98</v>
      </c>
      <c r="J54" s="43">
        <v>30000</v>
      </c>
      <c r="K54" s="43" t="s">
        <v>185</v>
      </c>
      <c r="L54" s="114">
        <v>0.25</v>
      </c>
      <c r="M54" s="66">
        <v>93</v>
      </c>
      <c r="N54" s="43" t="s">
        <v>98</v>
      </c>
      <c r="O54" s="68">
        <v>907</v>
      </c>
      <c r="P54" s="69">
        <f t="shared" si="5"/>
        <v>1400000</v>
      </c>
      <c r="Q54" s="115"/>
      <c r="R54" s="115"/>
      <c r="S54" s="115"/>
      <c r="T54" s="115"/>
      <c r="U54" s="115"/>
      <c r="V54" s="115"/>
      <c r="W54" s="115">
        <v>1400000</v>
      </c>
      <c r="X54" s="115"/>
      <c r="Y54" s="115"/>
      <c r="Z54" s="115"/>
      <c r="AA54" s="115"/>
      <c r="AB54" s="115"/>
      <c r="AC54" s="115"/>
      <c r="AD54" s="115"/>
      <c r="AE54" s="115"/>
      <c r="AF54" s="115"/>
      <c r="AG54" s="115"/>
      <c r="AH54" s="115"/>
      <c r="AI54" s="115"/>
      <c r="AJ54" s="115"/>
      <c r="AK54" s="115"/>
      <c r="AL54" s="115"/>
      <c r="AM54" s="71"/>
      <c r="AN54" s="115"/>
      <c r="AO54" s="115"/>
      <c r="AP54" s="115"/>
      <c r="AQ54" s="115"/>
      <c r="AR54" s="115"/>
      <c r="AS54" s="115"/>
      <c r="AT54" s="115"/>
      <c r="AU54" s="115" t="s">
        <v>200</v>
      </c>
      <c r="AV54" s="115" t="s">
        <v>200</v>
      </c>
      <c r="AW54" s="115" t="s">
        <v>200</v>
      </c>
      <c r="AX54" s="115" t="s">
        <v>200</v>
      </c>
      <c r="AY54" s="115" t="s">
        <v>200</v>
      </c>
      <c r="AZ54" s="71" t="s">
        <v>240</v>
      </c>
      <c r="BA54" s="71" t="s">
        <v>241</v>
      </c>
    </row>
    <row r="55" spans="1:53" s="9" customFormat="1" ht="165" x14ac:dyDescent="0.25">
      <c r="A55" s="33" t="s">
        <v>41</v>
      </c>
      <c r="B55" s="33" t="s">
        <v>89</v>
      </c>
      <c r="C55" s="201"/>
      <c r="D55" s="201"/>
      <c r="E55" s="201"/>
      <c r="F55" s="33" t="s">
        <v>132</v>
      </c>
      <c r="G55" s="201"/>
      <c r="H55" s="113" t="s">
        <v>99</v>
      </c>
      <c r="I55" s="43" t="s">
        <v>135</v>
      </c>
      <c r="J55" s="116">
        <v>0</v>
      </c>
      <c r="K55" s="43" t="s">
        <v>185</v>
      </c>
      <c r="L55" s="116">
        <v>1</v>
      </c>
      <c r="M55" s="66">
        <v>0.33</v>
      </c>
      <c r="N55" s="43" t="s">
        <v>135</v>
      </c>
      <c r="O55" s="68">
        <v>0.67</v>
      </c>
      <c r="P55" s="117">
        <f t="shared" si="4"/>
        <v>3750386.9789999998</v>
      </c>
      <c r="Q55" s="72"/>
      <c r="R55" s="72"/>
      <c r="S55" s="72"/>
      <c r="T55" s="72"/>
      <c r="U55" s="72"/>
      <c r="V55" s="72"/>
      <c r="W55" s="72"/>
      <c r="X55" s="56">
        <v>3750386.9789999998</v>
      </c>
      <c r="Y55" s="72"/>
      <c r="Z55" s="72"/>
      <c r="AA55" s="72"/>
      <c r="AB55" s="72"/>
      <c r="AC55" s="72"/>
      <c r="AD55" s="72"/>
      <c r="AE55" s="72"/>
      <c r="AF55" s="72"/>
      <c r="AG55" s="106" t="s">
        <v>218</v>
      </c>
      <c r="AH55" s="118">
        <v>2014000100064</v>
      </c>
      <c r="AI55" s="119" t="s">
        <v>891</v>
      </c>
      <c r="AJ55" s="72"/>
      <c r="AK55" s="120">
        <v>477119</v>
      </c>
      <c r="AL55" s="121">
        <v>3750386.9789999998</v>
      </c>
      <c r="AM55" s="119" t="s">
        <v>219</v>
      </c>
      <c r="AN55" s="72" t="s">
        <v>202</v>
      </c>
      <c r="AO55" s="72" t="s">
        <v>202</v>
      </c>
      <c r="AP55" s="72" t="s">
        <v>202</v>
      </c>
      <c r="AQ55" s="72" t="s">
        <v>202</v>
      </c>
      <c r="AR55" s="72" t="s">
        <v>202</v>
      </c>
      <c r="AS55" s="72" t="s">
        <v>202</v>
      </c>
      <c r="AT55" s="72" t="s">
        <v>202</v>
      </c>
      <c r="AU55" s="72" t="s">
        <v>202</v>
      </c>
      <c r="AV55" s="72" t="s">
        <v>202</v>
      </c>
      <c r="AW55" s="72" t="s">
        <v>202</v>
      </c>
      <c r="AX55" s="72" t="s">
        <v>202</v>
      </c>
      <c r="AY55" s="72" t="s">
        <v>202</v>
      </c>
      <c r="AZ55" s="67" t="s">
        <v>230</v>
      </c>
      <c r="BA55" s="72"/>
    </row>
    <row r="56" spans="1:53" s="9" customFormat="1" ht="165" x14ac:dyDescent="0.25">
      <c r="A56" s="33" t="s">
        <v>41</v>
      </c>
      <c r="B56" s="33" t="s">
        <v>89</v>
      </c>
      <c r="C56" s="201"/>
      <c r="D56" s="201"/>
      <c r="E56" s="201"/>
      <c r="F56" s="33" t="s">
        <v>132</v>
      </c>
      <c r="G56" s="201"/>
      <c r="H56" s="113" t="s">
        <v>100</v>
      </c>
      <c r="I56" s="43" t="s">
        <v>101</v>
      </c>
      <c r="J56" s="43">
        <v>0</v>
      </c>
      <c r="K56" s="43" t="s">
        <v>185</v>
      </c>
      <c r="L56" s="43">
        <v>1</v>
      </c>
      <c r="M56" s="66">
        <v>1</v>
      </c>
      <c r="N56" s="43" t="s">
        <v>101</v>
      </c>
      <c r="O56" s="68">
        <v>0</v>
      </c>
      <c r="P56" s="69">
        <f t="shared" si="4"/>
        <v>430000</v>
      </c>
      <c r="Q56" s="115">
        <f>180000+250000</f>
        <v>430000</v>
      </c>
      <c r="R56" s="115"/>
      <c r="S56" s="115"/>
      <c r="T56" s="115"/>
      <c r="U56" s="115"/>
      <c r="V56" s="115"/>
      <c r="W56" s="115"/>
      <c r="X56" s="115"/>
      <c r="Y56" s="115"/>
      <c r="Z56" s="115"/>
      <c r="AA56" s="115"/>
      <c r="AB56" s="115"/>
      <c r="AC56" s="115"/>
      <c r="AD56" s="115"/>
      <c r="AE56" s="115"/>
      <c r="AF56" s="115"/>
      <c r="AG56" s="115"/>
      <c r="AH56" s="115"/>
      <c r="AI56" s="115"/>
      <c r="AJ56" s="115" t="s">
        <v>233</v>
      </c>
      <c r="AK56" s="115" t="s">
        <v>232</v>
      </c>
      <c r="AL56" s="122">
        <f>W56</f>
        <v>0</v>
      </c>
      <c r="AM56" s="115" t="s">
        <v>892</v>
      </c>
      <c r="AN56" s="115"/>
      <c r="AO56" s="115"/>
      <c r="AP56" s="115"/>
      <c r="AQ56" s="115"/>
      <c r="AR56" s="115"/>
      <c r="AS56" s="115"/>
      <c r="AT56" s="115" t="s">
        <v>200</v>
      </c>
      <c r="AU56" s="115" t="s">
        <v>200</v>
      </c>
      <c r="AV56" s="115" t="s">
        <v>200</v>
      </c>
      <c r="AW56" s="115" t="s">
        <v>200</v>
      </c>
      <c r="AX56" s="115" t="s">
        <v>200</v>
      </c>
      <c r="AY56" s="115" t="s">
        <v>200</v>
      </c>
      <c r="AZ56" s="71"/>
      <c r="BA56" s="71"/>
    </row>
    <row r="57" spans="1:53" s="9" customFormat="1" ht="150" x14ac:dyDescent="0.25">
      <c r="A57" s="33" t="s">
        <v>41</v>
      </c>
      <c r="B57" s="33" t="s">
        <v>89</v>
      </c>
      <c r="C57" s="201"/>
      <c r="D57" s="201"/>
      <c r="E57" s="201"/>
      <c r="F57" s="40" t="s">
        <v>102</v>
      </c>
      <c r="G57" s="113" t="s">
        <v>103</v>
      </c>
      <c r="H57" s="113" t="s">
        <v>104</v>
      </c>
      <c r="I57" s="113" t="s">
        <v>105</v>
      </c>
      <c r="J57" s="116">
        <v>14</v>
      </c>
      <c r="K57" s="116" t="s">
        <v>185</v>
      </c>
      <c r="L57" s="116">
        <v>4</v>
      </c>
      <c r="M57" s="66">
        <v>2</v>
      </c>
      <c r="N57" s="113" t="s">
        <v>105</v>
      </c>
      <c r="O57" s="68">
        <v>2</v>
      </c>
      <c r="P57" s="69">
        <v>2000000</v>
      </c>
      <c r="Q57" s="115"/>
      <c r="R57" s="115"/>
      <c r="S57" s="115"/>
      <c r="T57" s="115"/>
      <c r="U57" s="115"/>
      <c r="V57" s="115"/>
      <c r="W57" s="122">
        <f>P57</f>
        <v>2000000</v>
      </c>
      <c r="X57" s="115"/>
      <c r="Y57" s="115"/>
      <c r="Z57" s="115"/>
      <c r="AA57" s="115"/>
      <c r="AB57" s="115"/>
      <c r="AC57" s="115"/>
      <c r="AD57" s="115"/>
      <c r="AE57" s="115"/>
      <c r="AF57" s="115"/>
      <c r="AG57" s="115"/>
      <c r="AH57" s="115"/>
      <c r="AI57" s="115"/>
      <c r="AJ57" s="115" t="s">
        <v>233</v>
      </c>
      <c r="AK57" s="115" t="s">
        <v>232</v>
      </c>
      <c r="AL57" s="122">
        <f>W57</f>
        <v>2000000</v>
      </c>
      <c r="AM57" s="115" t="s">
        <v>892</v>
      </c>
      <c r="AN57" s="115"/>
      <c r="AO57" s="115"/>
      <c r="AP57" s="115"/>
      <c r="AQ57" s="115"/>
      <c r="AR57" s="115"/>
      <c r="AS57" s="115"/>
      <c r="AT57" s="115" t="s">
        <v>200</v>
      </c>
      <c r="AU57" s="115" t="s">
        <v>200</v>
      </c>
      <c r="AV57" s="115" t="s">
        <v>200</v>
      </c>
      <c r="AW57" s="115" t="s">
        <v>200</v>
      </c>
      <c r="AX57" s="115" t="s">
        <v>200</v>
      </c>
      <c r="AY57" s="115" t="s">
        <v>200</v>
      </c>
      <c r="AZ57" s="71" t="s">
        <v>240</v>
      </c>
      <c r="BA57" s="71" t="s">
        <v>241</v>
      </c>
    </row>
    <row r="58" spans="1:53" s="9" customFormat="1" ht="105" customHeight="1" x14ac:dyDescent="0.25">
      <c r="A58" s="33" t="s">
        <v>41</v>
      </c>
      <c r="B58" s="33" t="s">
        <v>89</v>
      </c>
      <c r="C58" s="201" t="s">
        <v>136</v>
      </c>
      <c r="D58" s="201" t="s">
        <v>137</v>
      </c>
      <c r="E58" s="201">
        <v>0.55000000000000004</v>
      </c>
      <c r="F58" s="33" t="s">
        <v>106</v>
      </c>
      <c r="G58" s="201" t="s">
        <v>39</v>
      </c>
      <c r="H58" s="113" t="s">
        <v>123</v>
      </c>
      <c r="I58" s="43" t="s">
        <v>107</v>
      </c>
      <c r="J58" s="116">
        <v>89</v>
      </c>
      <c r="K58" s="43" t="s">
        <v>185</v>
      </c>
      <c r="L58" s="116">
        <v>700</v>
      </c>
      <c r="M58" s="66">
        <v>100</v>
      </c>
      <c r="N58" s="43" t="s">
        <v>107</v>
      </c>
      <c r="O58" s="68">
        <v>720</v>
      </c>
      <c r="P58" s="69">
        <f t="shared" si="4"/>
        <v>1500000</v>
      </c>
      <c r="Q58" s="115">
        <v>1500000</v>
      </c>
      <c r="R58" s="115"/>
      <c r="S58" s="115"/>
      <c r="T58" s="123"/>
      <c r="U58" s="115"/>
      <c r="V58" s="115"/>
      <c r="W58" s="115"/>
      <c r="X58" s="115"/>
      <c r="Y58" s="115"/>
      <c r="Z58" s="115"/>
      <c r="AA58" s="123"/>
      <c r="AB58" s="115"/>
      <c r="AC58" s="123"/>
      <c r="AD58" s="115"/>
      <c r="AE58" s="115"/>
      <c r="AF58" s="115"/>
      <c r="AG58" s="71" t="s">
        <v>893</v>
      </c>
      <c r="AH58" s="124">
        <v>2018003190021</v>
      </c>
      <c r="AI58" s="71" t="s">
        <v>234</v>
      </c>
      <c r="AJ58" s="115" t="s">
        <v>235</v>
      </c>
      <c r="AK58" s="71" t="s">
        <v>894</v>
      </c>
      <c r="AL58" s="115">
        <f>P58</f>
        <v>1500000</v>
      </c>
      <c r="AM58" s="71" t="s">
        <v>895</v>
      </c>
      <c r="AN58" s="115" t="s">
        <v>200</v>
      </c>
      <c r="AO58" s="115" t="s">
        <v>200</v>
      </c>
      <c r="AP58" s="115" t="s">
        <v>200</v>
      </c>
      <c r="AQ58" s="115" t="s">
        <v>200</v>
      </c>
      <c r="AR58" s="115" t="s">
        <v>200</v>
      </c>
      <c r="AS58" s="115" t="s">
        <v>200</v>
      </c>
      <c r="AT58" s="115" t="s">
        <v>200</v>
      </c>
      <c r="AU58" s="115" t="s">
        <v>200</v>
      </c>
      <c r="AV58" s="115" t="s">
        <v>200</v>
      </c>
      <c r="AW58" s="115" t="s">
        <v>200</v>
      </c>
      <c r="AX58" s="115" t="s">
        <v>200</v>
      </c>
      <c r="AY58" s="115" t="s">
        <v>200</v>
      </c>
      <c r="AZ58" s="71" t="s">
        <v>238</v>
      </c>
      <c r="BA58" s="115"/>
    </row>
    <row r="59" spans="1:53" s="9" customFormat="1" ht="90" customHeight="1" x14ac:dyDescent="0.25">
      <c r="A59" s="33" t="s">
        <v>41</v>
      </c>
      <c r="B59" s="33" t="s">
        <v>89</v>
      </c>
      <c r="C59" s="201"/>
      <c r="D59" s="201"/>
      <c r="E59" s="201"/>
      <c r="F59" s="33" t="s">
        <v>106</v>
      </c>
      <c r="G59" s="201"/>
      <c r="H59" s="113" t="s">
        <v>130</v>
      </c>
      <c r="I59" s="43" t="s">
        <v>131</v>
      </c>
      <c r="J59" s="116">
        <v>0</v>
      </c>
      <c r="K59" s="43" t="s">
        <v>185</v>
      </c>
      <c r="L59" s="116">
        <v>1</v>
      </c>
      <c r="M59" s="66">
        <v>0</v>
      </c>
      <c r="N59" s="43" t="s">
        <v>131</v>
      </c>
      <c r="O59" s="68">
        <v>1</v>
      </c>
      <c r="P59" s="69">
        <f t="shared" si="4"/>
        <v>0</v>
      </c>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row>
    <row r="60" spans="1:53" s="9" customFormat="1" ht="135" x14ac:dyDescent="0.25">
      <c r="A60" s="33" t="s">
        <v>41</v>
      </c>
      <c r="B60" s="33" t="s">
        <v>89</v>
      </c>
      <c r="C60" s="201"/>
      <c r="D60" s="201"/>
      <c r="E60" s="201"/>
      <c r="F60" s="33" t="s">
        <v>106</v>
      </c>
      <c r="G60" s="201"/>
      <c r="H60" s="113" t="s">
        <v>108</v>
      </c>
      <c r="I60" s="43" t="s">
        <v>109</v>
      </c>
      <c r="J60" s="116">
        <v>0</v>
      </c>
      <c r="K60" s="116" t="s">
        <v>185</v>
      </c>
      <c r="L60" s="116">
        <v>1</v>
      </c>
      <c r="M60" s="66">
        <v>0.18</v>
      </c>
      <c r="N60" s="43" t="s">
        <v>109</v>
      </c>
      <c r="O60" s="68">
        <v>0.82</v>
      </c>
      <c r="P60" s="69">
        <f t="shared" si="4"/>
        <v>1529706.99</v>
      </c>
      <c r="Q60" s="115"/>
      <c r="R60" s="115"/>
      <c r="S60" s="115"/>
      <c r="T60" s="115"/>
      <c r="U60" s="115"/>
      <c r="V60" s="115"/>
      <c r="W60" s="115"/>
      <c r="X60" s="115">
        <v>1529706.99</v>
      </c>
      <c r="Y60" s="72"/>
      <c r="Z60" s="72"/>
      <c r="AA60" s="72"/>
      <c r="AB60" s="72"/>
      <c r="AC60" s="72"/>
      <c r="AD60" s="72"/>
      <c r="AE60" s="72"/>
      <c r="AF60" s="72"/>
      <c r="AG60" s="106" t="s">
        <v>214</v>
      </c>
      <c r="AH60" s="118">
        <v>2013000100076</v>
      </c>
      <c r="AI60" s="119" t="s">
        <v>215</v>
      </c>
      <c r="AJ60" s="72"/>
      <c r="AK60" s="120" t="s">
        <v>216</v>
      </c>
      <c r="AL60" s="121">
        <v>1529706.99</v>
      </c>
      <c r="AM60" s="119" t="s">
        <v>217</v>
      </c>
      <c r="AN60" s="72" t="s">
        <v>202</v>
      </c>
      <c r="AO60" s="72" t="s">
        <v>202</v>
      </c>
      <c r="AP60" s="72" t="s">
        <v>202</v>
      </c>
      <c r="AQ60" s="72" t="s">
        <v>202</v>
      </c>
      <c r="AR60" s="72" t="s">
        <v>202</v>
      </c>
      <c r="AS60" s="72" t="s">
        <v>202</v>
      </c>
      <c r="AT60" s="72" t="s">
        <v>202</v>
      </c>
      <c r="AU60" s="72" t="s">
        <v>202</v>
      </c>
      <c r="AV60" s="72" t="s">
        <v>202</v>
      </c>
      <c r="AW60" s="72" t="s">
        <v>202</v>
      </c>
      <c r="AX60" s="72" t="s">
        <v>202</v>
      </c>
      <c r="AY60" s="72" t="s">
        <v>202</v>
      </c>
      <c r="AZ60" s="67" t="s">
        <v>230</v>
      </c>
      <c r="BA60" s="72"/>
    </row>
    <row r="61" spans="1:53" s="9" customFormat="1" ht="90" customHeight="1" x14ac:dyDescent="0.25">
      <c r="A61" s="33" t="s">
        <v>41</v>
      </c>
      <c r="B61" s="33" t="s">
        <v>89</v>
      </c>
      <c r="C61" s="201" t="s">
        <v>110</v>
      </c>
      <c r="D61" s="201" t="s">
        <v>111</v>
      </c>
      <c r="E61" s="205" t="s">
        <v>112</v>
      </c>
      <c r="F61" s="43" t="s">
        <v>113</v>
      </c>
      <c r="G61" s="204" t="s">
        <v>114</v>
      </c>
      <c r="H61" s="113" t="s">
        <v>115</v>
      </c>
      <c r="I61" s="113" t="s">
        <v>116</v>
      </c>
      <c r="J61" s="43">
        <v>0</v>
      </c>
      <c r="K61" s="116" t="s">
        <v>185</v>
      </c>
      <c r="L61" s="43">
        <v>1</v>
      </c>
      <c r="M61" s="66">
        <v>0.34</v>
      </c>
      <c r="N61" s="113" t="s">
        <v>116</v>
      </c>
      <c r="O61" s="68">
        <v>0.66</v>
      </c>
      <c r="P61" s="69">
        <f>SUM(Q61:AF61)</f>
        <v>83000</v>
      </c>
      <c r="Q61" s="115"/>
      <c r="R61" s="115"/>
      <c r="S61" s="115"/>
      <c r="T61" s="115"/>
      <c r="U61" s="115"/>
      <c r="V61" s="115"/>
      <c r="W61" s="115"/>
      <c r="X61" s="115"/>
      <c r="Y61" s="115"/>
      <c r="Z61" s="115"/>
      <c r="AA61" s="115"/>
      <c r="AB61" s="115"/>
      <c r="AC61" s="115"/>
      <c r="AD61" s="115">
        <v>83000</v>
      </c>
      <c r="AE61" s="115"/>
      <c r="AF61" s="115"/>
      <c r="AG61" s="67"/>
      <c r="AH61" s="67"/>
      <c r="AI61" s="72"/>
      <c r="AJ61" s="70"/>
      <c r="AK61" s="115"/>
      <c r="AL61" s="115"/>
      <c r="AM61" s="71"/>
      <c r="AN61" s="115"/>
      <c r="AO61" s="115"/>
      <c r="AP61" s="115"/>
      <c r="AQ61" s="115"/>
      <c r="AR61" s="115"/>
      <c r="AS61" s="115"/>
      <c r="AT61" s="115"/>
      <c r="AU61" s="115"/>
      <c r="AV61" s="115"/>
      <c r="AW61" s="115"/>
      <c r="AX61" s="115"/>
      <c r="AY61" s="115"/>
      <c r="AZ61" s="67" t="s">
        <v>237</v>
      </c>
      <c r="BA61" s="67" t="s">
        <v>231</v>
      </c>
    </row>
    <row r="62" spans="1:53" s="9" customFormat="1" ht="90" x14ac:dyDescent="0.25">
      <c r="A62" s="33" t="s">
        <v>41</v>
      </c>
      <c r="B62" s="33" t="s">
        <v>89</v>
      </c>
      <c r="C62" s="201"/>
      <c r="D62" s="201"/>
      <c r="E62" s="205"/>
      <c r="F62" s="43" t="s">
        <v>113</v>
      </c>
      <c r="G62" s="204"/>
      <c r="H62" s="113" t="s">
        <v>117</v>
      </c>
      <c r="I62" s="113" t="s">
        <v>118</v>
      </c>
      <c r="J62" s="114">
        <v>0.25</v>
      </c>
      <c r="K62" s="43" t="s">
        <v>185</v>
      </c>
      <c r="L62" s="114">
        <v>0.7</v>
      </c>
      <c r="M62" s="105">
        <v>0.26</v>
      </c>
      <c r="N62" s="113" t="s">
        <v>118</v>
      </c>
      <c r="O62" s="107">
        <v>0.44</v>
      </c>
      <c r="P62" s="69">
        <f t="shared" si="4"/>
        <v>8804882</v>
      </c>
      <c r="Q62" s="122"/>
      <c r="R62" s="115"/>
      <c r="S62" s="115"/>
      <c r="T62" s="115"/>
      <c r="U62" s="115"/>
      <c r="V62" s="115"/>
      <c r="W62" s="115">
        <v>8804882</v>
      </c>
      <c r="X62" s="115"/>
      <c r="Y62" s="115"/>
      <c r="Z62" s="115"/>
      <c r="AA62" s="115"/>
      <c r="AB62" s="115"/>
      <c r="AC62" s="115"/>
      <c r="AD62" s="115"/>
      <c r="AE62" s="115"/>
      <c r="AF62" s="115"/>
      <c r="AG62" s="67" t="s">
        <v>871</v>
      </c>
      <c r="AH62" s="95"/>
      <c r="AI62" s="126"/>
      <c r="AJ62" s="67"/>
      <c r="AK62" s="127"/>
      <c r="AL62" s="122"/>
      <c r="AM62" s="71"/>
      <c r="AN62" s="115"/>
      <c r="AO62" s="115"/>
      <c r="AP62" s="115"/>
      <c r="AQ62" s="115"/>
      <c r="AR62" s="115"/>
      <c r="AS62" s="115"/>
      <c r="AT62" s="115"/>
      <c r="AU62" s="115"/>
      <c r="AV62" s="115"/>
      <c r="AW62" s="115"/>
      <c r="AX62" s="115"/>
      <c r="AY62" s="115"/>
      <c r="AZ62" s="67" t="s">
        <v>237</v>
      </c>
      <c r="BA62" s="67" t="s">
        <v>231</v>
      </c>
    </row>
    <row r="63" spans="1:53" s="10" customFormat="1" ht="20.25" customHeight="1" x14ac:dyDescent="0.25">
      <c r="A63" s="3"/>
      <c r="B63" s="3"/>
      <c r="C63" s="3"/>
      <c r="D63" s="3"/>
      <c r="E63" s="3"/>
      <c r="F63" s="3"/>
      <c r="G63" s="3"/>
      <c r="H63" s="3"/>
      <c r="I63" s="3"/>
      <c r="J63" s="3"/>
      <c r="K63" s="3"/>
      <c r="L63" s="3"/>
    </row>
    <row r="64" spans="1:53" s="10" customFormat="1" x14ac:dyDescent="0.25">
      <c r="A64" s="213" t="s">
        <v>172</v>
      </c>
      <c r="B64" s="213"/>
      <c r="C64" s="11"/>
      <c r="D64" s="11"/>
      <c r="E64" s="3"/>
      <c r="F64" s="3"/>
      <c r="G64" s="3"/>
      <c r="H64" s="3"/>
      <c r="I64" s="3"/>
      <c r="J64" s="3"/>
      <c r="K64" s="3"/>
      <c r="L64" s="3"/>
    </row>
    <row r="65" spans="1:12" s="10" customFormat="1" x14ac:dyDescent="0.25">
      <c r="A65" s="213" t="s">
        <v>173</v>
      </c>
      <c r="B65" s="213"/>
      <c r="C65" s="215" t="s">
        <v>174</v>
      </c>
      <c r="D65" s="215"/>
      <c r="E65" s="3"/>
      <c r="F65" s="3"/>
      <c r="G65" s="3"/>
      <c r="H65" s="3"/>
      <c r="I65" s="3"/>
      <c r="J65" s="3"/>
      <c r="K65" s="3"/>
      <c r="L65" s="3"/>
    </row>
    <row r="66" spans="1:12" s="10" customFormat="1" x14ac:dyDescent="0.25">
      <c r="A66" s="213" t="s">
        <v>175</v>
      </c>
      <c r="B66" s="213"/>
      <c r="C66" s="215" t="s">
        <v>176</v>
      </c>
      <c r="D66" s="215"/>
      <c r="E66" s="3"/>
      <c r="F66" s="3"/>
      <c r="G66" s="3"/>
      <c r="H66" s="3"/>
      <c r="I66" s="3"/>
      <c r="J66" s="3"/>
      <c r="K66" s="3"/>
      <c r="L66" s="3"/>
    </row>
    <row r="67" spans="1:12" s="10" customFormat="1" x14ac:dyDescent="0.25">
      <c r="A67" s="213" t="s">
        <v>177</v>
      </c>
      <c r="B67" s="213"/>
      <c r="C67" s="215" t="s">
        <v>174</v>
      </c>
      <c r="D67" s="215"/>
      <c r="E67" s="3"/>
      <c r="F67" s="3"/>
      <c r="G67" s="3"/>
      <c r="H67" s="3"/>
      <c r="I67" s="3"/>
      <c r="J67" s="3"/>
      <c r="K67" s="3"/>
      <c r="L67" s="3"/>
    </row>
    <row r="68" spans="1:12" s="10" customFormat="1" x14ac:dyDescent="0.25">
      <c r="A68" s="213" t="s">
        <v>178</v>
      </c>
      <c r="B68" s="213"/>
      <c r="C68" s="214" t="s">
        <v>179</v>
      </c>
      <c r="D68" s="214"/>
      <c r="E68" s="3"/>
      <c r="F68" s="3"/>
      <c r="G68" s="3"/>
      <c r="H68" s="3"/>
      <c r="I68" s="3"/>
      <c r="J68" s="3"/>
      <c r="K68" s="3"/>
      <c r="L68" s="3"/>
    </row>
    <row r="69" spans="1:12" s="10" customFormat="1" x14ac:dyDescent="0.25">
      <c r="A69" s="12"/>
      <c r="B69" s="12"/>
      <c r="C69" s="12"/>
      <c r="D69" s="12"/>
      <c r="E69" s="3"/>
      <c r="F69" s="3"/>
      <c r="G69" s="3"/>
      <c r="H69" s="3"/>
      <c r="I69" s="3"/>
      <c r="J69" s="3"/>
      <c r="K69" s="3"/>
      <c r="L69" s="3"/>
    </row>
    <row r="70" spans="1:12" s="10" customFormat="1" x14ac:dyDescent="0.25">
      <c r="A70" s="3"/>
      <c r="B70" s="3"/>
      <c r="C70" s="3"/>
      <c r="D70" s="3"/>
      <c r="E70" s="3"/>
      <c r="F70" s="3"/>
      <c r="G70" s="3"/>
      <c r="H70" s="3"/>
      <c r="I70" s="3"/>
      <c r="J70" s="3"/>
      <c r="K70" s="3"/>
      <c r="L70" s="3"/>
    </row>
    <row r="71" spans="1:12" s="10" customFormat="1" x14ac:dyDescent="0.25">
      <c r="A71" s="3"/>
      <c r="B71" s="3"/>
      <c r="C71" s="3"/>
      <c r="D71" s="3"/>
      <c r="E71" s="3"/>
      <c r="F71" s="3"/>
      <c r="G71" s="3"/>
      <c r="H71" s="3"/>
      <c r="I71" s="3"/>
      <c r="J71" s="3"/>
      <c r="K71" s="3"/>
      <c r="L71" s="3"/>
    </row>
    <row r="72" spans="1:12" s="10" customFormat="1" x14ac:dyDescent="0.25">
      <c r="A72" s="3"/>
      <c r="B72" s="3"/>
      <c r="C72" s="3"/>
      <c r="D72" s="3"/>
      <c r="E72" s="3"/>
      <c r="F72" s="3"/>
      <c r="G72" s="3"/>
      <c r="H72" s="3"/>
      <c r="I72" s="3"/>
      <c r="J72" s="3"/>
      <c r="K72" s="3"/>
      <c r="L72" s="3"/>
    </row>
    <row r="73" spans="1:12" s="10" customFormat="1" x14ac:dyDescent="0.25">
      <c r="A73" s="3"/>
      <c r="B73" s="3"/>
      <c r="C73" s="3"/>
      <c r="D73" s="3"/>
      <c r="E73" s="3"/>
      <c r="F73" s="3"/>
      <c r="G73" s="3"/>
      <c r="H73" s="3"/>
      <c r="I73" s="3"/>
      <c r="J73" s="3"/>
      <c r="K73" s="3"/>
      <c r="L73" s="3"/>
    </row>
    <row r="74" spans="1:12" s="10" customFormat="1" x14ac:dyDescent="0.25">
      <c r="A74" s="3"/>
      <c r="B74" s="3"/>
      <c r="C74" s="3"/>
      <c r="D74" s="3"/>
      <c r="E74" s="3"/>
      <c r="F74" s="3"/>
      <c r="G74" s="3"/>
      <c r="H74" s="3"/>
      <c r="I74" s="3"/>
      <c r="J74" s="3"/>
      <c r="K74" s="3"/>
      <c r="L74" s="3"/>
    </row>
    <row r="75" spans="1:12" s="10" customFormat="1" x14ac:dyDescent="0.25">
      <c r="A75" s="3"/>
      <c r="B75" s="3"/>
      <c r="C75" s="3"/>
      <c r="D75" s="3"/>
      <c r="E75" s="3"/>
      <c r="F75" s="3"/>
      <c r="G75" s="3"/>
      <c r="H75" s="3"/>
      <c r="I75" s="3"/>
      <c r="J75" s="3"/>
      <c r="K75" s="3"/>
      <c r="L75" s="3"/>
    </row>
    <row r="76" spans="1:12" s="10" customFormat="1" x14ac:dyDescent="0.25">
      <c r="A76" s="3"/>
      <c r="B76" s="3"/>
      <c r="C76" s="3"/>
      <c r="D76" s="3"/>
      <c r="E76" s="3"/>
      <c r="F76" s="3"/>
      <c r="G76" s="3"/>
      <c r="H76" s="3"/>
      <c r="I76" s="3"/>
      <c r="J76" s="3"/>
      <c r="K76" s="3"/>
      <c r="L76" s="3"/>
    </row>
    <row r="90" spans="1:12" x14ac:dyDescent="0.25">
      <c r="A90" s="4"/>
      <c r="B90" s="4"/>
      <c r="C90" s="4"/>
      <c r="D90" s="4"/>
      <c r="E90" s="4"/>
      <c r="F90" s="4"/>
      <c r="G90" s="4"/>
      <c r="H90" s="4"/>
      <c r="I90" s="4"/>
      <c r="J90" s="4"/>
      <c r="K90" s="4"/>
      <c r="L90" s="4"/>
    </row>
    <row r="91" spans="1:12" ht="99.75" customHeight="1" x14ac:dyDescent="0.25">
      <c r="A91" s="4"/>
      <c r="B91" s="4"/>
      <c r="C91" s="4"/>
      <c r="D91" s="4"/>
      <c r="E91" s="4"/>
      <c r="F91" s="4"/>
      <c r="G91" s="4"/>
      <c r="H91" s="4"/>
      <c r="I91" s="4"/>
      <c r="J91" s="4"/>
      <c r="K91" s="4"/>
      <c r="L91" s="4"/>
    </row>
    <row r="92" spans="1:12" ht="99.75" customHeight="1" x14ac:dyDescent="0.25">
      <c r="A92" s="4"/>
      <c r="B92" s="4"/>
      <c r="C92" s="4"/>
      <c r="D92" s="4"/>
      <c r="E92" s="4"/>
      <c r="F92" s="4"/>
      <c r="G92" s="4"/>
      <c r="H92" s="4"/>
      <c r="I92" s="4"/>
      <c r="J92" s="4"/>
      <c r="K92" s="4"/>
      <c r="L92" s="4"/>
    </row>
    <row r="93" spans="1:12" ht="99.75" customHeight="1" x14ac:dyDescent="0.25">
      <c r="A93" s="4"/>
      <c r="B93" s="4"/>
      <c r="C93" s="4"/>
      <c r="D93" s="4"/>
      <c r="E93" s="4"/>
      <c r="F93" s="4"/>
      <c r="G93" s="4"/>
      <c r="H93" s="4"/>
      <c r="I93" s="4"/>
      <c r="J93" s="4"/>
      <c r="K93" s="4"/>
      <c r="L93" s="4"/>
    </row>
    <row r="94" spans="1:12" ht="15" customHeight="1" x14ac:dyDescent="0.25">
      <c r="A94" s="4"/>
      <c r="B94" s="4"/>
      <c r="C94" s="4"/>
      <c r="D94" s="4"/>
      <c r="E94" s="4"/>
      <c r="F94" s="4"/>
      <c r="G94" s="4"/>
      <c r="H94" s="4"/>
      <c r="I94" s="4"/>
      <c r="J94" s="4"/>
      <c r="K94" s="4"/>
      <c r="L94" s="4"/>
    </row>
  </sheetData>
  <sheetProtection password="DFEF" sheet="1" objects="1" scenarios="1" autoFilter="0"/>
  <autoFilter ref="A16:BA16"/>
  <mergeCells count="116">
    <mergeCell ref="F25:F31"/>
    <mergeCell ref="B25:B31"/>
    <mergeCell ref="A25:A31"/>
    <mergeCell ref="A33:A34"/>
    <mergeCell ref="B33:B34"/>
    <mergeCell ref="F33:F34"/>
    <mergeCell ref="C25:C34"/>
    <mergeCell ref="D25:D34"/>
    <mergeCell ref="E25:E34"/>
    <mergeCell ref="O25:O31"/>
    <mergeCell ref="P25:P31"/>
    <mergeCell ref="I25:I31"/>
    <mergeCell ref="J25:J31"/>
    <mergeCell ref="K25:K31"/>
    <mergeCell ref="L25:L31"/>
    <mergeCell ref="M25:M31"/>
    <mergeCell ref="N25:N31"/>
    <mergeCell ref="H25:H31"/>
    <mergeCell ref="N38:N41"/>
    <mergeCell ref="O38:O41"/>
    <mergeCell ref="A68:B68"/>
    <mergeCell ref="C68:D68"/>
    <mergeCell ref="A64:B64"/>
    <mergeCell ref="A65:B65"/>
    <mergeCell ref="C65:D65"/>
    <mergeCell ref="A66:B66"/>
    <mergeCell ref="C66:D66"/>
    <mergeCell ref="A67:B67"/>
    <mergeCell ref="C67:D67"/>
    <mergeCell ref="G42:G44"/>
    <mergeCell ref="L38:L41"/>
    <mergeCell ref="K38:K41"/>
    <mergeCell ref="J38:J41"/>
    <mergeCell ref="F38:F41"/>
    <mergeCell ref="G38:G41"/>
    <mergeCell ref="H38:H41"/>
    <mergeCell ref="I38:I41"/>
    <mergeCell ref="M38:M41"/>
    <mergeCell ref="E45:E48"/>
    <mergeCell ref="A2:L2"/>
    <mergeCell ref="A3:L3"/>
    <mergeCell ref="A5:L5"/>
    <mergeCell ref="A6:L6"/>
    <mergeCell ref="A15:A16"/>
    <mergeCell ref="B15:B16"/>
    <mergeCell ref="C15:C16"/>
    <mergeCell ref="D15:D16"/>
    <mergeCell ref="E15:E16"/>
    <mergeCell ref="F15:F16"/>
    <mergeCell ref="A9:L9"/>
    <mergeCell ref="A11:L11"/>
    <mergeCell ref="G15:G16"/>
    <mergeCell ref="H15:H16"/>
    <mergeCell ref="I15:I16"/>
    <mergeCell ref="J15:J16"/>
    <mergeCell ref="K15:K16"/>
    <mergeCell ref="L15:L16"/>
    <mergeCell ref="D35:D44"/>
    <mergeCell ref="E35:E44"/>
    <mergeCell ref="E17:E19"/>
    <mergeCell ref="E20:E22"/>
    <mergeCell ref="E23:E24"/>
    <mergeCell ref="C17:C19"/>
    <mergeCell ref="D17:D19"/>
    <mergeCell ref="C20:C22"/>
    <mergeCell ref="D20:D22"/>
    <mergeCell ref="C23:C24"/>
    <mergeCell ref="D23:D24"/>
    <mergeCell ref="M15:M16"/>
    <mergeCell ref="C61:C62"/>
    <mergeCell ref="D61:D62"/>
    <mergeCell ref="E49:E53"/>
    <mergeCell ref="G54:G56"/>
    <mergeCell ref="G61:G62"/>
    <mergeCell ref="C58:C60"/>
    <mergeCell ref="D58:D60"/>
    <mergeCell ref="E58:E60"/>
    <mergeCell ref="E61:E62"/>
    <mergeCell ref="G45:G53"/>
    <mergeCell ref="G58:G60"/>
    <mergeCell ref="C54:C57"/>
    <mergeCell ref="D54:D57"/>
    <mergeCell ref="E54:E57"/>
    <mergeCell ref="C45:C48"/>
    <mergeCell ref="M33:M34"/>
    <mergeCell ref="G25:G32"/>
    <mergeCell ref="G35:G37"/>
    <mergeCell ref="G23:G24"/>
    <mergeCell ref="D45:D48"/>
    <mergeCell ref="D49:D53"/>
    <mergeCell ref="C49:C53"/>
    <mergeCell ref="C35:C44"/>
    <mergeCell ref="P33:P34"/>
    <mergeCell ref="P38:P41"/>
    <mergeCell ref="BA15:BA16"/>
    <mergeCell ref="AZ15:AZ16"/>
    <mergeCell ref="AN15:AY15"/>
    <mergeCell ref="AM15:AM16"/>
    <mergeCell ref="G17:G22"/>
    <mergeCell ref="G33:G34"/>
    <mergeCell ref="H33:H34"/>
    <mergeCell ref="I33:I34"/>
    <mergeCell ref="J33:J34"/>
    <mergeCell ref="K33:K34"/>
    <mergeCell ref="L33:L34"/>
    <mergeCell ref="N33:N34"/>
    <mergeCell ref="O33:O34"/>
    <mergeCell ref="AH15:AH16"/>
    <mergeCell ref="AG15:AG16"/>
    <mergeCell ref="Q15:AF15"/>
    <mergeCell ref="P15:P16"/>
    <mergeCell ref="N15:O15"/>
    <mergeCell ref="AL15:AL16"/>
    <mergeCell ref="AK15:AK16"/>
    <mergeCell ref="AJ15:AJ16"/>
    <mergeCell ref="AI15:AI16"/>
  </mergeCells>
  <hyperlinks>
    <hyperlink ref="AG23" r:id="rId1" tooltip="Editar la información del proyecto" display="javascript:mga.projects.GetProjects.redirectCreateNewPage(true);"/>
    <hyperlink ref="AG24" r:id="rId2" tooltip="Editar la información del proyecto" display="javascript:mga.projects.GetProjects.redirectCreateNewPage(true);"/>
  </hyperlinks>
  <pageMargins left="0.70866141732283472" right="0.70866141732283472" top="0.74803149606299213" bottom="0.74803149606299213" header="0.31496062992125984" footer="0.31496062992125984"/>
  <pageSetup paperSize="281" orientation="landscape"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9"/>
  <sheetViews>
    <sheetView zoomScaleNormal="100" workbookViewId="0">
      <selection activeCell="F17" sqref="F17"/>
    </sheetView>
  </sheetViews>
  <sheetFormatPr baseColWidth="10" defaultRowHeight="15" x14ac:dyDescent="0.25"/>
  <cols>
    <col min="7" max="7" width="15.42578125" customWidth="1"/>
    <col min="8" max="8" width="13.85546875" customWidth="1"/>
    <col min="9" max="9" width="16.42578125" customWidth="1"/>
    <col min="14" max="14" width="14" customWidth="1"/>
    <col min="33" max="33" width="21.85546875" customWidth="1"/>
    <col min="34" max="34" width="15" customWidth="1"/>
    <col min="35" max="35" width="14.85546875" customWidth="1"/>
    <col min="36" max="36" width="11.28515625" customWidth="1"/>
    <col min="37" max="37" width="15.5703125" customWidth="1"/>
    <col min="39" max="39" width="30.28515625" customWidth="1"/>
    <col min="40" max="51" width="7.7109375" customWidth="1"/>
    <col min="52" max="52" width="20.140625" customWidth="1"/>
    <col min="53" max="53" width="20.42578125" customWidth="1"/>
  </cols>
  <sheetData>
    <row r="1" spans="1:53" x14ac:dyDescent="0.25">
      <c r="A1" s="17"/>
      <c r="B1" s="17"/>
      <c r="C1" s="17"/>
      <c r="D1" s="17"/>
      <c r="E1" s="17"/>
      <c r="F1" s="17"/>
      <c r="G1" s="17"/>
      <c r="H1" s="18"/>
      <c r="I1" s="17"/>
      <c r="J1" s="17"/>
      <c r="K1" s="17"/>
      <c r="L1" s="17"/>
      <c r="M1" s="19"/>
      <c r="N1" s="19"/>
      <c r="O1" s="20"/>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x14ac:dyDescent="0.25">
      <c r="A2" s="254" t="s">
        <v>139</v>
      </c>
      <c r="B2" s="254"/>
      <c r="C2" s="254"/>
      <c r="D2" s="254"/>
      <c r="E2" s="254"/>
      <c r="F2" s="254"/>
      <c r="G2" s="254"/>
      <c r="H2" s="254"/>
      <c r="I2" s="254"/>
      <c r="J2" s="254"/>
      <c r="K2" s="254"/>
      <c r="L2" s="254"/>
      <c r="M2" s="19"/>
      <c r="N2" s="19"/>
      <c r="O2" s="20"/>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row>
    <row r="3" spans="1:53" x14ac:dyDescent="0.25">
      <c r="A3" s="254" t="s">
        <v>140</v>
      </c>
      <c r="B3" s="254"/>
      <c r="C3" s="254"/>
      <c r="D3" s="254"/>
      <c r="E3" s="254"/>
      <c r="F3" s="254"/>
      <c r="G3" s="254"/>
      <c r="H3" s="254"/>
      <c r="I3" s="254"/>
      <c r="J3" s="254"/>
      <c r="K3" s="254"/>
      <c r="L3" s="254"/>
      <c r="M3" s="19"/>
      <c r="N3" s="19"/>
      <c r="O3" s="20"/>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1:53" x14ac:dyDescent="0.25">
      <c r="A4" s="21"/>
      <c r="B4" s="17"/>
      <c r="C4" s="17"/>
      <c r="D4" s="17"/>
      <c r="E4" s="17"/>
      <c r="F4" s="17"/>
      <c r="G4" s="17"/>
      <c r="H4" s="18"/>
      <c r="I4" s="17"/>
      <c r="J4" s="17"/>
      <c r="K4" s="17"/>
      <c r="L4" s="17"/>
      <c r="M4" s="19"/>
      <c r="N4" s="19"/>
      <c r="O4" s="20"/>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1:53" x14ac:dyDescent="0.25">
      <c r="A5" s="255" t="s">
        <v>141</v>
      </c>
      <c r="B5" s="255"/>
      <c r="C5" s="255"/>
      <c r="D5" s="255"/>
      <c r="E5" s="255"/>
      <c r="F5" s="255"/>
      <c r="G5" s="255"/>
      <c r="H5" s="255"/>
      <c r="I5" s="255"/>
      <c r="J5" s="255"/>
      <c r="K5" s="255"/>
      <c r="L5" s="255"/>
      <c r="M5" s="19"/>
      <c r="N5" s="19"/>
      <c r="O5" s="20"/>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1:53" x14ac:dyDescent="0.25">
      <c r="A6" s="254" t="s">
        <v>189</v>
      </c>
      <c r="B6" s="254"/>
      <c r="C6" s="254"/>
      <c r="D6" s="254"/>
      <c r="E6" s="254"/>
      <c r="F6" s="254"/>
      <c r="G6" s="254"/>
      <c r="H6" s="254"/>
      <c r="I6" s="254"/>
      <c r="J6" s="254"/>
      <c r="K6" s="254"/>
      <c r="L6" s="254"/>
      <c r="M6" s="19"/>
      <c r="N6" s="19"/>
      <c r="O6" s="20"/>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1:53" x14ac:dyDescent="0.25">
      <c r="A7" s="22"/>
      <c r="B7" s="22"/>
      <c r="C7" s="22"/>
      <c r="D7" s="22"/>
      <c r="E7" s="22"/>
      <c r="F7" s="22"/>
      <c r="G7" s="22"/>
      <c r="H7" s="22"/>
      <c r="I7" s="22"/>
      <c r="J7" s="22"/>
      <c r="K7" s="22"/>
      <c r="L7" s="22"/>
      <c r="M7" s="19"/>
      <c r="N7" s="19"/>
      <c r="O7" s="20"/>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row>
    <row r="8" spans="1:53" x14ac:dyDescent="0.25">
      <c r="A8" s="22"/>
      <c r="B8" s="22"/>
      <c r="C8" s="22"/>
      <c r="D8" s="22"/>
      <c r="E8" s="22"/>
      <c r="F8" s="22"/>
      <c r="G8" s="22"/>
      <c r="H8" s="22"/>
      <c r="I8" s="22"/>
      <c r="J8" s="22"/>
      <c r="K8" s="22"/>
      <c r="L8" s="22"/>
      <c r="M8" s="19"/>
      <c r="N8" s="19"/>
      <c r="O8" s="20"/>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x14ac:dyDescent="0.25">
      <c r="A9" s="256" t="s">
        <v>296</v>
      </c>
      <c r="B9" s="256"/>
      <c r="C9" s="256"/>
      <c r="D9" s="256"/>
      <c r="E9" s="256"/>
      <c r="F9" s="256"/>
      <c r="G9" s="256"/>
      <c r="H9" s="256"/>
      <c r="I9" s="256"/>
      <c r="J9" s="256"/>
      <c r="K9" s="256"/>
      <c r="L9" s="256"/>
      <c r="M9" s="256"/>
      <c r="N9" s="19"/>
      <c r="O9" s="2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row>
    <row r="10" spans="1:53" x14ac:dyDescent="0.25">
      <c r="A10" s="23"/>
      <c r="B10" s="23"/>
      <c r="C10" s="23"/>
      <c r="D10" s="23"/>
      <c r="E10" s="23"/>
      <c r="F10" s="22"/>
      <c r="G10" s="22"/>
      <c r="H10" s="22"/>
      <c r="I10" s="22"/>
      <c r="J10" s="22"/>
      <c r="K10" s="22"/>
      <c r="L10" s="22"/>
      <c r="M10" s="22"/>
      <c r="N10" s="19"/>
      <c r="O10" s="20"/>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row>
    <row r="11" spans="1:53" x14ac:dyDescent="0.25">
      <c r="A11" s="256" t="s">
        <v>180</v>
      </c>
      <c r="B11" s="256"/>
      <c r="C11" s="256"/>
      <c r="D11" s="256"/>
      <c r="E11" s="256"/>
      <c r="F11" s="256"/>
      <c r="G11" s="256"/>
      <c r="H11" s="256"/>
      <c r="I11" s="256"/>
      <c r="J11" s="256"/>
      <c r="K11" s="256"/>
      <c r="L11" s="256"/>
      <c r="M11" s="256"/>
      <c r="N11" s="19"/>
      <c r="O11" s="20"/>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row>
    <row r="12" spans="1:53" x14ac:dyDescent="0.25">
      <c r="A12" s="22"/>
      <c r="B12" s="22"/>
      <c r="C12" s="22"/>
      <c r="D12" s="22"/>
      <c r="E12" s="22"/>
      <c r="F12" s="22"/>
      <c r="G12" s="22"/>
      <c r="H12" s="22"/>
      <c r="I12" s="22"/>
      <c r="J12" s="22"/>
      <c r="K12" s="22"/>
      <c r="L12" s="22"/>
      <c r="M12" s="19"/>
      <c r="N12" s="19"/>
      <c r="O12" s="20"/>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x14ac:dyDescent="0.25">
      <c r="A13" s="17"/>
      <c r="B13" s="17"/>
      <c r="C13" s="17"/>
      <c r="D13" s="17"/>
      <c r="E13" s="17"/>
      <c r="F13" s="17"/>
      <c r="G13" s="17"/>
      <c r="H13" s="18"/>
      <c r="I13" s="17"/>
      <c r="J13" s="17"/>
      <c r="K13" s="17"/>
      <c r="L13" s="17"/>
      <c r="M13" s="19"/>
      <c r="N13" s="19"/>
      <c r="O13" s="20"/>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ht="30" customHeight="1" x14ac:dyDescent="0.25">
      <c r="A14" s="252" t="s">
        <v>4</v>
      </c>
      <c r="B14" s="252" t="s">
        <v>5</v>
      </c>
      <c r="C14" s="250" t="s">
        <v>0</v>
      </c>
      <c r="D14" s="250" t="s">
        <v>1</v>
      </c>
      <c r="E14" s="250" t="s">
        <v>2</v>
      </c>
      <c r="F14" s="250" t="s">
        <v>3</v>
      </c>
      <c r="G14" s="250" t="s">
        <v>6</v>
      </c>
      <c r="H14" s="250" t="s">
        <v>7</v>
      </c>
      <c r="I14" s="250" t="s">
        <v>8</v>
      </c>
      <c r="J14" s="250" t="s">
        <v>9</v>
      </c>
      <c r="K14" s="250" t="s">
        <v>138</v>
      </c>
      <c r="L14" s="250" t="s">
        <v>181</v>
      </c>
      <c r="M14" s="242" t="s">
        <v>190</v>
      </c>
      <c r="N14" s="247" t="s">
        <v>8</v>
      </c>
      <c r="O14" s="248"/>
      <c r="P14" s="242" t="s">
        <v>193</v>
      </c>
      <c r="Q14" s="247" t="s">
        <v>142</v>
      </c>
      <c r="R14" s="249"/>
      <c r="S14" s="249"/>
      <c r="T14" s="249"/>
      <c r="U14" s="249"/>
      <c r="V14" s="249"/>
      <c r="W14" s="249"/>
      <c r="X14" s="249"/>
      <c r="Y14" s="249"/>
      <c r="Z14" s="249"/>
      <c r="AA14" s="249"/>
      <c r="AB14" s="249"/>
      <c r="AC14" s="249"/>
      <c r="AD14" s="249"/>
      <c r="AE14" s="249"/>
      <c r="AF14" s="248"/>
      <c r="AG14" s="242" t="s">
        <v>143</v>
      </c>
      <c r="AH14" s="242" t="s">
        <v>192</v>
      </c>
      <c r="AI14" s="242" t="s">
        <v>144</v>
      </c>
      <c r="AJ14" s="242" t="s">
        <v>170</v>
      </c>
      <c r="AK14" s="242" t="s">
        <v>145</v>
      </c>
      <c r="AL14" s="242" t="s">
        <v>196</v>
      </c>
      <c r="AM14" s="242" t="s">
        <v>146</v>
      </c>
      <c r="AN14" s="244" t="s">
        <v>184</v>
      </c>
      <c r="AO14" s="245"/>
      <c r="AP14" s="245"/>
      <c r="AQ14" s="245"/>
      <c r="AR14" s="245"/>
      <c r="AS14" s="245"/>
      <c r="AT14" s="245"/>
      <c r="AU14" s="245"/>
      <c r="AV14" s="245"/>
      <c r="AW14" s="245"/>
      <c r="AX14" s="245"/>
      <c r="AY14" s="246"/>
      <c r="AZ14" s="238" t="s">
        <v>171</v>
      </c>
      <c r="BA14" s="240" t="s">
        <v>147</v>
      </c>
    </row>
    <row r="15" spans="1:53" ht="45" x14ac:dyDescent="0.25">
      <c r="A15" s="253"/>
      <c r="B15" s="253"/>
      <c r="C15" s="251"/>
      <c r="D15" s="251"/>
      <c r="E15" s="251"/>
      <c r="F15" s="251"/>
      <c r="G15" s="251"/>
      <c r="H15" s="251"/>
      <c r="I15" s="251"/>
      <c r="J15" s="251"/>
      <c r="K15" s="251"/>
      <c r="L15" s="251"/>
      <c r="M15" s="243"/>
      <c r="N15" s="24" t="s">
        <v>148</v>
      </c>
      <c r="O15" s="24" t="s">
        <v>191</v>
      </c>
      <c r="P15" s="243"/>
      <c r="Q15" s="25" t="s">
        <v>149</v>
      </c>
      <c r="R15" s="25" t="s">
        <v>194</v>
      </c>
      <c r="S15" s="25" t="s">
        <v>150</v>
      </c>
      <c r="T15" s="25" t="s">
        <v>151</v>
      </c>
      <c r="U15" s="25" t="s">
        <v>182</v>
      </c>
      <c r="V15" s="25" t="s">
        <v>152</v>
      </c>
      <c r="W15" s="25" t="s">
        <v>297</v>
      </c>
      <c r="X15" s="25" t="s">
        <v>298</v>
      </c>
      <c r="Y15" s="25" t="s">
        <v>155</v>
      </c>
      <c r="Z15" s="25" t="s">
        <v>156</v>
      </c>
      <c r="AA15" s="25" t="s">
        <v>183</v>
      </c>
      <c r="AB15" s="25" t="s">
        <v>195</v>
      </c>
      <c r="AC15" s="25" t="s">
        <v>157</v>
      </c>
      <c r="AD15" s="25" t="s">
        <v>158</v>
      </c>
      <c r="AE15" s="25" t="s">
        <v>159</v>
      </c>
      <c r="AF15" s="25" t="s">
        <v>160</v>
      </c>
      <c r="AG15" s="243"/>
      <c r="AH15" s="243"/>
      <c r="AI15" s="243"/>
      <c r="AJ15" s="243"/>
      <c r="AK15" s="243"/>
      <c r="AL15" s="243"/>
      <c r="AM15" s="243"/>
      <c r="AN15" s="26" t="s">
        <v>161</v>
      </c>
      <c r="AO15" s="26" t="s">
        <v>162</v>
      </c>
      <c r="AP15" s="26" t="s">
        <v>163</v>
      </c>
      <c r="AQ15" s="26" t="s">
        <v>164</v>
      </c>
      <c r="AR15" s="26" t="s">
        <v>163</v>
      </c>
      <c r="AS15" s="26" t="s">
        <v>165</v>
      </c>
      <c r="AT15" s="26" t="s">
        <v>165</v>
      </c>
      <c r="AU15" s="26" t="s">
        <v>164</v>
      </c>
      <c r="AV15" s="26" t="s">
        <v>166</v>
      </c>
      <c r="AW15" s="26" t="s">
        <v>167</v>
      </c>
      <c r="AX15" s="26" t="s">
        <v>168</v>
      </c>
      <c r="AY15" s="26" t="s">
        <v>169</v>
      </c>
      <c r="AZ15" s="239"/>
      <c r="BA15" s="241"/>
    </row>
    <row r="16" spans="1:53" ht="108" customHeight="1" x14ac:dyDescent="0.25">
      <c r="A16" s="128" t="s">
        <v>11</v>
      </c>
      <c r="B16" s="128" t="s">
        <v>299</v>
      </c>
      <c r="C16" s="223" t="s">
        <v>300</v>
      </c>
      <c r="D16" s="223" t="s">
        <v>301</v>
      </c>
      <c r="E16" s="223" t="s">
        <v>302</v>
      </c>
      <c r="F16" s="128" t="s">
        <v>303</v>
      </c>
      <c r="G16" s="223" t="s">
        <v>304</v>
      </c>
      <c r="H16" s="129" t="s">
        <v>305</v>
      </c>
      <c r="I16" s="129" t="s">
        <v>306</v>
      </c>
      <c r="J16" s="129">
        <v>0</v>
      </c>
      <c r="K16" s="129" t="s">
        <v>185</v>
      </c>
      <c r="L16" s="130">
        <v>1</v>
      </c>
      <c r="M16" s="131">
        <v>0.2505</v>
      </c>
      <c r="N16" s="132" t="str">
        <f>I16</f>
        <v>Número de centros de estudios económicos y de desarrollo implementados</v>
      </c>
      <c r="O16" s="133">
        <v>0.75</v>
      </c>
      <c r="P16" s="134">
        <v>319000</v>
      </c>
      <c r="Q16" s="135">
        <v>25000</v>
      </c>
      <c r="R16" s="136"/>
      <c r="S16" s="136"/>
      <c r="T16" s="136"/>
      <c r="U16" s="136"/>
      <c r="V16" s="136"/>
      <c r="W16" s="136"/>
      <c r="X16" s="136"/>
      <c r="Y16" s="136"/>
      <c r="Z16" s="136"/>
      <c r="AA16" s="136"/>
      <c r="AB16" s="136"/>
      <c r="AC16" s="136"/>
      <c r="AD16" s="134">
        <v>294000</v>
      </c>
      <c r="AE16" s="136"/>
      <c r="AF16" s="136"/>
      <c r="AG16" s="55" t="s">
        <v>307</v>
      </c>
      <c r="AH16" s="137">
        <v>2019003190029</v>
      </c>
      <c r="AI16" s="132" t="s">
        <v>308</v>
      </c>
      <c r="AJ16" s="132" t="s">
        <v>309</v>
      </c>
      <c r="AK16" s="136" t="s">
        <v>310</v>
      </c>
      <c r="AL16" s="138">
        <f>Q16</f>
        <v>25000</v>
      </c>
      <c r="AM16" s="55" t="s">
        <v>311</v>
      </c>
      <c r="AN16" s="139"/>
      <c r="AO16" s="140" t="s">
        <v>200</v>
      </c>
      <c r="AP16" s="140" t="s">
        <v>200</v>
      </c>
      <c r="AQ16" s="140" t="s">
        <v>200</v>
      </c>
      <c r="AR16" s="140" t="s">
        <v>200</v>
      </c>
      <c r="AS16" s="140" t="s">
        <v>200</v>
      </c>
      <c r="AT16" s="140" t="s">
        <v>200</v>
      </c>
      <c r="AU16" s="140" t="s">
        <v>200</v>
      </c>
      <c r="AV16" s="140" t="s">
        <v>200</v>
      </c>
      <c r="AW16" s="140" t="s">
        <v>200</v>
      </c>
      <c r="AX16" s="140" t="s">
        <v>200</v>
      </c>
      <c r="AY16" s="140" t="s">
        <v>200</v>
      </c>
      <c r="AZ16" s="132" t="s">
        <v>312</v>
      </c>
      <c r="BA16" s="55" t="s">
        <v>313</v>
      </c>
    </row>
    <row r="17" spans="1:53" ht="165" customHeight="1" x14ac:dyDescent="0.25">
      <c r="A17" s="128" t="s">
        <v>11</v>
      </c>
      <c r="B17" s="128" t="s">
        <v>299</v>
      </c>
      <c r="C17" s="224"/>
      <c r="D17" s="224"/>
      <c r="E17" s="224"/>
      <c r="F17" s="142" t="s">
        <v>303</v>
      </c>
      <c r="G17" s="224"/>
      <c r="H17" s="129" t="s">
        <v>314</v>
      </c>
      <c r="I17" s="129" t="s">
        <v>315</v>
      </c>
      <c r="J17" s="129" t="s">
        <v>316</v>
      </c>
      <c r="K17" s="129" t="s">
        <v>185</v>
      </c>
      <c r="L17" s="143">
        <v>0.3</v>
      </c>
      <c r="M17" s="144">
        <v>0.05</v>
      </c>
      <c r="N17" s="132" t="str">
        <f t="shared" ref="N17:N49" si="0">I17</f>
        <v xml:space="preserve">Porcentaje del plan regional de competitividad del Departamento del Cauca, alineado al Sistema Nacional de Competitividad – CteI ejecutado </v>
      </c>
      <c r="O17" s="145">
        <v>0.22</v>
      </c>
      <c r="P17" s="134">
        <f>V17+AD17</f>
        <v>2482752.7560000001</v>
      </c>
      <c r="Q17" s="135"/>
      <c r="R17" s="136"/>
      <c r="S17" s="136"/>
      <c r="T17" s="135"/>
      <c r="U17" s="136"/>
      <c r="V17" s="135">
        <f>3000000-567247.244</f>
        <v>2432752.7560000001</v>
      </c>
      <c r="W17" s="136"/>
      <c r="X17" s="136"/>
      <c r="Y17" s="136"/>
      <c r="Z17" s="136"/>
      <c r="AA17" s="136"/>
      <c r="AB17" s="136"/>
      <c r="AC17" s="136"/>
      <c r="AD17" s="138">
        <v>50000</v>
      </c>
      <c r="AE17" s="136"/>
      <c r="AF17" s="136"/>
      <c r="AG17" s="146" t="s">
        <v>317</v>
      </c>
      <c r="AH17" s="137">
        <v>2015000030068</v>
      </c>
      <c r="AI17" s="132" t="s">
        <v>318</v>
      </c>
      <c r="AJ17" s="132" t="s">
        <v>319</v>
      </c>
      <c r="AK17" s="132" t="s">
        <v>320</v>
      </c>
      <c r="AL17" s="147">
        <v>1900000</v>
      </c>
      <c r="AM17" s="55" t="s">
        <v>321</v>
      </c>
      <c r="AN17" s="140" t="s">
        <v>200</v>
      </c>
      <c r="AO17" s="140" t="s">
        <v>200</v>
      </c>
      <c r="AP17" s="140" t="s">
        <v>200</v>
      </c>
      <c r="AQ17" s="140" t="s">
        <v>200</v>
      </c>
      <c r="AR17" s="140" t="s">
        <v>200</v>
      </c>
      <c r="AS17" s="140" t="s">
        <v>200</v>
      </c>
      <c r="AT17" s="140" t="s">
        <v>200</v>
      </c>
      <c r="AU17" s="140" t="s">
        <v>200</v>
      </c>
      <c r="AV17" s="140" t="s">
        <v>200</v>
      </c>
      <c r="AW17" s="140" t="s">
        <v>200</v>
      </c>
      <c r="AX17" s="140" t="s">
        <v>200</v>
      </c>
      <c r="AY17" s="140" t="s">
        <v>200</v>
      </c>
      <c r="AZ17" s="132" t="s">
        <v>312</v>
      </c>
      <c r="BA17" s="146" t="s">
        <v>322</v>
      </c>
    </row>
    <row r="18" spans="1:53" ht="141.75" customHeight="1" x14ac:dyDescent="0.25">
      <c r="A18" s="128" t="s">
        <v>11</v>
      </c>
      <c r="B18" s="128" t="s">
        <v>299</v>
      </c>
      <c r="C18" s="224"/>
      <c r="D18" s="224"/>
      <c r="E18" s="224"/>
      <c r="F18" s="142" t="s">
        <v>303</v>
      </c>
      <c r="G18" s="224"/>
      <c r="H18" s="129" t="s">
        <v>323</v>
      </c>
      <c r="I18" s="129" t="s">
        <v>324</v>
      </c>
      <c r="J18" s="129" t="s">
        <v>325</v>
      </c>
      <c r="K18" s="129" t="s">
        <v>185</v>
      </c>
      <c r="L18" s="130">
        <v>1</v>
      </c>
      <c r="M18" s="148">
        <v>0.45</v>
      </c>
      <c r="N18" s="132" t="str">
        <f t="shared" si="0"/>
        <v>Número de planes de acción para el fortalecimiento concertado con la Red Regional de Emprendimiento Departamento ejecutados</v>
      </c>
      <c r="O18" s="133">
        <v>0.55000000000000004</v>
      </c>
      <c r="P18" s="134">
        <f>Q18+AD18</f>
        <v>253631</v>
      </c>
      <c r="Q18" s="135">
        <v>71000</v>
      </c>
      <c r="R18" s="136"/>
      <c r="S18" s="136"/>
      <c r="T18" s="136"/>
      <c r="U18" s="136"/>
      <c r="V18" s="135"/>
      <c r="W18" s="136"/>
      <c r="X18" s="136"/>
      <c r="Y18" s="136"/>
      <c r="Z18" s="136"/>
      <c r="AA18" s="136"/>
      <c r="AB18" s="136"/>
      <c r="AC18" s="136"/>
      <c r="AD18" s="138">
        <f>248000-65369</f>
        <v>182631</v>
      </c>
      <c r="AE18" s="136"/>
      <c r="AF18" s="136"/>
      <c r="AG18" s="55" t="s">
        <v>307</v>
      </c>
      <c r="AH18" s="137">
        <v>2019003190029</v>
      </c>
      <c r="AI18" s="132" t="s">
        <v>308</v>
      </c>
      <c r="AJ18" s="132" t="s">
        <v>309</v>
      </c>
      <c r="AK18" s="136" t="s">
        <v>326</v>
      </c>
      <c r="AL18" s="138">
        <f>Q18</f>
        <v>71000</v>
      </c>
      <c r="AM18" s="55" t="s">
        <v>830</v>
      </c>
      <c r="AN18" s="139"/>
      <c r="AO18" s="140" t="s">
        <v>200</v>
      </c>
      <c r="AP18" s="140" t="s">
        <v>200</v>
      </c>
      <c r="AQ18" s="140" t="s">
        <v>200</v>
      </c>
      <c r="AR18" s="140" t="s">
        <v>200</v>
      </c>
      <c r="AS18" s="140" t="s">
        <v>200</v>
      </c>
      <c r="AT18" s="140" t="s">
        <v>200</v>
      </c>
      <c r="AU18" s="140" t="s">
        <v>200</v>
      </c>
      <c r="AV18" s="140" t="s">
        <v>200</v>
      </c>
      <c r="AW18" s="140" t="s">
        <v>200</v>
      </c>
      <c r="AX18" s="140" t="s">
        <v>200</v>
      </c>
      <c r="AY18" s="140" t="s">
        <v>200</v>
      </c>
      <c r="AZ18" s="132" t="s">
        <v>312</v>
      </c>
      <c r="BA18" s="55" t="s">
        <v>313</v>
      </c>
    </row>
    <row r="19" spans="1:53" ht="180" x14ac:dyDescent="0.25">
      <c r="A19" s="128" t="s">
        <v>11</v>
      </c>
      <c r="B19" s="128" t="s">
        <v>299</v>
      </c>
      <c r="C19" s="224"/>
      <c r="D19" s="224"/>
      <c r="E19" s="224"/>
      <c r="F19" s="223" t="s">
        <v>303</v>
      </c>
      <c r="G19" s="224"/>
      <c r="H19" s="223" t="s">
        <v>327</v>
      </c>
      <c r="I19" s="223" t="s">
        <v>328</v>
      </c>
      <c r="J19" s="223"/>
      <c r="K19" s="223" t="s">
        <v>185</v>
      </c>
      <c r="L19" s="223">
        <v>15</v>
      </c>
      <c r="M19" s="234">
        <v>9</v>
      </c>
      <c r="N19" s="217" t="str">
        <f t="shared" si="0"/>
        <v>Número de emprendimientos de impacto en el Departamento consolidados</v>
      </c>
      <c r="O19" s="230">
        <v>6</v>
      </c>
      <c r="P19" s="236">
        <f>Q19+AD19</f>
        <v>469529</v>
      </c>
      <c r="Q19" s="232">
        <v>25000</v>
      </c>
      <c r="R19" s="136"/>
      <c r="S19" s="136"/>
      <c r="T19" s="136"/>
      <c r="U19" s="136"/>
      <c r="V19" s="232"/>
      <c r="W19" s="230"/>
      <c r="X19" s="230"/>
      <c r="Y19" s="230"/>
      <c r="Z19" s="230"/>
      <c r="AA19" s="230"/>
      <c r="AB19" s="230"/>
      <c r="AC19" s="230"/>
      <c r="AD19" s="232">
        <f>450000-5471</f>
        <v>444529</v>
      </c>
      <c r="AE19" s="230"/>
      <c r="AF19" s="230"/>
      <c r="AG19" s="55" t="s">
        <v>307</v>
      </c>
      <c r="AH19" s="137">
        <v>2019003190029</v>
      </c>
      <c r="AI19" s="132" t="s">
        <v>308</v>
      </c>
      <c r="AJ19" s="132" t="s">
        <v>309</v>
      </c>
      <c r="AK19" s="136" t="s">
        <v>329</v>
      </c>
      <c r="AL19" s="138">
        <f>Q19</f>
        <v>25000</v>
      </c>
      <c r="AM19" s="55" t="s">
        <v>330</v>
      </c>
      <c r="AN19" s="139"/>
      <c r="AO19" s="140" t="s">
        <v>200</v>
      </c>
      <c r="AP19" s="140" t="s">
        <v>200</v>
      </c>
      <c r="AQ19" s="140" t="s">
        <v>200</v>
      </c>
      <c r="AR19" s="140" t="s">
        <v>200</v>
      </c>
      <c r="AS19" s="140" t="s">
        <v>200</v>
      </c>
      <c r="AT19" s="140" t="s">
        <v>200</v>
      </c>
      <c r="AU19" s="140" t="s">
        <v>200</v>
      </c>
      <c r="AV19" s="140" t="s">
        <v>200</v>
      </c>
      <c r="AW19" s="140" t="s">
        <v>200</v>
      </c>
      <c r="AX19" s="140" t="s">
        <v>200</v>
      </c>
      <c r="AY19" s="140" t="s">
        <v>200</v>
      </c>
      <c r="AZ19" s="132" t="s">
        <v>312</v>
      </c>
      <c r="BA19" s="55" t="s">
        <v>313</v>
      </c>
    </row>
    <row r="20" spans="1:53" ht="67.5" x14ac:dyDescent="0.25">
      <c r="A20" s="128"/>
      <c r="B20" s="128"/>
      <c r="C20" s="224"/>
      <c r="D20" s="224"/>
      <c r="E20" s="224"/>
      <c r="F20" s="225"/>
      <c r="G20" s="225"/>
      <c r="H20" s="225"/>
      <c r="I20" s="225"/>
      <c r="J20" s="225"/>
      <c r="K20" s="225"/>
      <c r="L20" s="225"/>
      <c r="M20" s="235"/>
      <c r="N20" s="218"/>
      <c r="O20" s="231"/>
      <c r="P20" s="237"/>
      <c r="Q20" s="233"/>
      <c r="R20" s="136"/>
      <c r="S20" s="136"/>
      <c r="T20" s="136"/>
      <c r="U20" s="136"/>
      <c r="V20" s="233"/>
      <c r="W20" s="231"/>
      <c r="X20" s="231"/>
      <c r="Y20" s="231"/>
      <c r="Z20" s="231"/>
      <c r="AA20" s="231"/>
      <c r="AB20" s="231"/>
      <c r="AC20" s="231"/>
      <c r="AD20" s="233"/>
      <c r="AE20" s="231"/>
      <c r="AF20" s="231"/>
      <c r="AG20" s="55" t="s">
        <v>331</v>
      </c>
      <c r="AH20" s="137">
        <v>2018003190132</v>
      </c>
      <c r="AI20" s="132" t="s">
        <v>332</v>
      </c>
      <c r="AJ20" s="132" t="s">
        <v>333</v>
      </c>
      <c r="AK20" s="136" t="s">
        <v>334</v>
      </c>
      <c r="AL20" s="138">
        <v>95000</v>
      </c>
      <c r="AM20" s="55" t="s">
        <v>831</v>
      </c>
      <c r="AN20" s="139"/>
      <c r="AO20" s="133"/>
      <c r="AP20" s="140"/>
      <c r="AQ20" s="140"/>
      <c r="AR20" s="140" t="s">
        <v>200</v>
      </c>
      <c r="AS20" s="140" t="s">
        <v>200</v>
      </c>
      <c r="AT20" s="140" t="s">
        <v>200</v>
      </c>
      <c r="AU20" s="140" t="s">
        <v>200</v>
      </c>
      <c r="AV20" s="140" t="s">
        <v>200</v>
      </c>
      <c r="AW20" s="140"/>
      <c r="AX20" s="140"/>
      <c r="AY20" s="140"/>
      <c r="AZ20" s="132" t="s">
        <v>312</v>
      </c>
      <c r="BA20" s="55" t="s">
        <v>335</v>
      </c>
    </row>
    <row r="21" spans="1:53" ht="101.25" x14ac:dyDescent="0.25">
      <c r="A21" s="128" t="s">
        <v>11</v>
      </c>
      <c r="B21" s="128" t="s">
        <v>299</v>
      </c>
      <c r="C21" s="224"/>
      <c r="D21" s="224"/>
      <c r="E21" s="224"/>
      <c r="F21" s="142" t="s">
        <v>336</v>
      </c>
      <c r="G21" s="219" t="s">
        <v>337</v>
      </c>
      <c r="H21" s="129" t="s">
        <v>338</v>
      </c>
      <c r="I21" s="129" t="s">
        <v>339</v>
      </c>
      <c r="J21" s="129" t="s">
        <v>340</v>
      </c>
      <c r="K21" s="129" t="s">
        <v>185</v>
      </c>
      <c r="L21" s="130">
        <v>1</v>
      </c>
      <c r="M21" s="129">
        <v>0.3</v>
      </c>
      <c r="N21" s="132" t="str">
        <f t="shared" si="0"/>
        <v>Número de estrategia de fortalecimiento para 3 centros de empleo en el Cauca, en alianza con el Ministerio de Trabajo implementadas</v>
      </c>
      <c r="O21" s="133">
        <v>0.7</v>
      </c>
      <c r="P21" s="134">
        <v>15000</v>
      </c>
      <c r="Q21" s="136">
        <v>10000</v>
      </c>
      <c r="R21" s="136"/>
      <c r="S21" s="136"/>
      <c r="T21" s="136"/>
      <c r="U21" s="136"/>
      <c r="V21" s="136"/>
      <c r="W21" s="136"/>
      <c r="X21" s="136"/>
      <c r="Y21" s="136"/>
      <c r="Z21" s="136"/>
      <c r="AA21" s="136"/>
      <c r="AB21" s="136"/>
      <c r="AC21" s="136"/>
      <c r="AD21" s="136">
        <v>5000</v>
      </c>
      <c r="AE21" s="136"/>
      <c r="AF21" s="136"/>
      <c r="AG21" s="217" t="s">
        <v>341</v>
      </c>
      <c r="AH21" s="227">
        <v>2019003190023</v>
      </c>
      <c r="AI21" s="132" t="s">
        <v>228</v>
      </c>
      <c r="AJ21" s="132" t="s">
        <v>309</v>
      </c>
      <c r="AK21" s="146" t="s">
        <v>342</v>
      </c>
      <c r="AL21" s="149">
        <f>Q21</f>
        <v>10000</v>
      </c>
      <c r="AM21" s="55" t="s">
        <v>343</v>
      </c>
      <c r="AN21" s="140"/>
      <c r="AO21" s="140"/>
      <c r="AP21" s="140" t="s">
        <v>200</v>
      </c>
      <c r="AQ21" s="140" t="s">
        <v>200</v>
      </c>
      <c r="AR21" s="140" t="s">
        <v>200</v>
      </c>
      <c r="AS21" s="140" t="s">
        <v>200</v>
      </c>
      <c r="AT21" s="140" t="s">
        <v>200</v>
      </c>
      <c r="AU21" s="140" t="s">
        <v>200</v>
      </c>
      <c r="AV21" s="140" t="s">
        <v>200</v>
      </c>
      <c r="AW21" s="140" t="s">
        <v>200</v>
      </c>
      <c r="AX21" s="140" t="s">
        <v>200</v>
      </c>
      <c r="AY21" s="140" t="s">
        <v>200</v>
      </c>
      <c r="AZ21" s="132" t="s">
        <v>832</v>
      </c>
      <c r="BA21" s="146" t="s">
        <v>344</v>
      </c>
    </row>
    <row r="22" spans="1:53" ht="101.25" x14ac:dyDescent="0.25">
      <c r="A22" s="128" t="s">
        <v>11</v>
      </c>
      <c r="B22" s="128" t="s">
        <v>299</v>
      </c>
      <c r="C22" s="224"/>
      <c r="D22" s="224"/>
      <c r="E22" s="224"/>
      <c r="F22" s="150" t="s">
        <v>336</v>
      </c>
      <c r="G22" s="219"/>
      <c r="H22" s="129" t="s">
        <v>345</v>
      </c>
      <c r="I22" s="129" t="s">
        <v>346</v>
      </c>
      <c r="J22" s="129">
        <v>0</v>
      </c>
      <c r="K22" s="129" t="s">
        <v>185</v>
      </c>
      <c r="L22" s="130">
        <v>8</v>
      </c>
      <c r="M22" s="129">
        <v>2</v>
      </c>
      <c r="N22" s="132" t="str">
        <f t="shared" si="0"/>
        <v xml:space="preserve">Número de publicaciones con información del mercado laboral generadas </v>
      </c>
      <c r="O22" s="133">
        <v>6</v>
      </c>
      <c r="P22" s="134">
        <v>18000</v>
      </c>
      <c r="Q22" s="136">
        <v>10000</v>
      </c>
      <c r="R22" s="136"/>
      <c r="S22" s="136"/>
      <c r="T22" s="136"/>
      <c r="U22" s="136"/>
      <c r="V22" s="136"/>
      <c r="W22" s="136"/>
      <c r="X22" s="136"/>
      <c r="Y22" s="136"/>
      <c r="Z22" s="136"/>
      <c r="AA22" s="136"/>
      <c r="AB22" s="136"/>
      <c r="AC22" s="136"/>
      <c r="AD22" s="136">
        <v>8000</v>
      </c>
      <c r="AE22" s="136"/>
      <c r="AF22" s="136"/>
      <c r="AG22" s="226"/>
      <c r="AH22" s="228"/>
      <c r="AI22" s="132" t="s">
        <v>228</v>
      </c>
      <c r="AJ22" s="132" t="s">
        <v>309</v>
      </c>
      <c r="AK22" s="146" t="s">
        <v>342</v>
      </c>
      <c r="AL22" s="149">
        <f t="shared" ref="AL22:AL23" si="1">Q22</f>
        <v>10000</v>
      </c>
      <c r="AM22" s="55" t="s">
        <v>343</v>
      </c>
      <c r="AN22" s="140"/>
      <c r="AO22" s="140"/>
      <c r="AP22" s="140" t="s">
        <v>200</v>
      </c>
      <c r="AQ22" s="140" t="s">
        <v>200</v>
      </c>
      <c r="AR22" s="140" t="s">
        <v>200</v>
      </c>
      <c r="AS22" s="140" t="s">
        <v>200</v>
      </c>
      <c r="AT22" s="140" t="s">
        <v>200</v>
      </c>
      <c r="AU22" s="140" t="s">
        <v>200</v>
      </c>
      <c r="AV22" s="140" t="s">
        <v>200</v>
      </c>
      <c r="AW22" s="140" t="s">
        <v>200</v>
      </c>
      <c r="AX22" s="140" t="s">
        <v>200</v>
      </c>
      <c r="AY22" s="140" t="s">
        <v>200</v>
      </c>
      <c r="AZ22" s="132" t="s">
        <v>833</v>
      </c>
      <c r="BA22" s="146" t="s">
        <v>344</v>
      </c>
    </row>
    <row r="23" spans="1:53" ht="110.25" customHeight="1" x14ac:dyDescent="0.25">
      <c r="A23" s="128" t="s">
        <v>11</v>
      </c>
      <c r="B23" s="128" t="s">
        <v>299</v>
      </c>
      <c r="C23" s="224"/>
      <c r="D23" s="224"/>
      <c r="E23" s="224"/>
      <c r="F23" s="142" t="s">
        <v>336</v>
      </c>
      <c r="G23" s="219"/>
      <c r="H23" s="129" t="s">
        <v>347</v>
      </c>
      <c r="I23" s="129" t="s">
        <v>348</v>
      </c>
      <c r="J23" s="129">
        <v>0</v>
      </c>
      <c r="K23" s="129" t="s">
        <v>185</v>
      </c>
      <c r="L23" s="130">
        <v>1</v>
      </c>
      <c r="M23" s="129">
        <v>0.15</v>
      </c>
      <c r="N23" s="132" t="str">
        <f t="shared" si="0"/>
        <v>Número de estrategias que impulsen el empleo digno e incluyente implementadas</v>
      </c>
      <c r="O23" s="133">
        <v>0.85</v>
      </c>
      <c r="P23" s="134">
        <v>6000</v>
      </c>
      <c r="Q23" s="136">
        <v>6000</v>
      </c>
      <c r="R23" s="136"/>
      <c r="S23" s="136"/>
      <c r="T23" s="136"/>
      <c r="U23" s="136"/>
      <c r="V23" s="136"/>
      <c r="W23" s="136"/>
      <c r="X23" s="136"/>
      <c r="Y23" s="136"/>
      <c r="Z23" s="136"/>
      <c r="AA23" s="136"/>
      <c r="AB23" s="136"/>
      <c r="AC23" s="136"/>
      <c r="AD23" s="136"/>
      <c r="AE23" s="136"/>
      <c r="AF23" s="136"/>
      <c r="AG23" s="218"/>
      <c r="AH23" s="229"/>
      <c r="AI23" s="132" t="s">
        <v>228</v>
      </c>
      <c r="AJ23" s="132" t="s">
        <v>309</v>
      </c>
      <c r="AK23" s="146" t="s">
        <v>342</v>
      </c>
      <c r="AL23" s="149">
        <f t="shared" si="1"/>
        <v>6000</v>
      </c>
      <c r="AM23" s="55" t="s">
        <v>349</v>
      </c>
      <c r="AN23" s="140"/>
      <c r="AO23" s="140"/>
      <c r="AP23" s="140" t="s">
        <v>200</v>
      </c>
      <c r="AQ23" s="140" t="s">
        <v>200</v>
      </c>
      <c r="AR23" s="140" t="s">
        <v>200</v>
      </c>
      <c r="AS23" s="140" t="s">
        <v>200</v>
      </c>
      <c r="AT23" s="140" t="s">
        <v>200</v>
      </c>
      <c r="AU23" s="140" t="s">
        <v>200</v>
      </c>
      <c r="AV23" s="140" t="s">
        <v>200</v>
      </c>
      <c r="AW23" s="140" t="s">
        <v>200</v>
      </c>
      <c r="AX23" s="140" t="s">
        <v>200</v>
      </c>
      <c r="AY23" s="140" t="s">
        <v>200</v>
      </c>
      <c r="AZ23" s="132" t="s">
        <v>834</v>
      </c>
      <c r="BA23" s="146" t="s">
        <v>344</v>
      </c>
    </row>
    <row r="24" spans="1:53" ht="108.75" customHeight="1" x14ac:dyDescent="0.25">
      <c r="A24" s="128" t="s">
        <v>11</v>
      </c>
      <c r="B24" s="128" t="s">
        <v>299</v>
      </c>
      <c r="C24" s="224"/>
      <c r="D24" s="224"/>
      <c r="E24" s="224"/>
      <c r="F24" s="142" t="s">
        <v>350</v>
      </c>
      <c r="G24" s="219" t="s">
        <v>351</v>
      </c>
      <c r="H24" s="129" t="s">
        <v>352</v>
      </c>
      <c r="I24" s="129" t="s">
        <v>353</v>
      </c>
      <c r="J24" s="129">
        <v>0</v>
      </c>
      <c r="K24" s="129" t="s">
        <v>354</v>
      </c>
      <c r="L24" s="130">
        <v>1</v>
      </c>
      <c r="M24" s="129">
        <v>1</v>
      </c>
      <c r="N24" s="132" t="str">
        <f t="shared" si="0"/>
        <v>Herramienta Invest in Cauca operativizada</v>
      </c>
      <c r="O24" s="133">
        <v>1</v>
      </c>
      <c r="P24" s="134">
        <f>Q24+AD24</f>
        <v>60000</v>
      </c>
      <c r="Q24" s="135">
        <v>20000</v>
      </c>
      <c r="R24" s="136"/>
      <c r="S24" s="136"/>
      <c r="T24" s="136"/>
      <c r="U24" s="136"/>
      <c r="V24" s="136"/>
      <c r="W24" s="136"/>
      <c r="X24" s="136"/>
      <c r="Y24" s="136"/>
      <c r="Z24" s="136"/>
      <c r="AA24" s="136"/>
      <c r="AB24" s="136"/>
      <c r="AC24" s="136"/>
      <c r="AD24" s="135">
        <v>40000</v>
      </c>
      <c r="AE24" s="136"/>
      <c r="AF24" s="136"/>
      <c r="AG24" s="55" t="s">
        <v>307</v>
      </c>
      <c r="AH24" s="137">
        <v>2019003190029</v>
      </c>
      <c r="AI24" s="132" t="s">
        <v>308</v>
      </c>
      <c r="AJ24" s="132" t="s">
        <v>309</v>
      </c>
      <c r="AK24" s="136" t="s">
        <v>355</v>
      </c>
      <c r="AL24" s="138">
        <f>Q24</f>
        <v>20000</v>
      </c>
      <c r="AM24" s="146" t="s">
        <v>356</v>
      </c>
      <c r="AN24" s="139"/>
      <c r="AO24" s="53" t="s">
        <v>200</v>
      </c>
      <c r="AP24" s="53" t="s">
        <v>200</v>
      </c>
      <c r="AQ24" s="53" t="s">
        <v>200</v>
      </c>
      <c r="AR24" s="53" t="s">
        <v>200</v>
      </c>
      <c r="AS24" s="53" t="s">
        <v>200</v>
      </c>
      <c r="AT24" s="53" t="s">
        <v>200</v>
      </c>
      <c r="AU24" s="53" t="s">
        <v>200</v>
      </c>
      <c r="AV24" s="53" t="s">
        <v>200</v>
      </c>
      <c r="AW24" s="53" t="s">
        <v>200</v>
      </c>
      <c r="AX24" s="53" t="s">
        <v>200</v>
      </c>
      <c r="AY24" s="53" t="s">
        <v>200</v>
      </c>
      <c r="AZ24" s="132" t="s">
        <v>312</v>
      </c>
      <c r="BA24" s="55" t="s">
        <v>313</v>
      </c>
    </row>
    <row r="25" spans="1:53" ht="126" customHeight="1" x14ac:dyDescent="0.25">
      <c r="A25" s="128" t="s">
        <v>11</v>
      </c>
      <c r="B25" s="128" t="s">
        <v>299</v>
      </c>
      <c r="C25" s="224"/>
      <c r="D25" s="224"/>
      <c r="E25" s="224"/>
      <c r="F25" s="150" t="s">
        <v>350</v>
      </c>
      <c r="G25" s="219"/>
      <c r="H25" s="129" t="s">
        <v>357</v>
      </c>
      <c r="I25" s="129" t="s">
        <v>358</v>
      </c>
      <c r="J25" s="129" t="s">
        <v>359</v>
      </c>
      <c r="K25" s="129" t="s">
        <v>185</v>
      </c>
      <c r="L25" s="130">
        <v>1</v>
      </c>
      <c r="M25" s="148">
        <v>0.26</v>
      </c>
      <c r="N25" s="132" t="str">
        <f t="shared" si="0"/>
        <v>Número de planes para promocionar la inversión en el Departamento del Cauca implementados</v>
      </c>
      <c r="O25" s="133">
        <v>0.75</v>
      </c>
      <c r="P25" s="134">
        <f>Q25+AD25</f>
        <v>182000</v>
      </c>
      <c r="Q25" s="135">
        <v>29000</v>
      </c>
      <c r="R25" s="136"/>
      <c r="S25" s="136"/>
      <c r="T25" s="136"/>
      <c r="U25" s="136"/>
      <c r="V25" s="136"/>
      <c r="W25" s="136"/>
      <c r="X25" s="136"/>
      <c r="Y25" s="136"/>
      <c r="Z25" s="136"/>
      <c r="AA25" s="136"/>
      <c r="AB25" s="136"/>
      <c r="AC25" s="136"/>
      <c r="AD25" s="135">
        <f>140000+13000</f>
        <v>153000</v>
      </c>
      <c r="AE25" s="136"/>
      <c r="AF25" s="136"/>
      <c r="AG25" s="55" t="s">
        <v>307</v>
      </c>
      <c r="AH25" s="137">
        <v>2019003190029</v>
      </c>
      <c r="AI25" s="132" t="s">
        <v>308</v>
      </c>
      <c r="AJ25" s="132" t="s">
        <v>309</v>
      </c>
      <c r="AK25" s="136" t="s">
        <v>326</v>
      </c>
      <c r="AL25" s="138">
        <f>Q25</f>
        <v>29000</v>
      </c>
      <c r="AM25" s="146" t="s">
        <v>360</v>
      </c>
      <c r="AN25" s="139"/>
      <c r="AO25" s="53" t="s">
        <v>200</v>
      </c>
      <c r="AP25" s="53" t="s">
        <v>200</v>
      </c>
      <c r="AQ25" s="53" t="s">
        <v>200</v>
      </c>
      <c r="AR25" s="53" t="s">
        <v>200</v>
      </c>
      <c r="AS25" s="53" t="s">
        <v>200</v>
      </c>
      <c r="AT25" s="53" t="s">
        <v>200</v>
      </c>
      <c r="AU25" s="53" t="s">
        <v>200</v>
      </c>
      <c r="AV25" s="53" t="s">
        <v>200</v>
      </c>
      <c r="AW25" s="53" t="s">
        <v>200</v>
      </c>
      <c r="AX25" s="53" t="s">
        <v>200</v>
      </c>
      <c r="AY25" s="53" t="s">
        <v>200</v>
      </c>
      <c r="AZ25" s="132" t="s">
        <v>312</v>
      </c>
      <c r="BA25" s="55" t="s">
        <v>313</v>
      </c>
    </row>
    <row r="26" spans="1:53" ht="122.25" customHeight="1" x14ac:dyDescent="0.25">
      <c r="A26" s="128" t="s">
        <v>11</v>
      </c>
      <c r="B26" s="128" t="s">
        <v>299</v>
      </c>
      <c r="C26" s="224"/>
      <c r="D26" s="224"/>
      <c r="E26" s="224"/>
      <c r="F26" s="142" t="s">
        <v>350</v>
      </c>
      <c r="G26" s="219"/>
      <c r="H26" s="129" t="s">
        <v>361</v>
      </c>
      <c r="I26" s="129" t="s">
        <v>362</v>
      </c>
      <c r="J26" s="129" t="s">
        <v>363</v>
      </c>
      <c r="K26" s="129" t="s">
        <v>185</v>
      </c>
      <c r="L26" s="130">
        <v>12</v>
      </c>
      <c r="M26" s="129">
        <v>2</v>
      </c>
      <c r="N26" s="132" t="str">
        <f t="shared" si="0"/>
        <v xml:space="preserve">Número de escenarios de promoción sectoriales especializados para el Departamento implementados </v>
      </c>
      <c r="O26" s="133">
        <v>10</v>
      </c>
      <c r="P26" s="134">
        <f>Q26+AD26</f>
        <v>163140</v>
      </c>
      <c r="Q26" s="135">
        <v>20000</v>
      </c>
      <c r="R26" s="136"/>
      <c r="S26" s="136"/>
      <c r="T26" s="136"/>
      <c r="U26" s="136"/>
      <c r="V26" s="136"/>
      <c r="W26" s="136"/>
      <c r="X26" s="136"/>
      <c r="Y26" s="136"/>
      <c r="Z26" s="136"/>
      <c r="AA26" s="136"/>
      <c r="AB26" s="136"/>
      <c r="AC26" s="136"/>
      <c r="AD26" s="135">
        <f>140000+3140</f>
        <v>143140</v>
      </c>
      <c r="AE26" s="136"/>
      <c r="AF26" s="136"/>
      <c r="AG26" s="55" t="s">
        <v>307</v>
      </c>
      <c r="AH26" s="137">
        <v>2019003190029</v>
      </c>
      <c r="AI26" s="132" t="s">
        <v>308</v>
      </c>
      <c r="AJ26" s="132" t="s">
        <v>309</v>
      </c>
      <c r="AK26" s="136" t="s">
        <v>364</v>
      </c>
      <c r="AL26" s="138">
        <f>Q26</f>
        <v>20000</v>
      </c>
      <c r="AM26" s="146" t="s">
        <v>365</v>
      </c>
      <c r="AN26" s="139"/>
      <c r="AO26" s="53" t="s">
        <v>200</v>
      </c>
      <c r="AP26" s="53" t="s">
        <v>200</v>
      </c>
      <c r="AQ26" s="53" t="s">
        <v>200</v>
      </c>
      <c r="AR26" s="53" t="s">
        <v>200</v>
      </c>
      <c r="AS26" s="53" t="s">
        <v>200</v>
      </c>
      <c r="AT26" s="53" t="s">
        <v>200</v>
      </c>
      <c r="AU26" s="53" t="s">
        <v>200</v>
      </c>
      <c r="AV26" s="53" t="s">
        <v>200</v>
      </c>
      <c r="AW26" s="53" t="s">
        <v>200</v>
      </c>
      <c r="AX26" s="53" t="s">
        <v>200</v>
      </c>
      <c r="AY26" s="53" t="s">
        <v>200</v>
      </c>
      <c r="AZ26" s="132" t="s">
        <v>312</v>
      </c>
      <c r="BA26" s="55" t="s">
        <v>313</v>
      </c>
    </row>
    <row r="27" spans="1:53" ht="165.75" customHeight="1" x14ac:dyDescent="0.25">
      <c r="A27" s="128" t="s">
        <v>11</v>
      </c>
      <c r="B27" s="128" t="s">
        <v>299</v>
      </c>
      <c r="C27" s="224"/>
      <c r="D27" s="224"/>
      <c r="E27" s="224"/>
      <c r="F27" s="129" t="s">
        <v>366</v>
      </c>
      <c r="G27" s="129" t="s">
        <v>367</v>
      </c>
      <c r="H27" s="129" t="s">
        <v>368</v>
      </c>
      <c r="I27" s="129" t="s">
        <v>369</v>
      </c>
      <c r="J27" s="129">
        <v>1</v>
      </c>
      <c r="K27" s="129" t="s">
        <v>185</v>
      </c>
      <c r="L27" s="130">
        <v>1</v>
      </c>
      <c r="M27" s="148">
        <v>0.25</v>
      </c>
      <c r="N27" s="132" t="str">
        <f t="shared" si="0"/>
        <v>Número de planes de acción de fortalecimiento de la mesa de cambio climático para el análisis económico  implementados</v>
      </c>
      <c r="O27" s="133">
        <v>0.75</v>
      </c>
      <c r="P27" s="134">
        <v>121000</v>
      </c>
      <c r="Q27" s="135">
        <v>53000</v>
      </c>
      <c r="R27" s="136"/>
      <c r="S27" s="136"/>
      <c r="T27" s="136"/>
      <c r="U27" s="136"/>
      <c r="V27" s="136"/>
      <c r="W27" s="136"/>
      <c r="X27" s="136"/>
      <c r="Y27" s="136"/>
      <c r="Z27" s="136"/>
      <c r="AA27" s="136"/>
      <c r="AB27" s="136"/>
      <c r="AC27" s="136"/>
      <c r="AD27" s="135">
        <v>68000</v>
      </c>
      <c r="AE27" s="136"/>
      <c r="AF27" s="136"/>
      <c r="AG27" s="55" t="s">
        <v>370</v>
      </c>
      <c r="AH27" s="151">
        <v>0</v>
      </c>
      <c r="AI27" s="55" t="s">
        <v>371</v>
      </c>
      <c r="AJ27" s="133" t="s">
        <v>372</v>
      </c>
      <c r="AK27" s="149">
        <v>500000</v>
      </c>
      <c r="AL27" s="138">
        <v>53000</v>
      </c>
      <c r="AM27" s="55" t="s">
        <v>373</v>
      </c>
      <c r="AN27" s="140" t="s">
        <v>200</v>
      </c>
      <c r="AO27" s="140" t="s">
        <v>200</v>
      </c>
      <c r="AP27" s="140" t="s">
        <v>200</v>
      </c>
      <c r="AQ27" s="140" t="s">
        <v>200</v>
      </c>
      <c r="AR27" s="140" t="s">
        <v>200</v>
      </c>
      <c r="AS27" s="140" t="s">
        <v>200</v>
      </c>
      <c r="AT27" s="140" t="s">
        <v>200</v>
      </c>
      <c r="AU27" s="140" t="s">
        <v>200</v>
      </c>
      <c r="AV27" s="140" t="s">
        <v>200</v>
      </c>
      <c r="AW27" s="140" t="s">
        <v>200</v>
      </c>
      <c r="AX27" s="140" t="s">
        <v>200</v>
      </c>
      <c r="AY27" s="140" t="s">
        <v>200</v>
      </c>
      <c r="AZ27" s="55" t="s">
        <v>374</v>
      </c>
      <c r="BA27" s="55" t="s">
        <v>375</v>
      </c>
    </row>
    <row r="28" spans="1:53" ht="125.25" customHeight="1" x14ac:dyDescent="0.25">
      <c r="A28" s="128" t="s">
        <v>11</v>
      </c>
      <c r="B28" s="128" t="s">
        <v>299</v>
      </c>
      <c r="C28" s="225"/>
      <c r="D28" s="225"/>
      <c r="E28" s="225"/>
      <c r="F28" s="129" t="s">
        <v>376</v>
      </c>
      <c r="G28" s="129" t="s">
        <v>377</v>
      </c>
      <c r="H28" s="129" t="s">
        <v>378</v>
      </c>
      <c r="I28" s="129" t="s">
        <v>379</v>
      </c>
      <c r="J28" s="129">
        <v>1</v>
      </c>
      <c r="K28" s="129" t="s">
        <v>185</v>
      </c>
      <c r="L28" s="130">
        <v>1</v>
      </c>
      <c r="M28" s="129">
        <v>0.2</v>
      </c>
      <c r="N28" s="132" t="str">
        <f t="shared" si="0"/>
        <v>Número de estrategias para  el fortalecimiento de las alianzas supraregionales construidas</v>
      </c>
      <c r="O28" s="133"/>
      <c r="P28" s="134">
        <v>750000</v>
      </c>
      <c r="Q28" s="136"/>
      <c r="R28" s="136"/>
      <c r="S28" s="136"/>
      <c r="T28" s="136"/>
      <c r="U28" s="136"/>
      <c r="V28" s="136">
        <v>500000</v>
      </c>
      <c r="W28" s="136"/>
      <c r="X28" s="136"/>
      <c r="Y28" s="136"/>
      <c r="Z28" s="136"/>
      <c r="AA28" s="136"/>
      <c r="AB28" s="136"/>
      <c r="AC28" s="136"/>
      <c r="AD28" s="136">
        <v>250000</v>
      </c>
      <c r="AE28" s="136"/>
      <c r="AF28" s="136"/>
      <c r="AG28" s="132" t="s">
        <v>380</v>
      </c>
      <c r="AH28" s="152">
        <v>2019003190037</v>
      </c>
      <c r="AI28" s="132" t="s">
        <v>228</v>
      </c>
      <c r="AJ28" s="132" t="s">
        <v>309</v>
      </c>
      <c r="AK28" s="146" t="s">
        <v>342</v>
      </c>
      <c r="AL28" s="149">
        <v>69366</v>
      </c>
      <c r="AM28" s="55" t="s">
        <v>381</v>
      </c>
      <c r="AN28" s="140"/>
      <c r="AO28" s="140"/>
      <c r="AP28" s="140" t="s">
        <v>200</v>
      </c>
      <c r="AQ28" s="140" t="s">
        <v>200</v>
      </c>
      <c r="AR28" s="140" t="s">
        <v>200</v>
      </c>
      <c r="AS28" s="140" t="s">
        <v>200</v>
      </c>
      <c r="AT28" s="140" t="s">
        <v>200</v>
      </c>
      <c r="AU28" s="140" t="s">
        <v>200</v>
      </c>
      <c r="AV28" s="140" t="s">
        <v>200</v>
      </c>
      <c r="AW28" s="140" t="s">
        <v>200</v>
      </c>
      <c r="AX28" s="140" t="s">
        <v>200</v>
      </c>
      <c r="AY28" s="140" t="s">
        <v>200</v>
      </c>
      <c r="AZ28" s="132" t="s">
        <v>834</v>
      </c>
      <c r="BA28" s="146"/>
    </row>
    <row r="29" spans="1:53" ht="183.75" customHeight="1" x14ac:dyDescent="0.25">
      <c r="A29" s="128" t="s">
        <v>11</v>
      </c>
      <c r="B29" s="128" t="s">
        <v>299</v>
      </c>
      <c r="C29" s="219" t="s">
        <v>382</v>
      </c>
      <c r="D29" s="219" t="s">
        <v>383</v>
      </c>
      <c r="E29" s="219" t="s">
        <v>384</v>
      </c>
      <c r="F29" s="128" t="s">
        <v>385</v>
      </c>
      <c r="G29" s="219" t="s">
        <v>386</v>
      </c>
      <c r="H29" s="129" t="s">
        <v>387</v>
      </c>
      <c r="I29" s="129" t="s">
        <v>388</v>
      </c>
      <c r="J29" s="129">
        <v>0</v>
      </c>
      <c r="K29" s="129" t="s">
        <v>185</v>
      </c>
      <c r="L29" s="130">
        <v>2</v>
      </c>
      <c r="M29" s="129">
        <v>0.3</v>
      </c>
      <c r="N29" s="132" t="str">
        <f t="shared" si="0"/>
        <v xml:space="preserve">Número de subregiones en procesos de planificación turística asistidas técnicamente </v>
      </c>
      <c r="O29" s="133">
        <v>1.7</v>
      </c>
      <c r="P29" s="134">
        <v>25613</v>
      </c>
      <c r="Q29" s="134">
        <v>25613</v>
      </c>
      <c r="R29" s="136"/>
      <c r="S29" s="136"/>
      <c r="T29" s="136"/>
      <c r="U29" s="136"/>
      <c r="V29" s="136"/>
      <c r="W29" s="136"/>
      <c r="X29" s="136"/>
      <c r="Y29" s="136"/>
      <c r="Z29" s="136"/>
      <c r="AA29" s="136"/>
      <c r="AB29" s="136"/>
      <c r="AC29" s="136"/>
      <c r="AD29" s="136"/>
      <c r="AE29" s="136"/>
      <c r="AF29" s="136"/>
      <c r="AG29" s="55" t="s">
        <v>389</v>
      </c>
      <c r="AH29" s="55" t="s">
        <v>390</v>
      </c>
      <c r="AI29" s="55" t="s">
        <v>391</v>
      </c>
      <c r="AJ29" s="55" t="s">
        <v>392</v>
      </c>
      <c r="AK29" s="55" t="s">
        <v>393</v>
      </c>
      <c r="AL29" s="220">
        <v>153150500</v>
      </c>
      <c r="AM29" s="55" t="s">
        <v>394</v>
      </c>
      <c r="AN29" s="140" t="s">
        <v>200</v>
      </c>
      <c r="AO29" s="140" t="s">
        <v>200</v>
      </c>
      <c r="AP29" s="140" t="s">
        <v>200</v>
      </c>
      <c r="AQ29" s="140" t="s">
        <v>200</v>
      </c>
      <c r="AR29" s="140" t="s">
        <v>200</v>
      </c>
      <c r="AS29" s="140" t="s">
        <v>200</v>
      </c>
      <c r="AT29" s="140" t="s">
        <v>200</v>
      </c>
      <c r="AU29" s="140" t="s">
        <v>200</v>
      </c>
      <c r="AV29" s="140" t="s">
        <v>200</v>
      </c>
      <c r="AW29" s="140" t="s">
        <v>200</v>
      </c>
      <c r="AX29" s="140" t="s">
        <v>200</v>
      </c>
      <c r="AY29" s="140" t="s">
        <v>200</v>
      </c>
      <c r="AZ29" s="55" t="s">
        <v>395</v>
      </c>
      <c r="BA29" s="55" t="s">
        <v>835</v>
      </c>
    </row>
    <row r="30" spans="1:53" ht="126" customHeight="1" x14ac:dyDescent="0.25">
      <c r="A30" s="128" t="s">
        <v>11</v>
      </c>
      <c r="B30" s="128" t="s">
        <v>299</v>
      </c>
      <c r="C30" s="219"/>
      <c r="D30" s="219"/>
      <c r="E30" s="219"/>
      <c r="F30" s="142" t="s">
        <v>385</v>
      </c>
      <c r="G30" s="219"/>
      <c r="H30" s="129" t="s">
        <v>396</v>
      </c>
      <c r="I30" s="129" t="s">
        <v>397</v>
      </c>
      <c r="J30" s="129">
        <v>5</v>
      </c>
      <c r="K30" s="129" t="s">
        <v>185</v>
      </c>
      <c r="L30" s="130">
        <v>10</v>
      </c>
      <c r="M30" s="129">
        <v>2</v>
      </c>
      <c r="N30" s="132" t="str">
        <f t="shared" si="0"/>
        <v>Número de nuevas políticas públicas turísticas en alianza con las administraciones municipales estructuradas</v>
      </c>
      <c r="O30" s="133">
        <v>8</v>
      </c>
      <c r="P30" s="134">
        <v>39000</v>
      </c>
      <c r="Q30" s="134">
        <v>39000</v>
      </c>
      <c r="R30" s="136"/>
      <c r="S30" s="136"/>
      <c r="T30" s="136"/>
      <c r="U30" s="136"/>
      <c r="V30" s="136"/>
      <c r="W30" s="136"/>
      <c r="X30" s="136"/>
      <c r="Y30" s="136"/>
      <c r="Z30" s="136"/>
      <c r="AA30" s="136"/>
      <c r="AB30" s="136"/>
      <c r="AC30" s="136"/>
      <c r="AD30" s="136"/>
      <c r="AE30" s="136"/>
      <c r="AF30" s="136"/>
      <c r="AG30" s="55" t="s">
        <v>389</v>
      </c>
      <c r="AH30" s="55" t="s">
        <v>390</v>
      </c>
      <c r="AI30" s="55" t="s">
        <v>391</v>
      </c>
      <c r="AJ30" s="55" t="s">
        <v>392</v>
      </c>
      <c r="AK30" s="55" t="s">
        <v>393</v>
      </c>
      <c r="AL30" s="221"/>
      <c r="AM30" s="55" t="s">
        <v>398</v>
      </c>
      <c r="AN30" s="140" t="s">
        <v>200</v>
      </c>
      <c r="AO30" s="140" t="s">
        <v>200</v>
      </c>
      <c r="AP30" s="140" t="s">
        <v>200</v>
      </c>
      <c r="AQ30" s="140" t="s">
        <v>200</v>
      </c>
      <c r="AR30" s="140" t="s">
        <v>200</v>
      </c>
      <c r="AS30" s="140" t="s">
        <v>200</v>
      </c>
      <c r="AT30" s="140" t="s">
        <v>200</v>
      </c>
      <c r="AU30" s="140" t="s">
        <v>200</v>
      </c>
      <c r="AV30" s="140" t="s">
        <v>200</v>
      </c>
      <c r="AW30" s="140" t="s">
        <v>200</v>
      </c>
      <c r="AX30" s="140" t="s">
        <v>200</v>
      </c>
      <c r="AY30" s="140" t="s">
        <v>200</v>
      </c>
      <c r="AZ30" s="55" t="s">
        <v>395</v>
      </c>
      <c r="BA30" s="55" t="s">
        <v>836</v>
      </c>
    </row>
    <row r="31" spans="1:53" ht="110.25" customHeight="1" x14ac:dyDescent="0.25">
      <c r="A31" s="128" t="s">
        <v>11</v>
      </c>
      <c r="B31" s="128" t="s">
        <v>299</v>
      </c>
      <c r="C31" s="219"/>
      <c r="D31" s="219"/>
      <c r="E31" s="219"/>
      <c r="F31" s="153" t="s">
        <v>385</v>
      </c>
      <c r="G31" s="219"/>
      <c r="H31" s="129" t="s">
        <v>399</v>
      </c>
      <c r="I31" s="129" t="s">
        <v>400</v>
      </c>
      <c r="J31" s="129">
        <v>5</v>
      </c>
      <c r="K31" s="129" t="s">
        <v>185</v>
      </c>
      <c r="L31" s="130">
        <v>10</v>
      </c>
      <c r="M31" s="129">
        <v>2</v>
      </c>
      <c r="N31" s="132" t="str">
        <f t="shared" si="0"/>
        <v>Número de nuevos inventarios turísticos en alianza con las administraciones municipales estructurados</v>
      </c>
      <c r="O31" s="133">
        <v>8</v>
      </c>
      <c r="P31" s="134">
        <v>90000</v>
      </c>
      <c r="Q31" s="134">
        <v>90000</v>
      </c>
      <c r="R31" s="136"/>
      <c r="S31" s="136"/>
      <c r="T31" s="136"/>
      <c r="U31" s="136"/>
      <c r="V31" s="136"/>
      <c r="W31" s="136"/>
      <c r="X31" s="136"/>
      <c r="Y31" s="136"/>
      <c r="Z31" s="136"/>
      <c r="AA31" s="136"/>
      <c r="AB31" s="136"/>
      <c r="AC31" s="136"/>
      <c r="AD31" s="136"/>
      <c r="AE31" s="136"/>
      <c r="AF31" s="136"/>
      <c r="AG31" s="55" t="s">
        <v>389</v>
      </c>
      <c r="AH31" s="55" t="s">
        <v>390</v>
      </c>
      <c r="AI31" s="55" t="s">
        <v>391</v>
      </c>
      <c r="AJ31" s="55" t="s">
        <v>392</v>
      </c>
      <c r="AK31" s="55" t="s">
        <v>393</v>
      </c>
      <c r="AL31" s="222"/>
      <c r="AM31" s="55" t="s">
        <v>401</v>
      </c>
      <c r="AN31" s="140" t="s">
        <v>200</v>
      </c>
      <c r="AO31" s="140" t="s">
        <v>200</v>
      </c>
      <c r="AP31" s="140" t="s">
        <v>200</v>
      </c>
      <c r="AQ31" s="140" t="s">
        <v>200</v>
      </c>
      <c r="AR31" s="140" t="s">
        <v>200</v>
      </c>
      <c r="AS31" s="140" t="s">
        <v>200</v>
      </c>
      <c r="AT31" s="140" t="s">
        <v>200</v>
      </c>
      <c r="AU31" s="140" t="s">
        <v>200</v>
      </c>
      <c r="AV31" s="140" t="s">
        <v>200</v>
      </c>
      <c r="AW31" s="140" t="s">
        <v>200</v>
      </c>
      <c r="AX31" s="140" t="s">
        <v>200</v>
      </c>
      <c r="AY31" s="140" t="s">
        <v>200</v>
      </c>
      <c r="AZ31" s="55" t="s">
        <v>395</v>
      </c>
      <c r="BA31" s="55" t="s">
        <v>836</v>
      </c>
    </row>
    <row r="32" spans="1:53" ht="175.5" customHeight="1" x14ac:dyDescent="0.25">
      <c r="A32" s="128" t="s">
        <v>11</v>
      </c>
      <c r="B32" s="128" t="s">
        <v>299</v>
      </c>
      <c r="C32" s="219"/>
      <c r="D32" s="219"/>
      <c r="E32" s="219"/>
      <c r="F32" s="142" t="s">
        <v>402</v>
      </c>
      <c r="G32" s="219" t="s">
        <v>403</v>
      </c>
      <c r="H32" s="129" t="s">
        <v>404</v>
      </c>
      <c r="I32" s="129" t="s">
        <v>405</v>
      </c>
      <c r="J32" s="129">
        <v>1</v>
      </c>
      <c r="K32" s="129" t="s">
        <v>185</v>
      </c>
      <c r="L32" s="130">
        <v>3</v>
      </c>
      <c r="M32" s="129">
        <v>0.45</v>
      </c>
      <c r="N32" s="132" t="str">
        <f t="shared" si="0"/>
        <v>Número de atractivos turísticos en infraestructura intervenidos</v>
      </c>
      <c r="O32" s="133">
        <v>2.5499999999999998</v>
      </c>
      <c r="P32" s="134">
        <v>297333</v>
      </c>
      <c r="Q32" s="136"/>
      <c r="R32" s="136"/>
      <c r="S32" s="136"/>
      <c r="T32" s="136"/>
      <c r="U32" s="136"/>
      <c r="V32" s="136"/>
      <c r="W32" s="136"/>
      <c r="X32" s="154">
        <v>297333</v>
      </c>
      <c r="Y32" s="136"/>
      <c r="Z32" s="136"/>
      <c r="AA32" s="136"/>
      <c r="AB32" s="136"/>
      <c r="AC32" s="136"/>
      <c r="AD32" s="136"/>
      <c r="AE32" s="136"/>
      <c r="AF32" s="136"/>
      <c r="AG32" s="55" t="s">
        <v>406</v>
      </c>
      <c r="AH32" s="55" t="s">
        <v>407</v>
      </c>
      <c r="AI32" s="136" t="s">
        <v>408</v>
      </c>
      <c r="AJ32" s="136" t="s">
        <v>409</v>
      </c>
      <c r="AK32" s="55" t="s">
        <v>410</v>
      </c>
      <c r="AL32" s="155">
        <v>430000000</v>
      </c>
      <c r="AM32" s="55" t="s">
        <v>837</v>
      </c>
      <c r="AN32" s="140" t="s">
        <v>200</v>
      </c>
      <c r="AO32" s="140" t="s">
        <v>200</v>
      </c>
      <c r="AP32" s="140" t="s">
        <v>200</v>
      </c>
      <c r="AQ32" s="140" t="s">
        <v>200</v>
      </c>
      <c r="AR32" s="140" t="s">
        <v>200</v>
      </c>
      <c r="AS32" s="140" t="s">
        <v>200</v>
      </c>
      <c r="AT32" s="140"/>
      <c r="AU32" s="140"/>
      <c r="AV32" s="140"/>
      <c r="AW32" s="140"/>
      <c r="AX32" s="140"/>
      <c r="AY32" s="140"/>
      <c r="AZ32" s="55" t="s">
        <v>395</v>
      </c>
      <c r="BA32" s="136" t="s">
        <v>411</v>
      </c>
    </row>
    <row r="33" spans="1:53" ht="136.5" customHeight="1" x14ac:dyDescent="0.25">
      <c r="A33" s="128" t="s">
        <v>11</v>
      </c>
      <c r="B33" s="128" t="s">
        <v>299</v>
      </c>
      <c r="C33" s="219"/>
      <c r="D33" s="219"/>
      <c r="E33" s="219"/>
      <c r="F33" s="142" t="s">
        <v>402</v>
      </c>
      <c r="G33" s="219"/>
      <c r="H33" s="129" t="s">
        <v>412</v>
      </c>
      <c r="I33" s="129" t="s">
        <v>413</v>
      </c>
      <c r="J33" s="129">
        <v>1</v>
      </c>
      <c r="K33" s="129" t="s">
        <v>185</v>
      </c>
      <c r="L33" s="130">
        <v>8</v>
      </c>
      <c r="M33" s="129">
        <v>4</v>
      </c>
      <c r="N33" s="132" t="str">
        <f t="shared" si="0"/>
        <v xml:space="preserve">Número de municipios con identificación y estructuración de proyectos de infraestructura turística asistidos técnicamente </v>
      </c>
      <c r="O33" s="133">
        <v>4</v>
      </c>
      <c r="P33" s="134">
        <v>14240</v>
      </c>
      <c r="Q33" s="135">
        <v>14240</v>
      </c>
      <c r="R33" s="136"/>
      <c r="S33" s="136"/>
      <c r="T33" s="136"/>
      <c r="U33" s="136"/>
      <c r="V33" s="136"/>
      <c r="W33" s="136"/>
      <c r="X33" s="136"/>
      <c r="Y33" s="136"/>
      <c r="Z33" s="136"/>
      <c r="AA33" s="136"/>
      <c r="AB33" s="136"/>
      <c r="AC33" s="136"/>
      <c r="AD33" s="136"/>
      <c r="AE33" s="136"/>
      <c r="AF33" s="136"/>
      <c r="AG33" s="55" t="s">
        <v>414</v>
      </c>
      <c r="AH33" s="151">
        <v>0</v>
      </c>
      <c r="AI33" s="136" t="s">
        <v>415</v>
      </c>
      <c r="AJ33" s="136" t="s">
        <v>416</v>
      </c>
      <c r="AK33" s="136" t="s">
        <v>416</v>
      </c>
      <c r="AL33" s="155">
        <v>57292250</v>
      </c>
      <c r="AM33" s="55" t="s">
        <v>414</v>
      </c>
      <c r="AN33" s="140" t="s">
        <v>200</v>
      </c>
      <c r="AO33" s="140" t="s">
        <v>200</v>
      </c>
      <c r="AP33" s="140" t="s">
        <v>200</v>
      </c>
      <c r="AQ33" s="140" t="s">
        <v>200</v>
      </c>
      <c r="AR33" s="140" t="s">
        <v>200</v>
      </c>
      <c r="AS33" s="140" t="s">
        <v>200</v>
      </c>
      <c r="AT33" s="140" t="s">
        <v>200</v>
      </c>
      <c r="AU33" s="140" t="s">
        <v>200</v>
      </c>
      <c r="AV33" s="140" t="s">
        <v>200</v>
      </c>
      <c r="AW33" s="140" t="s">
        <v>200</v>
      </c>
      <c r="AX33" s="140" t="s">
        <v>200</v>
      </c>
      <c r="AY33" s="140" t="s">
        <v>200</v>
      </c>
      <c r="AZ33" s="55" t="s">
        <v>395</v>
      </c>
      <c r="BA33" s="55" t="s">
        <v>838</v>
      </c>
    </row>
    <row r="34" spans="1:53" ht="95.25" customHeight="1" x14ac:dyDescent="0.25">
      <c r="A34" s="128" t="s">
        <v>11</v>
      </c>
      <c r="B34" s="128" t="s">
        <v>299</v>
      </c>
      <c r="C34" s="219"/>
      <c r="D34" s="219"/>
      <c r="E34" s="219"/>
      <c r="F34" s="142" t="s">
        <v>417</v>
      </c>
      <c r="G34" s="219" t="s">
        <v>418</v>
      </c>
      <c r="H34" s="129" t="s">
        <v>419</v>
      </c>
      <c r="I34" s="129" t="s">
        <v>420</v>
      </c>
      <c r="J34" s="129">
        <v>1</v>
      </c>
      <c r="K34" s="129" t="s">
        <v>185</v>
      </c>
      <c r="L34" s="130">
        <v>4</v>
      </c>
      <c r="M34" s="129">
        <v>1</v>
      </c>
      <c r="N34" s="132" t="str">
        <f t="shared" si="0"/>
        <v>Número de estrategias  de seguridad turística implementadas</v>
      </c>
      <c r="O34" s="133">
        <v>3</v>
      </c>
      <c r="P34" s="134">
        <v>3340</v>
      </c>
      <c r="Q34" s="134">
        <v>3340</v>
      </c>
      <c r="R34" s="136"/>
      <c r="S34" s="136"/>
      <c r="T34" s="136"/>
      <c r="U34" s="136"/>
      <c r="V34" s="136"/>
      <c r="W34" s="136"/>
      <c r="X34" s="136"/>
      <c r="Y34" s="136"/>
      <c r="Z34" s="136"/>
      <c r="AA34" s="136"/>
      <c r="AB34" s="136"/>
      <c r="AC34" s="136"/>
      <c r="AD34" s="136"/>
      <c r="AE34" s="136"/>
      <c r="AF34" s="136"/>
      <c r="AG34" s="55" t="s">
        <v>389</v>
      </c>
      <c r="AH34" s="55" t="s">
        <v>390</v>
      </c>
      <c r="AI34" s="55" t="s">
        <v>391</v>
      </c>
      <c r="AJ34" s="55" t="s">
        <v>392</v>
      </c>
      <c r="AK34" s="55" t="s">
        <v>393</v>
      </c>
      <c r="AL34" s="220">
        <v>115902250</v>
      </c>
      <c r="AM34" s="136" t="s">
        <v>421</v>
      </c>
      <c r="AN34" s="140" t="s">
        <v>200</v>
      </c>
      <c r="AO34" s="140" t="s">
        <v>200</v>
      </c>
      <c r="AP34" s="140" t="s">
        <v>200</v>
      </c>
      <c r="AQ34" s="140" t="s">
        <v>200</v>
      </c>
      <c r="AR34" s="140" t="s">
        <v>200</v>
      </c>
      <c r="AS34" s="140" t="s">
        <v>200</v>
      </c>
      <c r="AT34" s="140" t="s">
        <v>200</v>
      </c>
      <c r="AU34" s="140" t="s">
        <v>200</v>
      </c>
      <c r="AV34" s="140" t="s">
        <v>200</v>
      </c>
      <c r="AW34" s="140" t="s">
        <v>200</v>
      </c>
      <c r="AX34" s="140" t="s">
        <v>200</v>
      </c>
      <c r="AY34" s="140" t="s">
        <v>200</v>
      </c>
      <c r="AZ34" s="55" t="s">
        <v>395</v>
      </c>
      <c r="BA34" s="55" t="s">
        <v>422</v>
      </c>
    </row>
    <row r="35" spans="1:53" ht="98.25" customHeight="1" x14ac:dyDescent="0.25">
      <c r="A35" s="128" t="s">
        <v>11</v>
      </c>
      <c r="B35" s="128" t="s">
        <v>299</v>
      </c>
      <c r="C35" s="219"/>
      <c r="D35" s="219"/>
      <c r="E35" s="219"/>
      <c r="F35" s="142" t="s">
        <v>417</v>
      </c>
      <c r="G35" s="219"/>
      <c r="H35" s="129" t="s">
        <v>423</v>
      </c>
      <c r="I35" s="129" t="s">
        <v>424</v>
      </c>
      <c r="J35" s="129">
        <v>5</v>
      </c>
      <c r="K35" s="129" t="s">
        <v>185</v>
      </c>
      <c r="L35" s="130">
        <v>7</v>
      </c>
      <c r="M35" s="129">
        <v>1</v>
      </c>
      <c r="N35" s="132" t="str">
        <f t="shared" si="0"/>
        <v xml:space="preserve">Número de proyectos que promuevan el desarrollo turístico en los municipios con vocación turística cofinanciados </v>
      </c>
      <c r="O35" s="133">
        <v>7</v>
      </c>
      <c r="P35" s="134">
        <v>68571</v>
      </c>
      <c r="Q35" s="134">
        <v>68571</v>
      </c>
      <c r="R35" s="136"/>
      <c r="S35" s="136"/>
      <c r="T35" s="136"/>
      <c r="U35" s="136"/>
      <c r="V35" s="136"/>
      <c r="W35" s="136"/>
      <c r="X35" s="136"/>
      <c r="Y35" s="136"/>
      <c r="Z35" s="136"/>
      <c r="AA35" s="136"/>
      <c r="AB35" s="136"/>
      <c r="AC35" s="136"/>
      <c r="AD35" s="136"/>
      <c r="AE35" s="136"/>
      <c r="AF35" s="136"/>
      <c r="AG35" s="55" t="s">
        <v>389</v>
      </c>
      <c r="AH35" s="55" t="s">
        <v>390</v>
      </c>
      <c r="AI35" s="55" t="s">
        <v>391</v>
      </c>
      <c r="AJ35" s="55" t="s">
        <v>392</v>
      </c>
      <c r="AK35" s="55" t="s">
        <v>393</v>
      </c>
      <c r="AL35" s="222"/>
      <c r="AM35" s="55" t="s">
        <v>425</v>
      </c>
      <c r="AN35" s="140" t="s">
        <v>200</v>
      </c>
      <c r="AO35" s="140" t="s">
        <v>200</v>
      </c>
      <c r="AP35" s="140" t="s">
        <v>200</v>
      </c>
      <c r="AQ35" s="140" t="s">
        <v>200</v>
      </c>
      <c r="AR35" s="140" t="s">
        <v>200</v>
      </c>
      <c r="AS35" s="140" t="s">
        <v>200</v>
      </c>
      <c r="AT35" s="140" t="s">
        <v>200</v>
      </c>
      <c r="AU35" s="140" t="s">
        <v>200</v>
      </c>
      <c r="AV35" s="140" t="s">
        <v>200</v>
      </c>
      <c r="AW35" s="140" t="s">
        <v>200</v>
      </c>
      <c r="AX35" s="140" t="s">
        <v>200</v>
      </c>
      <c r="AY35" s="140" t="s">
        <v>200</v>
      </c>
      <c r="AZ35" s="55" t="s">
        <v>395</v>
      </c>
      <c r="BA35" s="55" t="s">
        <v>422</v>
      </c>
    </row>
    <row r="36" spans="1:53" ht="159.75" customHeight="1" x14ac:dyDescent="0.25">
      <c r="A36" s="128" t="s">
        <v>11</v>
      </c>
      <c r="B36" s="128" t="s">
        <v>299</v>
      </c>
      <c r="C36" s="219"/>
      <c r="D36" s="219"/>
      <c r="E36" s="219"/>
      <c r="F36" s="129" t="s">
        <v>426</v>
      </c>
      <c r="G36" s="129" t="s">
        <v>427</v>
      </c>
      <c r="H36" s="129" t="s">
        <v>428</v>
      </c>
      <c r="I36" s="129" t="s">
        <v>429</v>
      </c>
      <c r="J36" s="129">
        <v>3</v>
      </c>
      <c r="K36" s="129" t="s">
        <v>185</v>
      </c>
      <c r="L36" s="130">
        <v>4</v>
      </c>
      <c r="M36" s="129">
        <v>1</v>
      </c>
      <c r="N36" s="132" t="str">
        <f t="shared" si="0"/>
        <v xml:space="preserve">Número de eventos de talla internacional que promocionan al Cauca como destino turístico </v>
      </c>
      <c r="O36" s="133">
        <v>3</v>
      </c>
      <c r="P36" s="134">
        <v>240000</v>
      </c>
      <c r="Q36" s="134">
        <v>240000</v>
      </c>
      <c r="R36" s="136"/>
      <c r="S36" s="136"/>
      <c r="T36" s="136"/>
      <c r="U36" s="136"/>
      <c r="V36" s="136"/>
      <c r="W36" s="136"/>
      <c r="X36" s="136"/>
      <c r="Y36" s="136"/>
      <c r="Z36" s="136"/>
      <c r="AA36" s="136"/>
      <c r="AB36" s="136"/>
      <c r="AC36" s="136"/>
      <c r="AD36" s="136"/>
      <c r="AE36" s="136"/>
      <c r="AF36" s="136"/>
      <c r="AG36" s="55" t="s">
        <v>430</v>
      </c>
      <c r="AH36" s="55" t="s">
        <v>431</v>
      </c>
      <c r="AI36" s="55" t="s">
        <v>432</v>
      </c>
      <c r="AJ36" s="55" t="s">
        <v>433</v>
      </c>
      <c r="AK36" s="55" t="s">
        <v>434</v>
      </c>
      <c r="AL36" s="155">
        <v>160043760</v>
      </c>
      <c r="AM36" s="55" t="s">
        <v>435</v>
      </c>
      <c r="AN36" s="140" t="s">
        <v>200</v>
      </c>
      <c r="AO36" s="140" t="s">
        <v>200</v>
      </c>
      <c r="AP36" s="140" t="s">
        <v>200</v>
      </c>
      <c r="AQ36" s="140" t="s">
        <v>200</v>
      </c>
      <c r="AR36" s="140" t="s">
        <v>200</v>
      </c>
      <c r="AS36" s="140" t="s">
        <v>200</v>
      </c>
      <c r="AT36" s="140" t="s">
        <v>200</v>
      </c>
      <c r="AU36" s="140" t="s">
        <v>200</v>
      </c>
      <c r="AV36" s="140" t="s">
        <v>200</v>
      </c>
      <c r="AW36" s="140" t="s">
        <v>200</v>
      </c>
      <c r="AX36" s="140" t="s">
        <v>200</v>
      </c>
      <c r="AY36" s="140" t="s">
        <v>200</v>
      </c>
      <c r="AZ36" s="55" t="s">
        <v>395</v>
      </c>
      <c r="BA36" s="146" t="s">
        <v>839</v>
      </c>
    </row>
    <row r="37" spans="1:53" ht="163.5" customHeight="1" x14ac:dyDescent="0.25">
      <c r="A37" s="128" t="s">
        <v>11</v>
      </c>
      <c r="B37" s="128" t="s">
        <v>299</v>
      </c>
      <c r="C37" s="219" t="s">
        <v>436</v>
      </c>
      <c r="D37" s="219" t="s">
        <v>437</v>
      </c>
      <c r="E37" s="223" t="s">
        <v>438</v>
      </c>
      <c r="F37" s="142" t="s">
        <v>439</v>
      </c>
      <c r="G37" s="219" t="s">
        <v>440</v>
      </c>
      <c r="H37" s="129" t="s">
        <v>441</v>
      </c>
      <c r="I37" s="129" t="s">
        <v>442</v>
      </c>
      <c r="J37" s="129" t="s">
        <v>443</v>
      </c>
      <c r="K37" s="129" t="s">
        <v>185</v>
      </c>
      <c r="L37" s="130">
        <v>100</v>
      </c>
      <c r="M37" s="129">
        <v>10</v>
      </c>
      <c r="N37" s="132" t="str">
        <f t="shared" si="0"/>
        <v xml:space="preserve">Número de nuevas unidades de producción minera (UPM)  en su proceso de formalización asistidas técnicamente </v>
      </c>
      <c r="O37" s="133"/>
      <c r="P37" s="134">
        <f>SUM(Q37:AF37)</f>
        <v>40000</v>
      </c>
      <c r="Q37" s="156">
        <v>40000</v>
      </c>
      <c r="R37" s="136"/>
      <c r="S37" s="136"/>
      <c r="T37" s="136"/>
      <c r="U37" s="136"/>
      <c r="V37" s="136"/>
      <c r="W37" s="136"/>
      <c r="X37" s="136"/>
      <c r="Y37" s="136"/>
      <c r="Z37" s="136"/>
      <c r="AA37" s="136"/>
      <c r="AB37" s="136"/>
      <c r="AC37" s="136"/>
      <c r="AD37" s="136"/>
      <c r="AE37" s="136"/>
      <c r="AF37" s="136"/>
      <c r="AG37" s="55" t="s">
        <v>444</v>
      </c>
      <c r="AH37" s="137">
        <v>2019003190024</v>
      </c>
      <c r="AI37" s="132" t="s">
        <v>445</v>
      </c>
      <c r="AJ37" s="132" t="s">
        <v>446</v>
      </c>
      <c r="AK37" s="147" t="s">
        <v>447</v>
      </c>
      <c r="AL37" s="138">
        <v>40000</v>
      </c>
      <c r="AM37" s="132" t="s">
        <v>448</v>
      </c>
      <c r="AN37" s="140" t="s">
        <v>200</v>
      </c>
      <c r="AO37" s="140" t="s">
        <v>200</v>
      </c>
      <c r="AP37" s="140" t="s">
        <v>200</v>
      </c>
      <c r="AQ37" s="140" t="s">
        <v>200</v>
      </c>
      <c r="AR37" s="140" t="s">
        <v>200</v>
      </c>
      <c r="AS37" s="140" t="s">
        <v>200</v>
      </c>
      <c r="AT37" s="140" t="s">
        <v>200</v>
      </c>
      <c r="AU37" s="140" t="s">
        <v>200</v>
      </c>
      <c r="AV37" s="140" t="s">
        <v>200</v>
      </c>
      <c r="AW37" s="140" t="s">
        <v>200</v>
      </c>
      <c r="AX37" s="140" t="s">
        <v>200</v>
      </c>
      <c r="AY37" s="140" t="s">
        <v>200</v>
      </c>
      <c r="AZ37" s="55" t="s">
        <v>840</v>
      </c>
      <c r="BA37" s="55" t="s">
        <v>449</v>
      </c>
    </row>
    <row r="38" spans="1:53" ht="116.25" customHeight="1" x14ac:dyDescent="0.25">
      <c r="A38" s="128" t="s">
        <v>11</v>
      </c>
      <c r="B38" s="128" t="s">
        <v>299</v>
      </c>
      <c r="C38" s="219"/>
      <c r="D38" s="219"/>
      <c r="E38" s="224"/>
      <c r="F38" s="142" t="s">
        <v>439</v>
      </c>
      <c r="G38" s="219"/>
      <c r="H38" s="129" t="s">
        <v>450</v>
      </c>
      <c r="I38" s="129" t="s">
        <v>451</v>
      </c>
      <c r="J38" s="129" t="s">
        <v>452</v>
      </c>
      <c r="K38" s="129" t="s">
        <v>185</v>
      </c>
      <c r="L38" s="130">
        <v>100</v>
      </c>
      <c r="M38" s="129">
        <v>10</v>
      </c>
      <c r="N38" s="132" t="str">
        <f t="shared" si="0"/>
        <v>Número de nuevas unidades de producción minera (UPM)  en la actualización de la normatividad minera asistidas</v>
      </c>
      <c r="O38" s="133"/>
      <c r="P38" s="134">
        <v>43000</v>
      </c>
      <c r="Q38" s="156">
        <v>43000</v>
      </c>
      <c r="R38" s="136"/>
      <c r="S38" s="136"/>
      <c r="T38" s="136"/>
      <c r="U38" s="136"/>
      <c r="V38" s="136"/>
      <c r="W38" s="136"/>
      <c r="X38" s="136"/>
      <c r="Y38" s="136"/>
      <c r="Z38" s="136"/>
      <c r="AA38" s="136"/>
      <c r="AB38" s="136"/>
      <c r="AC38" s="136"/>
      <c r="AD38" s="136"/>
      <c r="AE38" s="136"/>
      <c r="AF38" s="136"/>
      <c r="AG38" s="55" t="s">
        <v>453</v>
      </c>
      <c r="AH38" s="137">
        <v>2019003190024</v>
      </c>
      <c r="AI38" s="132" t="s">
        <v>445</v>
      </c>
      <c r="AJ38" s="132" t="s">
        <v>446</v>
      </c>
      <c r="AK38" s="147" t="s">
        <v>454</v>
      </c>
      <c r="AL38" s="138">
        <v>43000</v>
      </c>
      <c r="AM38" s="132" t="s">
        <v>455</v>
      </c>
      <c r="AN38" s="140" t="s">
        <v>200</v>
      </c>
      <c r="AO38" s="140" t="s">
        <v>200</v>
      </c>
      <c r="AP38" s="140" t="s">
        <v>200</v>
      </c>
      <c r="AQ38" s="140" t="s">
        <v>200</v>
      </c>
      <c r="AR38" s="140" t="s">
        <v>200</v>
      </c>
      <c r="AS38" s="140" t="s">
        <v>200</v>
      </c>
      <c r="AT38" s="140" t="s">
        <v>200</v>
      </c>
      <c r="AU38" s="140" t="s">
        <v>200</v>
      </c>
      <c r="AV38" s="140" t="s">
        <v>200</v>
      </c>
      <c r="AW38" s="140" t="s">
        <v>200</v>
      </c>
      <c r="AX38" s="140" t="s">
        <v>200</v>
      </c>
      <c r="AY38" s="140" t="s">
        <v>200</v>
      </c>
      <c r="AZ38" s="55" t="s">
        <v>840</v>
      </c>
      <c r="BA38" s="55" t="s">
        <v>449</v>
      </c>
    </row>
    <row r="39" spans="1:53" ht="197.25" customHeight="1" x14ac:dyDescent="0.25">
      <c r="A39" s="128" t="s">
        <v>11</v>
      </c>
      <c r="B39" s="128" t="s">
        <v>299</v>
      </c>
      <c r="C39" s="219"/>
      <c r="D39" s="219"/>
      <c r="E39" s="224"/>
      <c r="F39" s="130" t="s">
        <v>456</v>
      </c>
      <c r="G39" s="219" t="s">
        <v>457</v>
      </c>
      <c r="H39" s="130" t="s">
        <v>458</v>
      </c>
      <c r="I39" s="130" t="s">
        <v>459</v>
      </c>
      <c r="J39" s="130" t="s">
        <v>460</v>
      </c>
      <c r="K39" s="130" t="s">
        <v>185</v>
      </c>
      <c r="L39" s="130">
        <v>1</v>
      </c>
      <c r="M39" s="130">
        <v>0.4</v>
      </c>
      <c r="N39" s="157" t="str">
        <f t="shared" si="0"/>
        <v>Número de estrategias que permita fortalecer 4 distritos mineros en desarrollo productivo y sostenible implementadas</v>
      </c>
      <c r="O39" s="158"/>
      <c r="P39" s="159">
        <f>SUM(Q39:AF39)</f>
        <v>900000</v>
      </c>
      <c r="Q39" s="160"/>
      <c r="R39" s="136"/>
      <c r="S39" s="136"/>
      <c r="T39" s="136"/>
      <c r="U39" s="136"/>
      <c r="V39" s="136"/>
      <c r="W39" s="136"/>
      <c r="X39" s="136"/>
      <c r="Y39" s="136"/>
      <c r="Z39" s="136"/>
      <c r="AA39" s="136"/>
      <c r="AB39" s="136"/>
      <c r="AC39" s="136"/>
      <c r="AD39" s="138">
        <f>600000+300000</f>
        <v>900000</v>
      </c>
      <c r="AE39" s="136"/>
      <c r="AF39" s="136"/>
      <c r="AG39" s="55" t="s">
        <v>461</v>
      </c>
      <c r="AH39" s="151" t="s">
        <v>462</v>
      </c>
      <c r="AI39" s="132" t="s">
        <v>463</v>
      </c>
      <c r="AJ39" s="55" t="s">
        <v>464</v>
      </c>
      <c r="AK39" s="147" t="s">
        <v>465</v>
      </c>
      <c r="AL39" s="161">
        <v>900000</v>
      </c>
      <c r="AM39" s="146" t="s">
        <v>466</v>
      </c>
      <c r="AN39" s="140"/>
      <c r="AO39" s="140" t="s">
        <v>200</v>
      </c>
      <c r="AP39" s="140" t="s">
        <v>200</v>
      </c>
      <c r="AQ39" s="140" t="s">
        <v>200</v>
      </c>
      <c r="AR39" s="140" t="s">
        <v>200</v>
      </c>
      <c r="AS39" s="140" t="s">
        <v>200</v>
      </c>
      <c r="AT39" s="140" t="s">
        <v>200</v>
      </c>
      <c r="AU39" s="140" t="s">
        <v>200</v>
      </c>
      <c r="AV39" s="140" t="s">
        <v>200</v>
      </c>
      <c r="AW39" s="140" t="s">
        <v>200</v>
      </c>
      <c r="AX39" s="140" t="s">
        <v>200</v>
      </c>
      <c r="AY39" s="140" t="s">
        <v>200</v>
      </c>
      <c r="AZ39" s="55" t="s">
        <v>841</v>
      </c>
      <c r="BA39" s="55" t="s">
        <v>467</v>
      </c>
    </row>
    <row r="40" spans="1:53" ht="108" customHeight="1" x14ac:dyDescent="0.25">
      <c r="A40" s="128" t="s">
        <v>11</v>
      </c>
      <c r="B40" s="128" t="s">
        <v>299</v>
      </c>
      <c r="C40" s="219"/>
      <c r="D40" s="219"/>
      <c r="E40" s="224"/>
      <c r="F40" s="142" t="s">
        <v>456</v>
      </c>
      <c r="G40" s="219"/>
      <c r="H40" s="129" t="s">
        <v>468</v>
      </c>
      <c r="I40" s="129" t="s">
        <v>469</v>
      </c>
      <c r="J40" s="129" t="s">
        <v>470</v>
      </c>
      <c r="K40" s="129" t="s">
        <v>185</v>
      </c>
      <c r="L40" s="129">
        <v>1</v>
      </c>
      <c r="M40" s="129">
        <v>0.2</v>
      </c>
      <c r="N40" s="132" t="str">
        <f t="shared" si="0"/>
        <v>Sistema de información Geográfico en el módulo minero actualizado</v>
      </c>
      <c r="O40" s="133"/>
      <c r="P40" s="134">
        <v>93000</v>
      </c>
      <c r="Q40" s="160">
        <v>43000</v>
      </c>
      <c r="R40" s="136"/>
      <c r="S40" s="136"/>
      <c r="T40" s="136"/>
      <c r="U40" s="136"/>
      <c r="V40" s="136"/>
      <c r="W40" s="136"/>
      <c r="X40" s="136"/>
      <c r="Y40" s="136"/>
      <c r="Z40" s="136"/>
      <c r="AA40" s="136"/>
      <c r="AB40" s="136"/>
      <c r="AC40" s="136"/>
      <c r="AD40" s="138">
        <v>50000</v>
      </c>
      <c r="AE40" s="136"/>
      <c r="AF40" s="136"/>
      <c r="AG40" s="55" t="s">
        <v>453</v>
      </c>
      <c r="AH40" s="137">
        <v>2019003190024</v>
      </c>
      <c r="AI40" s="132" t="s">
        <v>471</v>
      </c>
      <c r="AJ40" s="132" t="s">
        <v>446</v>
      </c>
      <c r="AK40" s="132" t="s">
        <v>472</v>
      </c>
      <c r="AL40" s="138">
        <v>43000</v>
      </c>
      <c r="AM40" s="55" t="s">
        <v>473</v>
      </c>
      <c r="AN40" s="140" t="s">
        <v>200</v>
      </c>
      <c r="AO40" s="140" t="s">
        <v>200</v>
      </c>
      <c r="AP40" s="140" t="s">
        <v>200</v>
      </c>
      <c r="AQ40" s="140" t="s">
        <v>200</v>
      </c>
      <c r="AR40" s="140" t="s">
        <v>200</v>
      </c>
      <c r="AS40" s="140" t="s">
        <v>200</v>
      </c>
      <c r="AT40" s="140" t="s">
        <v>200</v>
      </c>
      <c r="AU40" s="140" t="s">
        <v>200</v>
      </c>
      <c r="AV40" s="140" t="s">
        <v>200</v>
      </c>
      <c r="AW40" s="140" t="s">
        <v>200</v>
      </c>
      <c r="AX40" s="140" t="s">
        <v>200</v>
      </c>
      <c r="AY40" s="140" t="s">
        <v>200</v>
      </c>
      <c r="AZ40" s="55" t="s">
        <v>840</v>
      </c>
      <c r="BA40" s="55" t="s">
        <v>474</v>
      </c>
    </row>
    <row r="41" spans="1:53" ht="149.25" customHeight="1" x14ac:dyDescent="0.25">
      <c r="A41" s="128" t="s">
        <v>11</v>
      </c>
      <c r="B41" s="128" t="s">
        <v>299</v>
      </c>
      <c r="C41" s="219"/>
      <c r="D41" s="219"/>
      <c r="E41" s="224"/>
      <c r="F41" s="142" t="s">
        <v>456</v>
      </c>
      <c r="G41" s="219"/>
      <c r="H41" s="129" t="s">
        <v>475</v>
      </c>
      <c r="I41" s="129" t="s">
        <v>476</v>
      </c>
      <c r="J41" s="129" t="s">
        <v>477</v>
      </c>
      <c r="K41" s="129" t="s">
        <v>185</v>
      </c>
      <c r="L41" s="129">
        <v>1</v>
      </c>
      <c r="M41" s="129">
        <v>0.2</v>
      </c>
      <c r="N41" s="132" t="str">
        <f t="shared" si="0"/>
        <v>Número de inventarios mineros en articulación con entidades oficiales elaborados</v>
      </c>
      <c r="O41" s="133"/>
      <c r="P41" s="134">
        <v>43000</v>
      </c>
      <c r="Q41" s="160">
        <v>43000</v>
      </c>
      <c r="R41" s="136"/>
      <c r="S41" s="136"/>
      <c r="T41" s="136"/>
      <c r="U41" s="136"/>
      <c r="V41" s="136"/>
      <c r="W41" s="136"/>
      <c r="X41" s="136"/>
      <c r="Y41" s="136"/>
      <c r="Z41" s="136"/>
      <c r="AA41" s="136"/>
      <c r="AB41" s="136"/>
      <c r="AC41" s="136"/>
      <c r="AD41" s="136"/>
      <c r="AE41" s="136"/>
      <c r="AF41" s="136"/>
      <c r="AG41" s="55" t="s">
        <v>453</v>
      </c>
      <c r="AH41" s="137">
        <v>2019003190024</v>
      </c>
      <c r="AI41" s="132" t="s">
        <v>471</v>
      </c>
      <c r="AJ41" s="132" t="s">
        <v>446</v>
      </c>
      <c r="AK41" s="132" t="s">
        <v>472</v>
      </c>
      <c r="AL41" s="138">
        <v>43000</v>
      </c>
      <c r="AM41" s="146" t="s">
        <v>478</v>
      </c>
      <c r="AN41" s="140" t="s">
        <v>200</v>
      </c>
      <c r="AO41" s="140" t="s">
        <v>200</v>
      </c>
      <c r="AP41" s="140" t="s">
        <v>200</v>
      </c>
      <c r="AQ41" s="140" t="s">
        <v>200</v>
      </c>
      <c r="AR41" s="140" t="s">
        <v>200</v>
      </c>
      <c r="AS41" s="140" t="s">
        <v>200</v>
      </c>
      <c r="AT41" s="140" t="s">
        <v>200</v>
      </c>
      <c r="AU41" s="140" t="s">
        <v>200</v>
      </c>
      <c r="AV41" s="140" t="s">
        <v>200</v>
      </c>
      <c r="AW41" s="140" t="s">
        <v>200</v>
      </c>
      <c r="AX41" s="140" t="s">
        <v>200</v>
      </c>
      <c r="AY41" s="140" t="s">
        <v>200</v>
      </c>
      <c r="AZ41" s="55" t="s">
        <v>842</v>
      </c>
      <c r="BA41" s="55" t="s">
        <v>479</v>
      </c>
    </row>
    <row r="42" spans="1:53" ht="67.5" x14ac:dyDescent="0.25">
      <c r="A42" s="128" t="s">
        <v>11</v>
      </c>
      <c r="B42" s="128" t="s">
        <v>299</v>
      </c>
      <c r="C42" s="219"/>
      <c r="D42" s="219"/>
      <c r="E42" s="224"/>
      <c r="F42" s="219" t="s">
        <v>480</v>
      </c>
      <c r="G42" s="219" t="s">
        <v>481</v>
      </c>
      <c r="H42" s="129" t="s">
        <v>482</v>
      </c>
      <c r="I42" s="129" t="s">
        <v>483</v>
      </c>
      <c r="J42" s="129">
        <v>0</v>
      </c>
      <c r="K42" s="129" t="s">
        <v>185</v>
      </c>
      <c r="L42" s="130">
        <v>100</v>
      </c>
      <c r="M42" s="129">
        <v>0</v>
      </c>
      <c r="N42" s="132" t="str">
        <f t="shared" si="0"/>
        <v xml:space="preserve">Número de unidades de producción minera (UPM) asistidas técnicamente en seguridad minera </v>
      </c>
      <c r="O42" s="133"/>
      <c r="P42" s="134">
        <v>0</v>
      </c>
      <c r="Q42" s="162"/>
      <c r="R42" s="136"/>
      <c r="S42" s="136"/>
      <c r="T42" s="136"/>
      <c r="U42" s="136"/>
      <c r="V42" s="136"/>
      <c r="W42" s="136"/>
      <c r="X42" s="136"/>
      <c r="Y42" s="136"/>
      <c r="Z42" s="136"/>
      <c r="AA42" s="136"/>
      <c r="AB42" s="136"/>
      <c r="AC42" s="136"/>
      <c r="AD42" s="136"/>
      <c r="AE42" s="136"/>
      <c r="AF42" s="136"/>
      <c r="AG42" s="136"/>
      <c r="AH42" s="151" t="s">
        <v>462</v>
      </c>
      <c r="AI42" s="136"/>
      <c r="AJ42" s="136"/>
      <c r="AK42" s="136"/>
      <c r="AL42" s="136"/>
      <c r="AM42" s="136"/>
      <c r="AN42" s="136"/>
      <c r="AO42" s="136"/>
      <c r="AP42" s="136"/>
      <c r="AQ42" s="136"/>
      <c r="AR42" s="136"/>
      <c r="AS42" s="136"/>
      <c r="AT42" s="136"/>
      <c r="AU42" s="136"/>
      <c r="AV42" s="136"/>
      <c r="AW42" s="136"/>
      <c r="AX42" s="136"/>
      <c r="AY42" s="136"/>
      <c r="AZ42" s="136"/>
      <c r="BA42" s="55" t="s">
        <v>484</v>
      </c>
    </row>
    <row r="43" spans="1:53" ht="96.75" customHeight="1" x14ac:dyDescent="0.25">
      <c r="A43" s="128" t="s">
        <v>11</v>
      </c>
      <c r="B43" s="128" t="s">
        <v>299</v>
      </c>
      <c r="C43" s="219"/>
      <c r="D43" s="219"/>
      <c r="E43" s="224"/>
      <c r="F43" s="219"/>
      <c r="G43" s="219"/>
      <c r="H43" s="129" t="s">
        <v>485</v>
      </c>
      <c r="I43" s="129" t="s">
        <v>486</v>
      </c>
      <c r="J43" s="129">
        <v>0</v>
      </c>
      <c r="K43" s="129" t="s">
        <v>185</v>
      </c>
      <c r="L43" s="130">
        <v>10</v>
      </c>
      <c r="M43" s="129">
        <v>0</v>
      </c>
      <c r="N43" s="132" t="str">
        <f t="shared" si="0"/>
        <v xml:space="preserve">Número de Unidades de Producción Minera -upm capacitadas y dotadas en salvamento minero </v>
      </c>
      <c r="O43" s="133"/>
      <c r="P43" s="135">
        <v>300000</v>
      </c>
      <c r="Q43" s="162"/>
      <c r="R43" s="136"/>
      <c r="S43" s="136"/>
      <c r="T43" s="136"/>
      <c r="U43" s="136"/>
      <c r="V43" s="135"/>
      <c r="W43" s="136"/>
      <c r="X43" s="136"/>
      <c r="Y43" s="136"/>
      <c r="Z43" s="136"/>
      <c r="AA43" s="136"/>
      <c r="AB43" s="136"/>
      <c r="AC43" s="136"/>
      <c r="AD43" s="135">
        <v>300000</v>
      </c>
      <c r="AE43" s="136"/>
      <c r="AF43" s="136"/>
      <c r="AG43" s="55" t="s">
        <v>487</v>
      </c>
      <c r="AH43" s="151" t="s">
        <v>462</v>
      </c>
      <c r="AI43" s="55" t="s">
        <v>488</v>
      </c>
      <c r="AJ43" s="55" t="s">
        <v>843</v>
      </c>
      <c r="AK43" s="147" t="s">
        <v>489</v>
      </c>
      <c r="AL43" s="138">
        <v>300000</v>
      </c>
      <c r="AM43" s="55" t="s">
        <v>490</v>
      </c>
      <c r="AN43" s="140"/>
      <c r="AO43" s="140" t="s">
        <v>200</v>
      </c>
      <c r="AP43" s="140" t="s">
        <v>200</v>
      </c>
      <c r="AQ43" s="140" t="s">
        <v>200</v>
      </c>
      <c r="AR43" s="140" t="s">
        <v>200</v>
      </c>
      <c r="AS43" s="140" t="s">
        <v>200</v>
      </c>
      <c r="AT43" s="140" t="s">
        <v>200</v>
      </c>
      <c r="AU43" s="140" t="s">
        <v>200</v>
      </c>
      <c r="AV43" s="140" t="s">
        <v>200</v>
      </c>
      <c r="AW43" s="140" t="s">
        <v>200</v>
      </c>
      <c r="AX43" s="140" t="s">
        <v>200</v>
      </c>
      <c r="AY43" s="140" t="s">
        <v>200</v>
      </c>
      <c r="AZ43" s="55" t="s">
        <v>842</v>
      </c>
      <c r="BA43" s="146" t="s">
        <v>491</v>
      </c>
    </row>
    <row r="44" spans="1:53" ht="146.25" customHeight="1" x14ac:dyDescent="0.25">
      <c r="A44" s="128" t="s">
        <v>11</v>
      </c>
      <c r="B44" s="128" t="s">
        <v>299</v>
      </c>
      <c r="C44" s="219"/>
      <c r="D44" s="219"/>
      <c r="E44" s="224"/>
      <c r="F44" s="219" t="s">
        <v>492</v>
      </c>
      <c r="G44" s="219" t="s">
        <v>493</v>
      </c>
      <c r="H44" s="129" t="s">
        <v>494</v>
      </c>
      <c r="I44" s="129" t="s">
        <v>495</v>
      </c>
      <c r="J44" s="129">
        <v>0</v>
      </c>
      <c r="K44" s="129" t="s">
        <v>185</v>
      </c>
      <c r="L44" s="130">
        <v>100</v>
      </c>
      <c r="M44" s="129">
        <v>15</v>
      </c>
      <c r="N44" s="132" t="str">
        <f t="shared" si="0"/>
        <v>Número de unidades de producción minera en procesos de protección ambiental asistidas técnicamente</v>
      </c>
      <c r="O44" s="133"/>
      <c r="P44" s="134">
        <v>43000</v>
      </c>
      <c r="Q44" s="156">
        <v>43000</v>
      </c>
      <c r="R44" s="136"/>
      <c r="S44" s="136"/>
      <c r="T44" s="136"/>
      <c r="U44" s="136"/>
      <c r="V44" s="136"/>
      <c r="W44" s="136"/>
      <c r="X44" s="136"/>
      <c r="Y44" s="136"/>
      <c r="Z44" s="136"/>
      <c r="AA44" s="136"/>
      <c r="AB44" s="136"/>
      <c r="AC44" s="136"/>
      <c r="AD44" s="136"/>
      <c r="AE44" s="136"/>
      <c r="AF44" s="136"/>
      <c r="AG44" s="55" t="s">
        <v>496</v>
      </c>
      <c r="AH44" s="151" t="s">
        <v>462</v>
      </c>
      <c r="AI44" s="132" t="s">
        <v>497</v>
      </c>
      <c r="AJ44" s="132" t="s">
        <v>446</v>
      </c>
      <c r="AK44" s="132" t="s">
        <v>472</v>
      </c>
      <c r="AL44" s="138">
        <v>43000</v>
      </c>
      <c r="AM44" s="55" t="s">
        <v>498</v>
      </c>
      <c r="AN44" s="140" t="s">
        <v>200</v>
      </c>
      <c r="AO44" s="140" t="s">
        <v>200</v>
      </c>
      <c r="AP44" s="140" t="s">
        <v>200</v>
      </c>
      <c r="AQ44" s="140" t="s">
        <v>200</v>
      </c>
      <c r="AR44" s="140" t="s">
        <v>200</v>
      </c>
      <c r="AS44" s="140" t="s">
        <v>200</v>
      </c>
      <c r="AT44" s="140" t="s">
        <v>200</v>
      </c>
      <c r="AU44" s="140" t="s">
        <v>200</v>
      </c>
      <c r="AV44" s="140" t="s">
        <v>200</v>
      </c>
      <c r="AW44" s="140" t="s">
        <v>200</v>
      </c>
      <c r="AX44" s="140" t="s">
        <v>200</v>
      </c>
      <c r="AY44" s="140" t="s">
        <v>200</v>
      </c>
      <c r="AZ44" s="55" t="s">
        <v>844</v>
      </c>
      <c r="BA44" s="146" t="s">
        <v>499</v>
      </c>
    </row>
    <row r="45" spans="1:53" ht="96.75" customHeight="1" x14ac:dyDescent="0.25">
      <c r="A45" s="128" t="s">
        <v>11</v>
      </c>
      <c r="B45" s="128" t="s">
        <v>299</v>
      </c>
      <c r="C45" s="219"/>
      <c r="D45" s="219"/>
      <c r="E45" s="225"/>
      <c r="F45" s="219"/>
      <c r="G45" s="219"/>
      <c r="H45" s="129" t="s">
        <v>500</v>
      </c>
      <c r="I45" s="129" t="s">
        <v>501</v>
      </c>
      <c r="J45" s="129">
        <v>0</v>
      </c>
      <c r="K45" s="129" t="s">
        <v>185</v>
      </c>
      <c r="L45" s="130">
        <v>1</v>
      </c>
      <c r="M45" s="129">
        <v>0.4</v>
      </c>
      <c r="N45" s="132" t="str">
        <f t="shared" si="0"/>
        <v xml:space="preserve">Número de estrategia de orientación tecnológica y ambiental implementadas </v>
      </c>
      <c r="O45" s="133"/>
      <c r="P45" s="134">
        <f>SUM(Q45:AF45)</f>
        <v>464000</v>
      </c>
      <c r="Q45" s="156">
        <v>43000</v>
      </c>
      <c r="R45" s="136"/>
      <c r="S45" s="136"/>
      <c r="T45" s="136"/>
      <c r="U45" s="136"/>
      <c r="V45" s="138"/>
      <c r="W45" s="136"/>
      <c r="X45" s="136"/>
      <c r="Y45" s="136"/>
      <c r="Z45" s="136"/>
      <c r="AA45" s="136"/>
      <c r="AB45" s="136"/>
      <c r="AC45" s="136"/>
      <c r="AD45" s="135">
        <v>421000</v>
      </c>
      <c r="AE45" s="136"/>
      <c r="AF45" s="136"/>
      <c r="AG45" s="146" t="s">
        <v>845</v>
      </c>
      <c r="AH45" s="133" t="s">
        <v>462</v>
      </c>
      <c r="AI45" s="146" t="s">
        <v>846</v>
      </c>
      <c r="AJ45" s="133" t="s">
        <v>372</v>
      </c>
      <c r="AK45" s="132" t="s">
        <v>847</v>
      </c>
      <c r="AL45" s="138">
        <v>683000</v>
      </c>
      <c r="AM45" s="55" t="s">
        <v>502</v>
      </c>
      <c r="AN45" s="140"/>
      <c r="AO45" s="140"/>
      <c r="AP45" s="140"/>
      <c r="AQ45" s="140" t="s">
        <v>200</v>
      </c>
      <c r="AR45" s="140" t="s">
        <v>200</v>
      </c>
      <c r="AS45" s="140" t="s">
        <v>200</v>
      </c>
      <c r="AT45" s="140" t="s">
        <v>200</v>
      </c>
      <c r="AU45" s="140" t="s">
        <v>200</v>
      </c>
      <c r="AV45" s="140" t="s">
        <v>200</v>
      </c>
      <c r="AW45" s="140" t="s">
        <v>200</v>
      </c>
      <c r="AX45" s="140" t="s">
        <v>200</v>
      </c>
      <c r="AY45" s="140" t="s">
        <v>200</v>
      </c>
      <c r="AZ45" s="55" t="s">
        <v>848</v>
      </c>
      <c r="BA45" s="163" t="s">
        <v>849</v>
      </c>
    </row>
    <row r="46" spans="1:53" ht="78.75" x14ac:dyDescent="0.25">
      <c r="A46" s="128" t="s">
        <v>11</v>
      </c>
      <c r="B46" s="128" t="s">
        <v>503</v>
      </c>
      <c r="C46" s="219" t="s">
        <v>504</v>
      </c>
      <c r="D46" s="219" t="s">
        <v>505</v>
      </c>
      <c r="E46" s="219" t="s">
        <v>506</v>
      </c>
      <c r="F46" s="219" t="s">
        <v>507</v>
      </c>
      <c r="G46" s="219" t="s">
        <v>508</v>
      </c>
      <c r="H46" s="129" t="s">
        <v>509</v>
      </c>
      <c r="I46" s="129" t="s">
        <v>510</v>
      </c>
      <c r="J46" s="129">
        <v>0</v>
      </c>
      <c r="K46" s="129" t="s">
        <v>185</v>
      </c>
      <c r="L46" s="130">
        <v>2</v>
      </c>
      <c r="M46" s="129">
        <v>0</v>
      </c>
      <c r="N46" s="132" t="str">
        <f t="shared" si="0"/>
        <v xml:space="preserve">Número de sesiones participativas con actores del SRCT  para validar y adoptar el PAED realizadas </v>
      </c>
      <c r="O46" s="133">
        <v>2</v>
      </c>
      <c r="P46" s="134">
        <v>0</v>
      </c>
      <c r="Q46" s="138"/>
      <c r="R46" s="136"/>
      <c r="S46" s="136"/>
      <c r="T46" s="136"/>
      <c r="U46" s="136"/>
      <c r="V46" s="136"/>
      <c r="W46" s="136"/>
      <c r="X46" s="136"/>
      <c r="Y46" s="135"/>
      <c r="Z46" s="136"/>
      <c r="AA46" s="136"/>
      <c r="AB46" s="136"/>
      <c r="AC46" s="136"/>
      <c r="AD46" s="136"/>
      <c r="AE46" s="136"/>
      <c r="AF46" s="136"/>
      <c r="AG46" s="136"/>
      <c r="AH46" s="151"/>
      <c r="AI46" s="132"/>
      <c r="AJ46" s="132"/>
      <c r="AK46" s="133"/>
      <c r="AL46" s="138"/>
      <c r="AM46" s="136"/>
      <c r="AN46" s="136"/>
      <c r="AO46" s="136"/>
      <c r="AP46" s="133"/>
      <c r="AQ46" s="133"/>
      <c r="AR46" s="133"/>
      <c r="AS46" s="133"/>
      <c r="AT46" s="133"/>
      <c r="AU46" s="133"/>
      <c r="AV46" s="133"/>
      <c r="AW46" s="133"/>
      <c r="AX46" s="133"/>
      <c r="AY46" s="133"/>
      <c r="AZ46" s="132" t="s">
        <v>312</v>
      </c>
      <c r="BA46" s="146" t="s">
        <v>511</v>
      </c>
    </row>
    <row r="47" spans="1:53" ht="119.25" customHeight="1" x14ac:dyDescent="0.25">
      <c r="A47" s="128" t="s">
        <v>11</v>
      </c>
      <c r="B47" s="128" t="s">
        <v>503</v>
      </c>
      <c r="C47" s="219"/>
      <c r="D47" s="219"/>
      <c r="E47" s="219"/>
      <c r="F47" s="219"/>
      <c r="G47" s="219"/>
      <c r="H47" s="129" t="s">
        <v>512</v>
      </c>
      <c r="I47" s="129" t="s">
        <v>513</v>
      </c>
      <c r="J47" s="129">
        <v>0</v>
      </c>
      <c r="K47" s="129" t="s">
        <v>185</v>
      </c>
      <c r="L47" s="130">
        <v>4</v>
      </c>
      <c r="M47" s="129">
        <v>1</v>
      </c>
      <c r="N47" s="132" t="str">
        <f t="shared" si="0"/>
        <v>Número de convocatorias para gestionar los proyectos priorizados en las apuestas y líneas consignadas en el PAED Cauca realizadas</v>
      </c>
      <c r="O47" s="133">
        <v>3</v>
      </c>
      <c r="P47" s="134">
        <v>21132000</v>
      </c>
      <c r="Q47" s="138">
        <v>2000</v>
      </c>
      <c r="R47" s="136"/>
      <c r="S47" s="136"/>
      <c r="T47" s="136"/>
      <c r="U47" s="136"/>
      <c r="V47" s="136"/>
      <c r="W47" s="136"/>
      <c r="X47" s="135">
        <v>15635000</v>
      </c>
      <c r="Y47" s="135"/>
      <c r="Z47" s="136"/>
      <c r="AA47" s="136"/>
      <c r="AB47" s="136"/>
      <c r="AC47" s="136"/>
      <c r="AD47" s="135">
        <v>5495000</v>
      </c>
      <c r="AE47" s="136"/>
      <c r="AF47" s="136"/>
      <c r="AG47" s="132" t="s">
        <v>514</v>
      </c>
      <c r="AH47" s="151">
        <v>0</v>
      </c>
      <c r="AI47" s="132" t="s">
        <v>308</v>
      </c>
      <c r="AJ47" s="132" t="s">
        <v>309</v>
      </c>
      <c r="AK47" s="133" t="s">
        <v>515</v>
      </c>
      <c r="AL47" s="138">
        <f t="shared" ref="AL47:AL49" si="2">Q47</f>
        <v>2000</v>
      </c>
      <c r="AM47" s="146" t="s">
        <v>516</v>
      </c>
      <c r="AN47" s="136"/>
      <c r="AO47" s="136"/>
      <c r="AP47" s="133" t="s">
        <v>202</v>
      </c>
      <c r="AQ47" s="133" t="s">
        <v>202</v>
      </c>
      <c r="AR47" s="133" t="s">
        <v>202</v>
      </c>
      <c r="AS47" s="133" t="s">
        <v>202</v>
      </c>
      <c r="AT47" s="133" t="s">
        <v>202</v>
      </c>
      <c r="AU47" s="133" t="s">
        <v>202</v>
      </c>
      <c r="AV47" s="133" t="s">
        <v>202</v>
      </c>
      <c r="AW47" s="133" t="s">
        <v>202</v>
      </c>
      <c r="AX47" s="133" t="s">
        <v>202</v>
      </c>
      <c r="AY47" s="133" t="s">
        <v>202</v>
      </c>
      <c r="AZ47" s="132" t="s">
        <v>312</v>
      </c>
      <c r="BA47" s="217" t="s">
        <v>517</v>
      </c>
    </row>
    <row r="48" spans="1:53" ht="109.5" customHeight="1" x14ac:dyDescent="0.25">
      <c r="A48" s="128" t="s">
        <v>11</v>
      </c>
      <c r="B48" s="128" t="s">
        <v>503</v>
      </c>
      <c r="C48" s="219"/>
      <c r="D48" s="219"/>
      <c r="E48" s="219"/>
      <c r="F48" s="219" t="s">
        <v>518</v>
      </c>
      <c r="G48" s="219" t="s">
        <v>519</v>
      </c>
      <c r="H48" s="129" t="s">
        <v>520</v>
      </c>
      <c r="I48" s="129" t="s">
        <v>521</v>
      </c>
      <c r="J48" s="129">
        <v>0</v>
      </c>
      <c r="K48" s="129" t="s">
        <v>185</v>
      </c>
      <c r="L48" s="130">
        <v>1</v>
      </c>
      <c r="M48" s="148">
        <v>0.2</v>
      </c>
      <c r="N48" s="132" t="str">
        <f t="shared" si="0"/>
        <v>Número de Planes operativos del CODECTI Cauca para la implementación del PAED estructurados</v>
      </c>
      <c r="O48" s="133">
        <v>0.8</v>
      </c>
      <c r="P48" s="134">
        <v>25000</v>
      </c>
      <c r="Q48" s="138">
        <v>15000</v>
      </c>
      <c r="R48" s="136"/>
      <c r="S48" s="136"/>
      <c r="T48" s="136"/>
      <c r="U48" s="136"/>
      <c r="V48" s="136"/>
      <c r="W48" s="136"/>
      <c r="X48" s="136"/>
      <c r="Y48" s="136"/>
      <c r="Z48" s="136"/>
      <c r="AA48" s="136"/>
      <c r="AB48" s="136"/>
      <c r="AC48" s="136"/>
      <c r="AD48" s="135">
        <v>10000</v>
      </c>
      <c r="AE48" s="136"/>
      <c r="AF48" s="136"/>
      <c r="AG48" s="132" t="s">
        <v>514</v>
      </c>
      <c r="AH48" s="151">
        <v>0</v>
      </c>
      <c r="AI48" s="132" t="s">
        <v>308</v>
      </c>
      <c r="AJ48" s="132" t="s">
        <v>309</v>
      </c>
      <c r="AK48" s="133" t="s">
        <v>522</v>
      </c>
      <c r="AL48" s="138">
        <f t="shared" si="2"/>
        <v>15000</v>
      </c>
      <c r="AM48" s="146" t="s">
        <v>523</v>
      </c>
      <c r="AN48" s="136"/>
      <c r="AO48" s="136"/>
      <c r="AP48" s="133" t="s">
        <v>202</v>
      </c>
      <c r="AQ48" s="133" t="s">
        <v>202</v>
      </c>
      <c r="AR48" s="133" t="s">
        <v>202</v>
      </c>
      <c r="AS48" s="133" t="s">
        <v>202</v>
      </c>
      <c r="AT48" s="133" t="s">
        <v>202</v>
      </c>
      <c r="AU48" s="133" t="s">
        <v>202</v>
      </c>
      <c r="AV48" s="133" t="s">
        <v>202</v>
      </c>
      <c r="AW48" s="133" t="s">
        <v>202</v>
      </c>
      <c r="AX48" s="133" t="s">
        <v>202</v>
      </c>
      <c r="AY48" s="133" t="s">
        <v>202</v>
      </c>
      <c r="AZ48" s="132" t="s">
        <v>312</v>
      </c>
      <c r="BA48" s="218"/>
    </row>
    <row r="49" spans="1:53" ht="135" customHeight="1" x14ac:dyDescent="0.25">
      <c r="A49" s="142" t="s">
        <v>11</v>
      </c>
      <c r="B49" s="142" t="s">
        <v>503</v>
      </c>
      <c r="C49" s="219"/>
      <c r="D49" s="219"/>
      <c r="E49" s="219"/>
      <c r="F49" s="219"/>
      <c r="G49" s="219"/>
      <c r="H49" s="129" t="s">
        <v>524</v>
      </c>
      <c r="I49" s="129" t="s">
        <v>525</v>
      </c>
      <c r="J49" s="129">
        <v>0</v>
      </c>
      <c r="K49" s="129" t="s">
        <v>185</v>
      </c>
      <c r="L49" s="129">
        <v>7</v>
      </c>
      <c r="M49" s="129">
        <v>1</v>
      </c>
      <c r="N49" s="132" t="str">
        <f t="shared" si="0"/>
        <v>Número de sesiones del CODECTI Cauca para el acompañamiento en la implementación del PAED y la articulación de la red del SRCTeI realizadas</v>
      </c>
      <c r="O49" s="133">
        <v>6</v>
      </c>
      <c r="P49" s="134">
        <v>30000</v>
      </c>
      <c r="Q49" s="138">
        <v>10000</v>
      </c>
      <c r="R49" s="136"/>
      <c r="S49" s="136"/>
      <c r="T49" s="136"/>
      <c r="U49" s="136"/>
      <c r="V49" s="136"/>
      <c r="W49" s="136"/>
      <c r="X49" s="136"/>
      <c r="Y49" s="136"/>
      <c r="Z49" s="136"/>
      <c r="AA49" s="136"/>
      <c r="AB49" s="136"/>
      <c r="AC49" s="136"/>
      <c r="AD49" s="135">
        <v>20000</v>
      </c>
      <c r="AE49" s="136"/>
      <c r="AF49" s="136"/>
      <c r="AG49" s="132" t="s">
        <v>514</v>
      </c>
      <c r="AH49" s="151">
        <v>0</v>
      </c>
      <c r="AI49" s="132" t="s">
        <v>308</v>
      </c>
      <c r="AJ49" s="132" t="s">
        <v>309</v>
      </c>
      <c r="AK49" s="133" t="s">
        <v>526</v>
      </c>
      <c r="AL49" s="138">
        <f t="shared" si="2"/>
        <v>10000</v>
      </c>
      <c r="AM49" s="146" t="s">
        <v>850</v>
      </c>
      <c r="AN49" s="136"/>
      <c r="AO49" s="136"/>
      <c r="AP49" s="133" t="s">
        <v>202</v>
      </c>
      <c r="AQ49" s="133" t="s">
        <v>202</v>
      </c>
      <c r="AR49" s="133" t="s">
        <v>202</v>
      </c>
      <c r="AS49" s="133" t="s">
        <v>202</v>
      </c>
      <c r="AT49" s="133" t="s">
        <v>202</v>
      </c>
      <c r="AU49" s="133" t="s">
        <v>202</v>
      </c>
      <c r="AV49" s="133" t="s">
        <v>202</v>
      </c>
      <c r="AW49" s="133" t="s">
        <v>202</v>
      </c>
      <c r="AX49" s="133" t="s">
        <v>202</v>
      </c>
      <c r="AY49" s="133" t="s">
        <v>202</v>
      </c>
      <c r="AZ49" s="132" t="s">
        <v>312</v>
      </c>
      <c r="BA49" s="146" t="s">
        <v>517</v>
      </c>
    </row>
    <row r="50" spans="1:53" x14ac:dyDescent="0.25">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row>
    <row r="51" spans="1:53" x14ac:dyDescent="0.25">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row>
    <row r="52" spans="1:53" x14ac:dyDescent="0.25">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row>
    <row r="53" spans="1:53" x14ac:dyDescent="0.25">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row>
    <row r="54" spans="1:53" x14ac:dyDescent="0.25">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row>
    <row r="55" spans="1:53" x14ac:dyDescent="0.25">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row>
    <row r="56" spans="1:53" x14ac:dyDescent="0.25">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row>
    <row r="57" spans="1:53" x14ac:dyDescent="0.25">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row>
    <row r="58" spans="1:53" x14ac:dyDescent="0.25">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row>
    <row r="59" spans="1:53" x14ac:dyDescent="0.25">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row>
  </sheetData>
  <sheetProtection password="DFEF" sheet="1" objects="1" scenarios="1" autoFilter="0"/>
  <autoFilter ref="A15:BA15"/>
  <mergeCells count="87">
    <mergeCell ref="A11:M11"/>
    <mergeCell ref="A2:L2"/>
    <mergeCell ref="A3:L3"/>
    <mergeCell ref="A5:L5"/>
    <mergeCell ref="A6:L6"/>
    <mergeCell ref="A9:M9"/>
    <mergeCell ref="L14:L15"/>
    <mergeCell ref="A14:A15"/>
    <mergeCell ref="B14:B15"/>
    <mergeCell ref="C14:C15"/>
    <mergeCell ref="D14:D15"/>
    <mergeCell ref="E14:E15"/>
    <mergeCell ref="F14:F15"/>
    <mergeCell ref="G14:G15"/>
    <mergeCell ref="H14:H15"/>
    <mergeCell ref="I14:I15"/>
    <mergeCell ref="J14:J15"/>
    <mergeCell ref="K14:K15"/>
    <mergeCell ref="AN14:AY14"/>
    <mergeCell ref="M14:M15"/>
    <mergeCell ref="N14:O14"/>
    <mergeCell ref="P14:P15"/>
    <mergeCell ref="Q14:AF14"/>
    <mergeCell ref="AG14:AG15"/>
    <mergeCell ref="AH14:AH15"/>
    <mergeCell ref="P19:P20"/>
    <mergeCell ref="AZ14:AZ15"/>
    <mergeCell ref="BA14:BA15"/>
    <mergeCell ref="C16:C28"/>
    <mergeCell ref="D16:D28"/>
    <mergeCell ref="E16:E28"/>
    <mergeCell ref="G16:G20"/>
    <mergeCell ref="F19:F20"/>
    <mergeCell ref="H19:H20"/>
    <mergeCell ref="I19:I20"/>
    <mergeCell ref="J19:J20"/>
    <mergeCell ref="AI14:AI15"/>
    <mergeCell ref="AJ14:AJ15"/>
    <mergeCell ref="AK14:AK15"/>
    <mergeCell ref="AL14:AL15"/>
    <mergeCell ref="AM14:AM15"/>
    <mergeCell ref="K19:K20"/>
    <mergeCell ref="L19:L20"/>
    <mergeCell ref="M19:M20"/>
    <mergeCell ref="N19:N20"/>
    <mergeCell ref="O19:O20"/>
    <mergeCell ref="AF19:AF20"/>
    <mergeCell ref="Q19:Q20"/>
    <mergeCell ref="V19:V20"/>
    <mergeCell ref="W19:W20"/>
    <mergeCell ref="X19:X20"/>
    <mergeCell ref="Y19:Y20"/>
    <mergeCell ref="Z19:Z20"/>
    <mergeCell ref="AA19:AA20"/>
    <mergeCell ref="AB19:AB20"/>
    <mergeCell ref="AC19:AC20"/>
    <mergeCell ref="AD19:AD20"/>
    <mergeCell ref="AE19:AE20"/>
    <mergeCell ref="G21:G23"/>
    <mergeCell ref="AG21:AG23"/>
    <mergeCell ref="AH21:AH23"/>
    <mergeCell ref="G24:G26"/>
    <mergeCell ref="C29:C36"/>
    <mergeCell ref="D29:D36"/>
    <mergeCell ref="E29:E36"/>
    <mergeCell ref="G29:G31"/>
    <mergeCell ref="AL29:AL31"/>
    <mergeCell ref="G32:G33"/>
    <mergeCell ref="G34:G35"/>
    <mergeCell ref="AL34:AL35"/>
    <mergeCell ref="C37:C45"/>
    <mergeCell ref="D37:D45"/>
    <mergeCell ref="E37:E45"/>
    <mergeCell ref="G37:G38"/>
    <mergeCell ref="G39:G41"/>
    <mergeCell ref="F42:F43"/>
    <mergeCell ref="C46:C49"/>
    <mergeCell ref="D46:D49"/>
    <mergeCell ref="E46:E49"/>
    <mergeCell ref="F46:F47"/>
    <mergeCell ref="G46:G47"/>
    <mergeCell ref="BA47:BA48"/>
    <mergeCell ref="F48:F49"/>
    <mergeCell ref="G48:G49"/>
    <mergeCell ref="G42:G43"/>
    <mergeCell ref="F44:F45"/>
    <mergeCell ref="G44:G45"/>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3"/>
  <sheetViews>
    <sheetView topLeftCell="A8" workbookViewId="0">
      <selection activeCell="I16" sqref="I16"/>
    </sheetView>
  </sheetViews>
  <sheetFormatPr baseColWidth="10" defaultRowHeight="15" x14ac:dyDescent="0.25"/>
  <cols>
    <col min="34" max="34" width="16.28515625" customWidth="1"/>
    <col min="40" max="51" width="7.7109375" customWidth="1"/>
  </cols>
  <sheetData>
    <row r="1" spans="1:53" x14ac:dyDescent="0.25">
      <c r="A1" s="27"/>
      <c r="B1" s="27"/>
      <c r="C1" s="27"/>
      <c r="D1" s="27"/>
      <c r="E1" s="27"/>
      <c r="F1" s="27"/>
      <c r="G1" s="27"/>
      <c r="H1" s="1"/>
      <c r="I1" s="27"/>
      <c r="J1" s="27"/>
      <c r="K1" s="27"/>
      <c r="L1" s="2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row>
    <row r="2" spans="1:53" ht="18" x14ac:dyDescent="0.25">
      <c r="A2" s="282" t="s">
        <v>139</v>
      </c>
      <c r="B2" s="282"/>
      <c r="C2" s="282"/>
      <c r="D2" s="282"/>
      <c r="E2" s="282"/>
      <c r="F2" s="282"/>
      <c r="G2" s="282"/>
      <c r="H2" s="282"/>
      <c r="I2" s="282"/>
      <c r="J2" s="282"/>
      <c r="K2" s="282"/>
      <c r="L2" s="282"/>
      <c r="M2" s="28"/>
      <c r="N2" s="28"/>
      <c r="O2" s="28"/>
      <c r="P2" s="28"/>
      <c r="Q2" s="28"/>
      <c r="R2" s="28"/>
      <c r="S2" s="28"/>
      <c r="T2" s="28"/>
      <c r="U2" s="28"/>
      <c r="V2" s="28"/>
      <c r="W2" s="28"/>
      <c r="X2" s="28"/>
      <c r="Y2" s="28"/>
      <c r="Z2" s="44"/>
      <c r="AA2" s="44"/>
      <c r="AB2" s="44"/>
      <c r="AC2" s="28"/>
      <c r="AD2" s="28"/>
      <c r="AE2" s="28"/>
      <c r="AF2" s="28"/>
      <c r="AG2" s="28"/>
      <c r="AH2" s="28"/>
      <c r="AI2" s="28"/>
      <c r="AJ2" s="28"/>
      <c r="AK2" s="28"/>
      <c r="AL2" s="28"/>
      <c r="AM2" s="28"/>
      <c r="AN2" s="28"/>
      <c r="AO2" s="28"/>
      <c r="AP2" s="28"/>
      <c r="AQ2" s="28"/>
      <c r="AR2" s="28"/>
      <c r="AS2" s="28"/>
      <c r="AT2" s="28"/>
      <c r="AU2" s="28"/>
      <c r="AV2" s="28"/>
      <c r="AW2" s="28"/>
      <c r="AX2" s="28"/>
      <c r="AY2" s="28"/>
      <c r="AZ2" s="28"/>
      <c r="BA2" s="28"/>
    </row>
    <row r="3" spans="1:53" ht="18" x14ac:dyDescent="0.25">
      <c r="A3" s="283" t="s">
        <v>140</v>
      </c>
      <c r="B3" s="283"/>
      <c r="C3" s="283"/>
      <c r="D3" s="283"/>
      <c r="E3" s="283"/>
      <c r="F3" s="283"/>
      <c r="G3" s="283"/>
      <c r="H3" s="283"/>
      <c r="I3" s="283"/>
      <c r="J3" s="283"/>
      <c r="K3" s="283"/>
      <c r="L3" s="283"/>
      <c r="M3" s="28"/>
      <c r="N3" s="28"/>
      <c r="O3" s="28"/>
      <c r="P3" s="28"/>
      <c r="Q3" s="28"/>
      <c r="R3" s="28"/>
      <c r="S3" s="28"/>
      <c r="T3" s="28"/>
      <c r="U3" s="28"/>
      <c r="V3" s="28"/>
      <c r="W3" s="28"/>
      <c r="X3" s="28"/>
      <c r="Y3" s="28"/>
      <c r="Z3" s="44"/>
      <c r="AA3" s="45"/>
      <c r="AB3" s="44"/>
      <c r="AC3" s="28"/>
      <c r="AD3" s="28"/>
      <c r="AE3" s="28"/>
      <c r="AF3" s="28"/>
      <c r="AG3" s="28"/>
      <c r="AH3" s="28"/>
      <c r="AI3" s="28"/>
      <c r="AJ3" s="28"/>
      <c r="AK3" s="28"/>
      <c r="AL3" s="28"/>
      <c r="AM3" s="28"/>
      <c r="AN3" s="28"/>
      <c r="AO3" s="28"/>
      <c r="AP3" s="28"/>
      <c r="AQ3" s="28"/>
      <c r="AR3" s="28"/>
      <c r="AS3" s="28"/>
      <c r="AT3" s="28"/>
      <c r="AU3" s="28"/>
      <c r="AV3" s="28"/>
      <c r="AW3" s="28"/>
      <c r="AX3" s="28"/>
      <c r="AY3" s="28"/>
      <c r="AZ3" s="28"/>
      <c r="BA3" s="28"/>
    </row>
    <row r="4" spans="1:53" x14ac:dyDescent="0.25">
      <c r="A4" s="30"/>
      <c r="B4" s="27"/>
      <c r="C4" s="27"/>
      <c r="D4" s="27"/>
      <c r="E4" s="27"/>
      <c r="F4" s="27"/>
      <c r="G4" s="27"/>
      <c r="H4" s="1"/>
      <c r="I4" s="27"/>
      <c r="J4" s="27"/>
      <c r="K4" s="27"/>
      <c r="L4" s="27"/>
      <c r="M4" s="28"/>
      <c r="N4" s="28"/>
      <c r="O4" s="28"/>
      <c r="P4" s="28"/>
      <c r="Q4" s="28"/>
      <c r="R4" s="28"/>
      <c r="S4" s="28"/>
      <c r="T4" s="28"/>
      <c r="U4" s="28"/>
      <c r="V4" s="28"/>
      <c r="W4" s="28"/>
      <c r="X4" s="28"/>
      <c r="Y4" s="28"/>
      <c r="Z4" s="44"/>
      <c r="AA4" s="45"/>
      <c r="AB4" s="44"/>
      <c r="AC4" s="28"/>
      <c r="AD4" s="28"/>
      <c r="AE4" s="28"/>
      <c r="AF4" s="28"/>
      <c r="AG4" s="28"/>
      <c r="AH4" s="28"/>
      <c r="AI4" s="28"/>
      <c r="AJ4" s="28"/>
      <c r="AK4" s="28"/>
      <c r="AL4" s="28"/>
      <c r="AM4" s="28"/>
      <c r="AN4" s="28"/>
      <c r="AO4" s="28"/>
      <c r="AP4" s="28"/>
      <c r="AQ4" s="28"/>
      <c r="AR4" s="28"/>
      <c r="AS4" s="28"/>
      <c r="AT4" s="28"/>
      <c r="AU4" s="28"/>
      <c r="AV4" s="28"/>
      <c r="AW4" s="28"/>
      <c r="AX4" s="28"/>
      <c r="AY4" s="28"/>
      <c r="AZ4" s="28"/>
      <c r="BA4" s="28"/>
    </row>
    <row r="5" spans="1:53" ht="18" x14ac:dyDescent="0.25">
      <c r="A5" s="284" t="s">
        <v>141</v>
      </c>
      <c r="B5" s="284"/>
      <c r="C5" s="284"/>
      <c r="D5" s="284"/>
      <c r="E5" s="284"/>
      <c r="F5" s="284"/>
      <c r="G5" s="284"/>
      <c r="H5" s="284"/>
      <c r="I5" s="284"/>
      <c r="J5" s="284"/>
      <c r="K5" s="284"/>
      <c r="L5" s="284"/>
      <c r="M5" s="28"/>
      <c r="N5" s="28"/>
      <c r="O5" s="28"/>
      <c r="P5" s="28"/>
      <c r="Q5" s="28"/>
      <c r="R5" s="28"/>
      <c r="S5" s="28"/>
      <c r="T5" s="28"/>
      <c r="U5" s="28"/>
      <c r="V5" s="28"/>
      <c r="W5" s="28"/>
      <c r="X5" s="28"/>
      <c r="Y5" s="28"/>
      <c r="Z5" s="44"/>
      <c r="AA5" s="45"/>
      <c r="AB5" s="44"/>
      <c r="AC5" s="28"/>
      <c r="AD5" s="28"/>
      <c r="AE5" s="28"/>
      <c r="AF5" s="28"/>
      <c r="AG5" s="28"/>
      <c r="AH5" s="28"/>
      <c r="AI5" s="28"/>
      <c r="AJ5" s="28"/>
      <c r="AK5" s="28"/>
      <c r="AL5" s="28"/>
      <c r="AM5" s="28"/>
      <c r="AN5" s="28"/>
      <c r="AO5" s="28"/>
      <c r="AP5" s="28"/>
      <c r="AQ5" s="28"/>
      <c r="AR5" s="28"/>
      <c r="AS5" s="28"/>
      <c r="AT5" s="28"/>
      <c r="AU5" s="28"/>
      <c r="AV5" s="28"/>
      <c r="AW5" s="28"/>
      <c r="AX5" s="28"/>
      <c r="AY5" s="28"/>
      <c r="AZ5" s="28"/>
      <c r="BA5" s="28"/>
    </row>
    <row r="6" spans="1:53" ht="18" x14ac:dyDescent="0.25">
      <c r="A6" s="282" t="s">
        <v>189</v>
      </c>
      <c r="B6" s="282"/>
      <c r="C6" s="282"/>
      <c r="D6" s="282"/>
      <c r="E6" s="282"/>
      <c r="F6" s="282"/>
      <c r="G6" s="282"/>
      <c r="H6" s="282"/>
      <c r="I6" s="282"/>
      <c r="J6" s="282"/>
      <c r="K6" s="282"/>
      <c r="L6" s="282"/>
      <c r="M6" s="28"/>
      <c r="N6" s="28"/>
      <c r="O6" s="28"/>
      <c r="P6" s="28"/>
      <c r="Q6" s="28"/>
      <c r="R6" s="28"/>
      <c r="S6" s="28"/>
      <c r="T6" s="28"/>
      <c r="U6" s="28"/>
      <c r="V6" s="28"/>
      <c r="W6" s="28"/>
      <c r="X6" s="28"/>
      <c r="Y6" s="28"/>
      <c r="Z6" s="44"/>
      <c r="AA6" s="45"/>
      <c r="AB6" s="44"/>
      <c r="AC6" s="28"/>
      <c r="AD6" s="28"/>
      <c r="AE6" s="28"/>
      <c r="AF6" s="28"/>
      <c r="AG6" s="28"/>
      <c r="AH6" s="28"/>
      <c r="AI6" s="28"/>
      <c r="AJ6" s="28"/>
      <c r="AK6" s="28"/>
      <c r="AL6" s="28"/>
      <c r="AM6" s="28"/>
      <c r="AN6" s="28"/>
      <c r="AO6" s="28"/>
      <c r="AP6" s="28"/>
      <c r="AQ6" s="28"/>
      <c r="AR6" s="28"/>
      <c r="AS6" s="28"/>
      <c r="AT6" s="28"/>
      <c r="AU6" s="28"/>
      <c r="AV6" s="28"/>
      <c r="AW6" s="28"/>
      <c r="AX6" s="28"/>
      <c r="AY6" s="28"/>
      <c r="AZ6" s="28"/>
      <c r="BA6" s="28"/>
    </row>
    <row r="7" spans="1:53" ht="18" x14ac:dyDescent="0.25">
      <c r="A7" s="31"/>
      <c r="B7" s="31"/>
      <c r="C7" s="31"/>
      <c r="D7" s="31"/>
      <c r="E7" s="31"/>
      <c r="F7" s="31"/>
      <c r="G7" s="31"/>
      <c r="H7" s="31"/>
      <c r="I7" s="31"/>
      <c r="J7" s="31"/>
      <c r="K7" s="31"/>
      <c r="L7" s="31"/>
      <c r="M7" s="28"/>
      <c r="N7" s="28"/>
      <c r="O7" s="28"/>
      <c r="P7" s="28"/>
      <c r="Q7" s="28"/>
      <c r="R7" s="28"/>
      <c r="S7" s="28"/>
      <c r="T7" s="28"/>
      <c r="U7" s="28"/>
      <c r="V7" s="28"/>
      <c r="W7" s="28"/>
      <c r="X7" s="28"/>
      <c r="Y7" s="28"/>
      <c r="Z7" s="44"/>
      <c r="AA7" s="45"/>
      <c r="AB7" s="44"/>
      <c r="AC7" s="28"/>
      <c r="AD7" s="28"/>
      <c r="AE7" s="28"/>
      <c r="AF7" s="28"/>
      <c r="AG7" s="28"/>
      <c r="AH7" s="28"/>
      <c r="AI7" s="28"/>
      <c r="AJ7" s="28"/>
      <c r="AK7" s="28"/>
      <c r="AL7" s="28"/>
      <c r="AM7" s="28"/>
      <c r="AN7" s="28"/>
      <c r="AO7" s="28"/>
      <c r="AP7" s="28"/>
      <c r="AQ7" s="28"/>
      <c r="AR7" s="28"/>
      <c r="AS7" s="28"/>
      <c r="AT7" s="28"/>
      <c r="AU7" s="28"/>
      <c r="AV7" s="28"/>
      <c r="AW7" s="28"/>
      <c r="AX7" s="28"/>
      <c r="AY7" s="28"/>
      <c r="AZ7" s="28"/>
      <c r="BA7" s="28"/>
    </row>
    <row r="8" spans="1:53" ht="18" x14ac:dyDescent="0.25">
      <c r="A8" s="31"/>
      <c r="B8" s="31"/>
      <c r="C8" s="31"/>
      <c r="D8" s="31"/>
      <c r="E8" s="31"/>
      <c r="F8" s="31"/>
      <c r="G8" s="31"/>
      <c r="H8" s="31"/>
      <c r="I8" s="31"/>
      <c r="J8" s="31"/>
      <c r="K8" s="31"/>
      <c r="L8" s="31"/>
      <c r="M8" s="28"/>
      <c r="N8" s="28"/>
      <c r="O8" s="28"/>
      <c r="P8" s="28"/>
      <c r="Q8" s="28"/>
      <c r="R8" s="28"/>
      <c r="S8" s="28"/>
      <c r="T8" s="28"/>
      <c r="U8" s="28"/>
      <c r="V8" s="28"/>
      <c r="W8" s="28"/>
      <c r="X8" s="28"/>
      <c r="Y8" s="28"/>
      <c r="Z8" s="44"/>
      <c r="AA8" s="45"/>
      <c r="AB8" s="44"/>
      <c r="AC8" s="28"/>
      <c r="AD8" s="28"/>
      <c r="AE8" s="28"/>
      <c r="AF8" s="28"/>
    </row>
    <row r="9" spans="1:53" x14ac:dyDescent="0.25">
      <c r="A9" s="285" t="s">
        <v>675</v>
      </c>
      <c r="B9" s="285"/>
      <c r="C9" s="285"/>
      <c r="D9" s="285"/>
      <c r="E9" s="285"/>
      <c r="F9" s="285"/>
      <c r="G9" s="285"/>
      <c r="H9" s="285"/>
      <c r="I9" s="285"/>
      <c r="J9" s="285"/>
      <c r="K9" s="285"/>
      <c r="L9" s="285"/>
      <c r="M9" s="285"/>
      <c r="N9" s="28"/>
      <c r="O9" s="28"/>
      <c r="P9" s="28"/>
      <c r="Q9" s="28"/>
      <c r="R9" s="28"/>
      <c r="S9" s="28"/>
      <c r="T9" s="28"/>
      <c r="U9" s="28"/>
      <c r="V9" s="28"/>
      <c r="W9" s="28"/>
      <c r="X9" s="28"/>
      <c r="Y9" s="28"/>
      <c r="Z9" s="44"/>
      <c r="AA9" s="45"/>
      <c r="AB9" s="44"/>
      <c r="AC9" s="28"/>
      <c r="AD9" s="28"/>
      <c r="AE9" s="28"/>
      <c r="AF9" s="28"/>
    </row>
    <row r="10" spans="1:53" ht="18" x14ac:dyDescent="0.25">
      <c r="A10" s="32"/>
      <c r="B10" s="32"/>
      <c r="C10" s="32"/>
      <c r="D10" s="32"/>
      <c r="E10" s="32"/>
      <c r="F10" s="31"/>
      <c r="G10" s="31"/>
      <c r="H10" s="31"/>
      <c r="I10" s="31"/>
      <c r="J10" s="31"/>
      <c r="K10" s="31"/>
      <c r="L10" s="31"/>
      <c r="M10" s="31"/>
      <c r="N10" s="28"/>
      <c r="O10" s="28"/>
      <c r="P10" s="28"/>
      <c r="Q10" s="28"/>
      <c r="R10" s="28"/>
      <c r="S10" s="28"/>
      <c r="T10" s="28"/>
      <c r="U10" s="28"/>
      <c r="V10" s="28"/>
      <c r="W10" s="28"/>
      <c r="X10" s="28"/>
      <c r="Y10" s="28"/>
      <c r="Z10" s="44"/>
      <c r="AA10" s="45"/>
      <c r="AB10" s="44"/>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row>
    <row r="11" spans="1:53" x14ac:dyDescent="0.25">
      <c r="A11" s="285" t="s">
        <v>180</v>
      </c>
      <c r="B11" s="285"/>
      <c r="C11" s="285"/>
      <c r="D11" s="285"/>
      <c r="E11" s="285"/>
      <c r="F11" s="285"/>
      <c r="G11" s="285"/>
      <c r="H11" s="285"/>
      <c r="I11" s="285"/>
      <c r="J11" s="285"/>
      <c r="K11" s="285"/>
      <c r="L11" s="285"/>
      <c r="M11" s="285"/>
      <c r="N11" s="28"/>
      <c r="O11" s="28"/>
      <c r="P11" s="28"/>
      <c r="Q11" s="28"/>
      <c r="R11" s="28"/>
      <c r="S11" s="28"/>
      <c r="T11" s="28"/>
      <c r="U11" s="28"/>
      <c r="V11" s="28"/>
      <c r="W11" s="28"/>
      <c r="X11" s="28"/>
      <c r="Y11" s="28"/>
      <c r="Z11" s="44"/>
      <c r="AA11" s="45"/>
      <c r="AB11" s="44"/>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row>
    <row r="12" spans="1:53" x14ac:dyDescent="0.25">
      <c r="A12" s="32"/>
      <c r="B12" s="32"/>
      <c r="C12" s="32"/>
      <c r="D12" s="32"/>
      <c r="E12" s="32"/>
      <c r="F12" s="32"/>
      <c r="G12" s="32"/>
      <c r="H12" s="32"/>
      <c r="I12" s="32"/>
      <c r="J12" s="32"/>
      <c r="K12" s="32"/>
      <c r="L12" s="32"/>
      <c r="M12" s="32"/>
      <c r="N12" s="28"/>
      <c r="O12" s="28"/>
      <c r="P12" s="28"/>
      <c r="Q12" s="28"/>
      <c r="R12" s="28"/>
      <c r="S12" s="28"/>
      <c r="T12" s="28"/>
      <c r="U12" s="28"/>
      <c r="V12" s="28"/>
      <c r="W12" s="28"/>
      <c r="X12" s="28"/>
      <c r="Y12" s="28"/>
      <c r="Z12" s="44"/>
      <c r="AA12" s="45"/>
      <c r="AB12" s="44"/>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row>
    <row r="13" spans="1:53" x14ac:dyDescent="0.25">
      <c r="A13" s="27"/>
      <c r="B13" s="27"/>
      <c r="C13" s="27"/>
      <c r="D13" s="27"/>
      <c r="E13" s="27"/>
      <c r="F13" s="27"/>
      <c r="G13" s="27"/>
      <c r="H13" s="1"/>
      <c r="I13" s="27"/>
      <c r="J13" s="27"/>
      <c r="K13" s="27"/>
      <c r="L13" s="27"/>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row>
    <row r="14" spans="1:53" ht="30.75" customHeight="1" x14ac:dyDescent="0.25">
      <c r="A14" s="330" t="s">
        <v>4</v>
      </c>
      <c r="B14" s="330" t="s">
        <v>5</v>
      </c>
      <c r="C14" s="331" t="s">
        <v>0</v>
      </c>
      <c r="D14" s="331" t="s">
        <v>1</v>
      </c>
      <c r="E14" s="331" t="s">
        <v>2</v>
      </c>
      <c r="F14" s="331" t="s">
        <v>3</v>
      </c>
      <c r="G14" s="331" t="s">
        <v>6</v>
      </c>
      <c r="H14" s="331" t="s">
        <v>7</v>
      </c>
      <c r="I14" s="331" t="s">
        <v>8</v>
      </c>
      <c r="J14" s="331" t="s">
        <v>9</v>
      </c>
      <c r="K14" s="331" t="s">
        <v>138</v>
      </c>
      <c r="L14" s="331" t="s">
        <v>181</v>
      </c>
      <c r="M14" s="270" t="s">
        <v>190</v>
      </c>
      <c r="N14" s="275" t="s">
        <v>8</v>
      </c>
      <c r="O14" s="276"/>
      <c r="P14" s="270" t="s">
        <v>193</v>
      </c>
      <c r="Q14" s="275" t="s">
        <v>142</v>
      </c>
      <c r="R14" s="277"/>
      <c r="S14" s="277"/>
      <c r="T14" s="277"/>
      <c r="U14" s="277"/>
      <c r="V14" s="277"/>
      <c r="W14" s="277"/>
      <c r="X14" s="277"/>
      <c r="Y14" s="277"/>
      <c r="Z14" s="277"/>
      <c r="AA14" s="277"/>
      <c r="AB14" s="277"/>
      <c r="AC14" s="277"/>
      <c r="AD14" s="277"/>
      <c r="AE14" s="277"/>
      <c r="AF14" s="276"/>
      <c r="AG14" s="270" t="s">
        <v>143</v>
      </c>
      <c r="AH14" s="270" t="s">
        <v>192</v>
      </c>
      <c r="AI14" s="270" t="s">
        <v>144</v>
      </c>
      <c r="AJ14" s="270" t="s">
        <v>170</v>
      </c>
      <c r="AK14" s="270" t="s">
        <v>145</v>
      </c>
      <c r="AL14" s="270" t="s">
        <v>196</v>
      </c>
      <c r="AM14" s="270" t="s">
        <v>146</v>
      </c>
      <c r="AN14" s="272" t="s">
        <v>184</v>
      </c>
      <c r="AO14" s="273"/>
      <c r="AP14" s="273"/>
      <c r="AQ14" s="273"/>
      <c r="AR14" s="273"/>
      <c r="AS14" s="273"/>
      <c r="AT14" s="273"/>
      <c r="AU14" s="273"/>
      <c r="AV14" s="273"/>
      <c r="AW14" s="273"/>
      <c r="AX14" s="273"/>
      <c r="AY14" s="274"/>
      <c r="AZ14" s="265" t="s">
        <v>171</v>
      </c>
      <c r="BA14" s="267" t="s">
        <v>147</v>
      </c>
    </row>
    <row r="15" spans="1:53" ht="72" customHeight="1" x14ac:dyDescent="0.25">
      <c r="A15" s="332"/>
      <c r="B15" s="332"/>
      <c r="C15" s="333"/>
      <c r="D15" s="333"/>
      <c r="E15" s="333"/>
      <c r="F15" s="333"/>
      <c r="G15" s="333"/>
      <c r="H15" s="333"/>
      <c r="I15" s="333"/>
      <c r="J15" s="333"/>
      <c r="K15" s="333"/>
      <c r="L15" s="333"/>
      <c r="M15" s="271"/>
      <c r="N15" s="13" t="s">
        <v>148</v>
      </c>
      <c r="O15" s="13" t="s">
        <v>191</v>
      </c>
      <c r="P15" s="271"/>
      <c r="Q15" s="2" t="s">
        <v>149</v>
      </c>
      <c r="R15" s="2" t="s">
        <v>194</v>
      </c>
      <c r="S15" s="2" t="s">
        <v>150</v>
      </c>
      <c r="T15" s="2" t="s">
        <v>151</v>
      </c>
      <c r="U15" s="2" t="s">
        <v>182</v>
      </c>
      <c r="V15" s="2" t="s">
        <v>152</v>
      </c>
      <c r="W15" s="2" t="s">
        <v>153</v>
      </c>
      <c r="X15" s="2" t="s">
        <v>154</v>
      </c>
      <c r="Y15" s="2" t="s">
        <v>155</v>
      </c>
      <c r="Z15" s="2" t="s">
        <v>156</v>
      </c>
      <c r="AA15" s="2" t="s">
        <v>183</v>
      </c>
      <c r="AB15" s="2" t="s">
        <v>195</v>
      </c>
      <c r="AC15" s="2" t="s">
        <v>157</v>
      </c>
      <c r="AD15" s="2" t="s">
        <v>158</v>
      </c>
      <c r="AE15" s="2" t="s">
        <v>159</v>
      </c>
      <c r="AF15" s="2" t="s">
        <v>160</v>
      </c>
      <c r="AG15" s="271"/>
      <c r="AH15" s="271"/>
      <c r="AI15" s="271"/>
      <c r="AJ15" s="271"/>
      <c r="AK15" s="271"/>
      <c r="AL15" s="271"/>
      <c r="AM15" s="271"/>
      <c r="AN15" s="15" t="s">
        <v>161</v>
      </c>
      <c r="AO15" s="15" t="s">
        <v>162</v>
      </c>
      <c r="AP15" s="15" t="s">
        <v>163</v>
      </c>
      <c r="AQ15" s="15" t="s">
        <v>164</v>
      </c>
      <c r="AR15" s="15" t="s">
        <v>163</v>
      </c>
      <c r="AS15" s="15" t="s">
        <v>165</v>
      </c>
      <c r="AT15" s="15" t="s">
        <v>165</v>
      </c>
      <c r="AU15" s="15" t="s">
        <v>164</v>
      </c>
      <c r="AV15" s="15" t="s">
        <v>166</v>
      </c>
      <c r="AW15" s="15" t="s">
        <v>167</v>
      </c>
      <c r="AX15" s="15" t="s">
        <v>168</v>
      </c>
      <c r="AY15" s="15" t="s">
        <v>169</v>
      </c>
      <c r="AZ15" s="266"/>
      <c r="BA15" s="268"/>
    </row>
    <row r="16" spans="1:53" ht="409.5" x14ac:dyDescent="0.25">
      <c r="A16" s="33" t="s">
        <v>40</v>
      </c>
      <c r="B16" s="65" t="s">
        <v>42</v>
      </c>
      <c r="C16" s="257" t="s">
        <v>527</v>
      </c>
      <c r="D16" s="257" t="s">
        <v>528</v>
      </c>
      <c r="E16" s="258">
        <v>0</v>
      </c>
      <c r="F16" s="34" t="s">
        <v>529</v>
      </c>
      <c r="G16" s="269" t="s">
        <v>530</v>
      </c>
      <c r="H16" s="35" t="s">
        <v>531</v>
      </c>
      <c r="I16" s="34" t="s">
        <v>532</v>
      </c>
      <c r="J16" s="125">
        <v>0</v>
      </c>
      <c r="K16" s="125" t="s">
        <v>185</v>
      </c>
      <c r="L16" s="125">
        <v>14</v>
      </c>
      <c r="M16" s="291">
        <v>3</v>
      </c>
      <c r="N16" s="65" t="s">
        <v>896</v>
      </c>
      <c r="O16" s="291">
        <f>5+6</f>
        <v>11</v>
      </c>
      <c r="P16" s="292">
        <v>129145</v>
      </c>
      <c r="Q16" s="293"/>
      <c r="R16" s="293"/>
      <c r="S16" s="293"/>
      <c r="T16" s="293"/>
      <c r="U16" s="293"/>
      <c r="V16" s="294">
        <f>123740301/1000</f>
        <v>123740.30100000001</v>
      </c>
      <c r="W16" s="293"/>
      <c r="X16" s="293"/>
      <c r="Y16" s="293"/>
      <c r="Z16" s="295">
        <v>9141</v>
      </c>
      <c r="AA16" s="295">
        <v>14291</v>
      </c>
      <c r="AB16" s="293"/>
      <c r="AC16" s="293"/>
      <c r="AD16" s="295">
        <v>14286</v>
      </c>
      <c r="AE16" s="293"/>
      <c r="AF16" s="294"/>
      <c r="AG16" s="142" t="s">
        <v>533</v>
      </c>
      <c r="AH16" s="296">
        <v>20016000030027</v>
      </c>
      <c r="AI16" s="43" t="s">
        <v>897</v>
      </c>
      <c r="AJ16" s="43" t="s">
        <v>233</v>
      </c>
      <c r="AK16" s="43" t="s">
        <v>534</v>
      </c>
      <c r="AL16" s="294">
        <f>+V16</f>
        <v>123740.30100000001</v>
      </c>
      <c r="AM16" s="65" t="s">
        <v>898</v>
      </c>
      <c r="AN16" s="297" t="s">
        <v>202</v>
      </c>
      <c r="AO16" s="297" t="s">
        <v>202</v>
      </c>
      <c r="AP16" s="297" t="s">
        <v>202</v>
      </c>
      <c r="AQ16" s="297" t="s">
        <v>202</v>
      </c>
      <c r="AR16" s="297" t="s">
        <v>202</v>
      </c>
      <c r="AS16" s="297" t="s">
        <v>202</v>
      </c>
      <c r="AT16" s="297" t="s">
        <v>202</v>
      </c>
      <c r="AU16" s="297" t="s">
        <v>202</v>
      </c>
      <c r="AV16" s="297" t="s">
        <v>202</v>
      </c>
      <c r="AW16" s="297" t="s">
        <v>202</v>
      </c>
      <c r="AX16" s="297" t="s">
        <v>202</v>
      </c>
      <c r="AY16" s="297" t="s">
        <v>202</v>
      </c>
      <c r="AZ16" s="43" t="s">
        <v>899</v>
      </c>
      <c r="BA16" s="65" t="s">
        <v>900</v>
      </c>
    </row>
    <row r="17" spans="1:53" ht="346.5" x14ac:dyDescent="0.25">
      <c r="A17" s="33" t="s">
        <v>40</v>
      </c>
      <c r="B17" s="65" t="s">
        <v>42</v>
      </c>
      <c r="C17" s="257"/>
      <c r="D17" s="257"/>
      <c r="E17" s="258"/>
      <c r="F17" s="34" t="s">
        <v>529</v>
      </c>
      <c r="G17" s="269"/>
      <c r="H17" s="35" t="s">
        <v>535</v>
      </c>
      <c r="I17" s="34" t="s">
        <v>536</v>
      </c>
      <c r="J17" s="125">
        <v>0</v>
      </c>
      <c r="K17" s="125" t="s">
        <v>185</v>
      </c>
      <c r="L17" s="125">
        <v>1</v>
      </c>
      <c r="M17" s="291">
        <v>0</v>
      </c>
      <c r="N17" s="65"/>
      <c r="O17" s="291">
        <v>1</v>
      </c>
      <c r="P17" s="292">
        <v>0</v>
      </c>
      <c r="Q17" s="293"/>
      <c r="R17" s="293"/>
      <c r="S17" s="293"/>
      <c r="T17" s="293"/>
      <c r="U17" s="293"/>
      <c r="V17" s="291"/>
      <c r="W17" s="293"/>
      <c r="X17" s="293"/>
      <c r="Y17" s="293"/>
      <c r="Z17" s="295">
        <v>0</v>
      </c>
      <c r="AA17" s="295">
        <v>0</v>
      </c>
      <c r="AB17" s="293"/>
      <c r="AC17" s="293"/>
      <c r="AD17" s="295">
        <v>0</v>
      </c>
      <c r="AE17" s="293"/>
      <c r="AF17" s="125"/>
      <c r="AG17" s="293"/>
      <c r="AH17" s="293"/>
      <c r="AI17" s="293"/>
      <c r="AJ17" s="293"/>
      <c r="AK17" s="293"/>
      <c r="AL17" s="293"/>
      <c r="AM17" s="293"/>
      <c r="AN17" s="293"/>
      <c r="AO17" s="293"/>
      <c r="AP17" s="293"/>
      <c r="AQ17" s="293"/>
      <c r="AR17" s="293"/>
      <c r="AS17" s="293"/>
      <c r="AT17" s="293"/>
      <c r="AU17" s="293"/>
      <c r="AV17" s="293"/>
      <c r="AW17" s="293"/>
      <c r="AX17" s="293"/>
      <c r="AY17" s="293"/>
      <c r="AZ17" s="293"/>
      <c r="BA17" s="293"/>
    </row>
    <row r="18" spans="1:53" ht="409.5" x14ac:dyDescent="0.25">
      <c r="A18" s="33" t="s">
        <v>40</v>
      </c>
      <c r="B18" s="65" t="s">
        <v>42</v>
      </c>
      <c r="C18" s="257"/>
      <c r="D18" s="257"/>
      <c r="E18" s="258"/>
      <c r="F18" s="34" t="s">
        <v>529</v>
      </c>
      <c r="G18" s="269"/>
      <c r="H18" s="35" t="s">
        <v>537</v>
      </c>
      <c r="I18" s="34" t="s">
        <v>538</v>
      </c>
      <c r="J18" s="43" t="s">
        <v>539</v>
      </c>
      <c r="K18" s="43" t="s">
        <v>185</v>
      </c>
      <c r="L18" s="43">
        <v>14</v>
      </c>
      <c r="M18" s="298">
        <v>3</v>
      </c>
      <c r="N18" s="65" t="s">
        <v>538</v>
      </c>
      <c r="O18" s="291">
        <f>5+9</f>
        <v>14</v>
      </c>
      <c r="P18" s="292">
        <v>129142</v>
      </c>
      <c r="Q18" s="293"/>
      <c r="R18" s="293"/>
      <c r="S18" s="293"/>
      <c r="T18" s="293"/>
      <c r="U18" s="293"/>
      <c r="V18" s="294">
        <f>50439637.5/1000</f>
        <v>50439.637499999997</v>
      </c>
      <c r="W18" s="293"/>
      <c r="X18" s="293"/>
      <c r="Y18" s="293"/>
      <c r="Z18" s="295">
        <v>9143</v>
      </c>
      <c r="AA18" s="295">
        <v>14286</v>
      </c>
      <c r="AB18" s="293"/>
      <c r="AC18" s="293"/>
      <c r="AD18" s="295">
        <v>14285</v>
      </c>
      <c r="AE18" s="293"/>
      <c r="AF18" s="294"/>
      <c r="AG18" s="142" t="s">
        <v>533</v>
      </c>
      <c r="AH18" s="296">
        <v>20016000030027</v>
      </c>
      <c r="AI18" s="43" t="s">
        <v>901</v>
      </c>
      <c r="AJ18" s="43" t="s">
        <v>540</v>
      </c>
      <c r="AK18" s="43" t="s">
        <v>534</v>
      </c>
      <c r="AL18" s="294">
        <f t="shared" ref="AL18:AL25" si="0">+V18</f>
        <v>50439.637499999997</v>
      </c>
      <c r="AM18" s="43" t="s">
        <v>902</v>
      </c>
      <c r="AN18" s="297" t="s">
        <v>202</v>
      </c>
      <c r="AO18" s="297" t="s">
        <v>202</v>
      </c>
      <c r="AP18" s="297" t="s">
        <v>202</v>
      </c>
      <c r="AQ18" s="297" t="s">
        <v>202</v>
      </c>
      <c r="AR18" s="297" t="s">
        <v>202</v>
      </c>
      <c r="AS18" s="297" t="s">
        <v>202</v>
      </c>
      <c r="AT18" s="297" t="s">
        <v>202</v>
      </c>
      <c r="AU18" s="297" t="s">
        <v>202</v>
      </c>
      <c r="AV18" s="297" t="s">
        <v>202</v>
      </c>
      <c r="AW18" s="297" t="s">
        <v>202</v>
      </c>
      <c r="AX18" s="297" t="s">
        <v>202</v>
      </c>
      <c r="AY18" s="297" t="s">
        <v>202</v>
      </c>
      <c r="AZ18" s="43" t="s">
        <v>899</v>
      </c>
      <c r="BA18" s="65" t="s">
        <v>900</v>
      </c>
    </row>
    <row r="19" spans="1:53" ht="409.5" x14ac:dyDescent="0.25">
      <c r="A19" s="33" t="s">
        <v>40</v>
      </c>
      <c r="B19" s="65" t="s">
        <v>42</v>
      </c>
      <c r="C19" s="257" t="s">
        <v>541</v>
      </c>
      <c r="D19" s="257" t="s">
        <v>542</v>
      </c>
      <c r="E19" s="258" t="s">
        <v>543</v>
      </c>
      <c r="F19" s="34" t="s">
        <v>529</v>
      </c>
      <c r="G19" s="269"/>
      <c r="H19" s="35" t="s">
        <v>544</v>
      </c>
      <c r="I19" s="35" t="s">
        <v>545</v>
      </c>
      <c r="J19" s="125">
        <v>2</v>
      </c>
      <c r="K19" s="125" t="s">
        <v>185</v>
      </c>
      <c r="L19" s="125">
        <v>7</v>
      </c>
      <c r="M19" s="291">
        <v>1</v>
      </c>
      <c r="N19" s="65" t="s">
        <v>545</v>
      </c>
      <c r="O19" s="291">
        <f>2+3+3</f>
        <v>8</v>
      </c>
      <c r="P19" s="292">
        <v>226000</v>
      </c>
      <c r="Q19" s="293"/>
      <c r="R19" s="293"/>
      <c r="S19" s="293"/>
      <c r="T19" s="293"/>
      <c r="U19" s="293"/>
      <c r="V19" s="294">
        <f>113567000/1000</f>
        <v>113567</v>
      </c>
      <c r="W19" s="293"/>
      <c r="X19" s="293"/>
      <c r="Y19" s="293"/>
      <c r="Z19" s="295">
        <v>16000</v>
      </c>
      <c r="AA19" s="295">
        <v>25000</v>
      </c>
      <c r="AB19" s="293"/>
      <c r="AC19" s="293"/>
      <c r="AD19" s="295">
        <v>25000</v>
      </c>
      <c r="AE19" s="293"/>
      <c r="AF19" s="294"/>
      <c r="AG19" s="142" t="s">
        <v>533</v>
      </c>
      <c r="AH19" s="296">
        <v>20016000030027</v>
      </c>
      <c r="AI19" s="43" t="s">
        <v>903</v>
      </c>
      <c r="AJ19" s="43" t="s">
        <v>546</v>
      </c>
      <c r="AK19" s="65" t="s">
        <v>547</v>
      </c>
      <c r="AL19" s="299">
        <f t="shared" si="0"/>
        <v>113567</v>
      </c>
      <c r="AM19" s="65" t="s">
        <v>904</v>
      </c>
      <c r="AN19" s="297" t="s">
        <v>202</v>
      </c>
      <c r="AO19" s="297" t="s">
        <v>202</v>
      </c>
      <c r="AP19" s="297" t="s">
        <v>202</v>
      </c>
      <c r="AQ19" s="297" t="s">
        <v>202</v>
      </c>
      <c r="AR19" s="297" t="s">
        <v>202</v>
      </c>
      <c r="AS19" s="297" t="s">
        <v>202</v>
      </c>
      <c r="AT19" s="297" t="s">
        <v>202</v>
      </c>
      <c r="AU19" s="297" t="s">
        <v>202</v>
      </c>
      <c r="AV19" s="297" t="s">
        <v>202</v>
      </c>
      <c r="AW19" s="297" t="s">
        <v>202</v>
      </c>
      <c r="AX19" s="297" t="s">
        <v>202</v>
      </c>
      <c r="AY19" s="297" t="s">
        <v>202</v>
      </c>
      <c r="AZ19" s="43" t="s">
        <v>899</v>
      </c>
      <c r="BA19" s="65" t="s">
        <v>900</v>
      </c>
    </row>
    <row r="20" spans="1:53" ht="330" x14ac:dyDescent="0.25">
      <c r="A20" s="33" t="s">
        <v>40</v>
      </c>
      <c r="B20" s="65" t="s">
        <v>42</v>
      </c>
      <c r="C20" s="257"/>
      <c r="D20" s="257"/>
      <c r="E20" s="258"/>
      <c r="F20" s="34" t="s">
        <v>529</v>
      </c>
      <c r="G20" s="269"/>
      <c r="H20" s="35" t="s">
        <v>548</v>
      </c>
      <c r="I20" s="35" t="s">
        <v>549</v>
      </c>
      <c r="J20" s="125">
        <v>0</v>
      </c>
      <c r="K20" s="125" t="s">
        <v>185</v>
      </c>
      <c r="L20" s="125">
        <v>1</v>
      </c>
      <c r="M20" s="291">
        <v>0.2</v>
      </c>
      <c r="N20" s="65" t="s">
        <v>549</v>
      </c>
      <c r="O20" s="291">
        <f>0.4+0.4</f>
        <v>0.8</v>
      </c>
      <c r="P20" s="292">
        <v>96858</v>
      </c>
      <c r="Q20" s="293"/>
      <c r="R20" s="293"/>
      <c r="S20" s="293"/>
      <c r="T20" s="293"/>
      <c r="U20" s="293"/>
      <c r="V20" s="294">
        <f>74763434/1000</f>
        <v>74763.433999999994</v>
      </c>
      <c r="W20" s="293"/>
      <c r="X20" s="293"/>
      <c r="Y20" s="293"/>
      <c r="Z20" s="295">
        <v>6857</v>
      </c>
      <c r="AA20" s="295">
        <v>10714</v>
      </c>
      <c r="AB20" s="293"/>
      <c r="AC20" s="293"/>
      <c r="AD20" s="295">
        <v>10715</v>
      </c>
      <c r="AE20" s="293"/>
      <c r="AF20" s="294"/>
      <c r="AG20" s="142" t="s">
        <v>533</v>
      </c>
      <c r="AH20" s="296">
        <v>20016000030027</v>
      </c>
      <c r="AI20" s="65" t="s">
        <v>903</v>
      </c>
      <c r="AJ20" s="43" t="s">
        <v>540</v>
      </c>
      <c r="AK20" s="293"/>
      <c r="AL20" s="294">
        <f t="shared" si="0"/>
        <v>74763.433999999994</v>
      </c>
      <c r="AM20" s="65" t="s">
        <v>905</v>
      </c>
      <c r="AN20" s="297" t="s">
        <v>202</v>
      </c>
      <c r="AO20" s="297" t="s">
        <v>202</v>
      </c>
      <c r="AP20" s="297" t="s">
        <v>202</v>
      </c>
      <c r="AQ20" s="297" t="s">
        <v>202</v>
      </c>
      <c r="AR20" s="297" t="s">
        <v>202</v>
      </c>
      <c r="AS20" s="297" t="s">
        <v>202</v>
      </c>
      <c r="AT20" s="297" t="s">
        <v>202</v>
      </c>
      <c r="AU20" s="297" t="s">
        <v>202</v>
      </c>
      <c r="AV20" s="297" t="s">
        <v>202</v>
      </c>
      <c r="AW20" s="297" t="s">
        <v>202</v>
      </c>
      <c r="AX20" s="297" t="s">
        <v>202</v>
      </c>
      <c r="AY20" s="297" t="s">
        <v>202</v>
      </c>
      <c r="AZ20" s="43" t="s">
        <v>906</v>
      </c>
      <c r="BA20" s="65" t="s">
        <v>900</v>
      </c>
    </row>
    <row r="21" spans="1:53" ht="135" x14ac:dyDescent="0.25">
      <c r="A21" s="33" t="s">
        <v>40</v>
      </c>
      <c r="B21" s="65" t="s">
        <v>42</v>
      </c>
      <c r="C21" s="257"/>
      <c r="D21" s="257"/>
      <c r="E21" s="258"/>
      <c r="F21" s="34" t="s">
        <v>529</v>
      </c>
      <c r="G21" s="269"/>
      <c r="H21" s="35" t="s">
        <v>550</v>
      </c>
      <c r="I21" s="35" t="s">
        <v>551</v>
      </c>
      <c r="J21" s="125">
        <v>0</v>
      </c>
      <c r="K21" s="125" t="s">
        <v>185</v>
      </c>
      <c r="L21" s="125">
        <v>2</v>
      </c>
      <c r="M21" s="291">
        <v>1</v>
      </c>
      <c r="N21" s="65" t="s">
        <v>552</v>
      </c>
      <c r="O21" s="291">
        <v>2</v>
      </c>
      <c r="P21" s="292">
        <v>413999</v>
      </c>
      <c r="Q21" s="293"/>
      <c r="R21" s="293"/>
      <c r="S21" s="293"/>
      <c r="T21" s="293"/>
      <c r="U21" s="293"/>
      <c r="V21" s="294">
        <f>78296697.9/1000</f>
        <v>78296.697899999999</v>
      </c>
      <c r="W21" s="293"/>
      <c r="X21" s="293"/>
      <c r="Y21" s="293"/>
      <c r="Z21" s="295">
        <v>27428</v>
      </c>
      <c r="AA21" s="295">
        <v>47143</v>
      </c>
      <c r="AB21" s="293"/>
      <c r="AC21" s="293"/>
      <c r="AD21" s="295">
        <v>51429</v>
      </c>
      <c r="AE21" s="293"/>
      <c r="AF21" s="294"/>
      <c r="AG21" s="293"/>
      <c r="AH21" s="293"/>
      <c r="AI21" s="293"/>
      <c r="AJ21" s="293"/>
      <c r="AK21" s="293"/>
      <c r="AL21" s="300">
        <f t="shared" si="0"/>
        <v>78296.697899999999</v>
      </c>
      <c r="AM21" s="65" t="s">
        <v>553</v>
      </c>
      <c r="AN21" s="293"/>
      <c r="AO21" s="293"/>
      <c r="AP21" s="293"/>
      <c r="AQ21" s="293"/>
      <c r="AR21" s="293"/>
      <c r="AS21" s="293"/>
      <c r="AT21" s="293"/>
      <c r="AU21" s="293"/>
      <c r="AV21" s="293"/>
      <c r="AW21" s="293"/>
      <c r="AX21" s="293"/>
      <c r="AY21" s="293"/>
      <c r="AZ21" s="293"/>
      <c r="BA21" s="293"/>
    </row>
    <row r="22" spans="1:53" ht="330" x14ac:dyDescent="0.25">
      <c r="A22" s="33" t="s">
        <v>40</v>
      </c>
      <c r="B22" s="65" t="s">
        <v>42</v>
      </c>
      <c r="C22" s="257"/>
      <c r="D22" s="257"/>
      <c r="E22" s="258"/>
      <c r="F22" s="34" t="s">
        <v>529</v>
      </c>
      <c r="G22" s="269"/>
      <c r="H22" s="35" t="s">
        <v>554</v>
      </c>
      <c r="I22" s="35" t="s">
        <v>555</v>
      </c>
      <c r="J22" s="125">
        <v>0</v>
      </c>
      <c r="K22" s="125" t="s">
        <v>185</v>
      </c>
      <c r="L22" s="125">
        <v>8</v>
      </c>
      <c r="M22" s="291">
        <v>2</v>
      </c>
      <c r="N22" s="65" t="s">
        <v>555</v>
      </c>
      <c r="O22" s="291">
        <f>2+3+2</f>
        <v>7</v>
      </c>
      <c r="P22" s="292">
        <v>129142</v>
      </c>
      <c r="Q22" s="293"/>
      <c r="R22" s="293"/>
      <c r="S22" s="293"/>
      <c r="T22" s="293"/>
      <c r="U22" s="293"/>
      <c r="V22" s="294">
        <f>130976741.94/1000</f>
        <v>130976.74193999999</v>
      </c>
      <c r="W22" s="293"/>
      <c r="X22" s="293"/>
      <c r="Y22" s="293"/>
      <c r="Z22" s="295">
        <v>9143</v>
      </c>
      <c r="AA22" s="295">
        <v>14286</v>
      </c>
      <c r="AB22" s="293"/>
      <c r="AC22" s="293"/>
      <c r="AD22" s="295">
        <v>14285</v>
      </c>
      <c r="AE22" s="293"/>
      <c r="AF22" s="294"/>
      <c r="AG22" s="142" t="s">
        <v>533</v>
      </c>
      <c r="AH22" s="296">
        <v>20016000030027</v>
      </c>
      <c r="AI22" s="293"/>
      <c r="AJ22" s="43" t="s">
        <v>540</v>
      </c>
      <c r="AK22" s="293"/>
      <c r="AL22" s="300">
        <f t="shared" si="0"/>
        <v>130976.74193999999</v>
      </c>
      <c r="AM22" s="65" t="s">
        <v>907</v>
      </c>
      <c r="AN22" s="297" t="s">
        <v>202</v>
      </c>
      <c r="AO22" s="297" t="s">
        <v>202</v>
      </c>
      <c r="AP22" s="297" t="s">
        <v>202</v>
      </c>
      <c r="AQ22" s="297" t="s">
        <v>202</v>
      </c>
      <c r="AR22" s="297" t="s">
        <v>202</v>
      </c>
      <c r="AS22" s="297" t="s">
        <v>202</v>
      </c>
      <c r="AT22" s="297" t="s">
        <v>202</v>
      </c>
      <c r="AU22" s="297" t="s">
        <v>202</v>
      </c>
      <c r="AV22" s="297" t="s">
        <v>202</v>
      </c>
      <c r="AW22" s="297" t="s">
        <v>202</v>
      </c>
      <c r="AX22" s="297" t="s">
        <v>202</v>
      </c>
      <c r="AY22" s="297" t="s">
        <v>202</v>
      </c>
      <c r="AZ22" s="43" t="s">
        <v>906</v>
      </c>
      <c r="BA22" s="65" t="s">
        <v>900</v>
      </c>
    </row>
    <row r="23" spans="1:53" ht="330" x14ac:dyDescent="0.25">
      <c r="A23" s="33" t="s">
        <v>40</v>
      </c>
      <c r="B23" s="65" t="s">
        <v>42</v>
      </c>
      <c r="C23" s="257"/>
      <c r="D23" s="257"/>
      <c r="E23" s="258"/>
      <c r="F23" s="34" t="s">
        <v>529</v>
      </c>
      <c r="G23" s="269"/>
      <c r="H23" s="35" t="s">
        <v>556</v>
      </c>
      <c r="I23" s="35" t="s">
        <v>557</v>
      </c>
      <c r="J23" s="125">
        <v>0</v>
      </c>
      <c r="K23" s="125" t="s">
        <v>185</v>
      </c>
      <c r="L23" s="125">
        <v>1</v>
      </c>
      <c r="M23" s="291">
        <v>0.5</v>
      </c>
      <c r="N23" s="65" t="s">
        <v>557</v>
      </c>
      <c r="O23" s="291">
        <v>0.5</v>
      </c>
      <c r="P23" s="292">
        <v>322295</v>
      </c>
      <c r="Q23" s="293"/>
      <c r="R23" s="293"/>
      <c r="S23" s="293"/>
      <c r="T23" s="293"/>
      <c r="U23" s="293"/>
      <c r="V23" s="294">
        <f>70506804/1000</f>
        <v>70506.804000000004</v>
      </c>
      <c r="W23" s="293"/>
      <c r="X23" s="293"/>
      <c r="Y23" s="293"/>
      <c r="Z23" s="295">
        <v>19783</v>
      </c>
      <c r="AA23" s="295">
        <v>41214</v>
      </c>
      <c r="AB23" s="293"/>
      <c r="AC23" s="293"/>
      <c r="AD23" s="295">
        <v>45335</v>
      </c>
      <c r="AE23" s="293"/>
      <c r="AF23" s="294"/>
      <c r="AG23" s="142" t="s">
        <v>533</v>
      </c>
      <c r="AH23" s="296">
        <v>20016000030027</v>
      </c>
      <c r="AI23" s="293"/>
      <c r="AJ23" s="43" t="s">
        <v>540</v>
      </c>
      <c r="AK23" s="293"/>
      <c r="AL23" s="300">
        <f t="shared" si="0"/>
        <v>70506.804000000004</v>
      </c>
      <c r="AM23" s="65" t="s">
        <v>908</v>
      </c>
      <c r="AN23" s="297" t="s">
        <v>202</v>
      </c>
      <c r="AO23" s="297" t="s">
        <v>202</v>
      </c>
      <c r="AP23" s="297" t="s">
        <v>202</v>
      </c>
      <c r="AQ23" s="297" t="s">
        <v>202</v>
      </c>
      <c r="AR23" s="297" t="s">
        <v>202</v>
      </c>
      <c r="AS23" s="297" t="s">
        <v>202</v>
      </c>
      <c r="AT23" s="297" t="s">
        <v>202</v>
      </c>
      <c r="AU23" s="297" t="s">
        <v>202</v>
      </c>
      <c r="AV23" s="297" t="s">
        <v>202</v>
      </c>
      <c r="AW23" s="297" t="s">
        <v>202</v>
      </c>
      <c r="AX23" s="297" t="s">
        <v>202</v>
      </c>
      <c r="AY23" s="297" t="s">
        <v>202</v>
      </c>
      <c r="AZ23" s="43" t="s">
        <v>906</v>
      </c>
      <c r="BA23" s="65" t="s">
        <v>900</v>
      </c>
    </row>
    <row r="24" spans="1:53" ht="330" x14ac:dyDescent="0.25">
      <c r="A24" s="33" t="s">
        <v>40</v>
      </c>
      <c r="B24" s="65" t="s">
        <v>42</v>
      </c>
      <c r="C24" s="257"/>
      <c r="D24" s="257"/>
      <c r="E24" s="258"/>
      <c r="F24" s="34" t="s">
        <v>529</v>
      </c>
      <c r="G24" s="269"/>
      <c r="H24" s="35" t="s">
        <v>558</v>
      </c>
      <c r="I24" s="35" t="s">
        <v>559</v>
      </c>
      <c r="J24" s="125">
        <v>0</v>
      </c>
      <c r="K24" s="125" t="s">
        <v>185</v>
      </c>
      <c r="L24" s="125">
        <v>7</v>
      </c>
      <c r="M24" s="291">
        <v>1</v>
      </c>
      <c r="N24" s="65" t="s">
        <v>559</v>
      </c>
      <c r="O24" s="291">
        <f>1+4+2</f>
        <v>7</v>
      </c>
      <c r="P24" s="292">
        <v>9688</v>
      </c>
      <c r="Q24" s="293"/>
      <c r="R24" s="293"/>
      <c r="S24" s="293"/>
      <c r="T24" s="293"/>
      <c r="U24" s="293"/>
      <c r="V24" s="294">
        <f>47426849/1000</f>
        <v>47426.849000000002</v>
      </c>
      <c r="W24" s="293"/>
      <c r="X24" s="293"/>
      <c r="Y24" s="293"/>
      <c r="Z24" s="295">
        <v>686</v>
      </c>
      <c r="AA24" s="295">
        <v>1070</v>
      </c>
      <c r="AB24" s="293"/>
      <c r="AC24" s="293"/>
      <c r="AD24" s="295">
        <v>1074</v>
      </c>
      <c r="AE24" s="293"/>
      <c r="AF24" s="294"/>
      <c r="AG24" s="142" t="s">
        <v>533</v>
      </c>
      <c r="AH24" s="296">
        <v>20016000030027</v>
      </c>
      <c r="AI24" s="293"/>
      <c r="AJ24" s="43" t="s">
        <v>540</v>
      </c>
      <c r="AK24" s="293"/>
      <c r="AL24" s="294">
        <f t="shared" si="0"/>
        <v>47426.849000000002</v>
      </c>
      <c r="AM24" s="43" t="s">
        <v>909</v>
      </c>
      <c r="AN24" s="297" t="s">
        <v>202</v>
      </c>
      <c r="AO24" s="297" t="s">
        <v>202</v>
      </c>
      <c r="AP24" s="297" t="s">
        <v>202</v>
      </c>
      <c r="AQ24" s="297" t="s">
        <v>202</v>
      </c>
      <c r="AR24" s="297" t="s">
        <v>202</v>
      </c>
      <c r="AS24" s="297" t="s">
        <v>202</v>
      </c>
      <c r="AT24" s="297" t="s">
        <v>202</v>
      </c>
      <c r="AU24" s="297" t="s">
        <v>202</v>
      </c>
      <c r="AV24" s="297" t="s">
        <v>202</v>
      </c>
      <c r="AW24" s="297" t="s">
        <v>202</v>
      </c>
      <c r="AX24" s="297" t="s">
        <v>202</v>
      </c>
      <c r="AY24" s="297" t="s">
        <v>202</v>
      </c>
      <c r="AZ24" s="43" t="s">
        <v>906</v>
      </c>
      <c r="BA24" s="65" t="s">
        <v>900</v>
      </c>
    </row>
    <row r="25" spans="1:53" ht="330" x14ac:dyDescent="0.25">
      <c r="A25" s="33" t="s">
        <v>40</v>
      </c>
      <c r="B25" s="65" t="s">
        <v>42</v>
      </c>
      <c r="C25" s="36" t="s">
        <v>560</v>
      </c>
      <c r="D25" s="36" t="s">
        <v>561</v>
      </c>
      <c r="E25" s="37">
        <v>0</v>
      </c>
      <c r="F25" s="34" t="s">
        <v>529</v>
      </c>
      <c r="G25" s="269"/>
      <c r="H25" s="38" t="s">
        <v>562</v>
      </c>
      <c r="I25" s="38" t="s">
        <v>563</v>
      </c>
      <c r="J25" s="125">
        <v>0</v>
      </c>
      <c r="K25" s="125" t="s">
        <v>185</v>
      </c>
      <c r="L25" s="301">
        <v>1</v>
      </c>
      <c r="M25" s="302">
        <v>0.1</v>
      </c>
      <c r="N25" s="65" t="s">
        <v>563</v>
      </c>
      <c r="O25" s="302">
        <f>79%+10%+20%</f>
        <v>1.0900000000000001</v>
      </c>
      <c r="P25" s="292">
        <v>19500</v>
      </c>
      <c r="Q25" s="293"/>
      <c r="R25" s="293"/>
      <c r="S25" s="293"/>
      <c r="T25" s="293"/>
      <c r="U25" s="293"/>
      <c r="V25" s="294">
        <f>65336849/1000</f>
        <v>65336.849000000002</v>
      </c>
      <c r="W25" s="293"/>
      <c r="X25" s="293"/>
      <c r="Y25" s="293"/>
      <c r="Z25" s="295"/>
      <c r="AA25" s="295">
        <v>2786</v>
      </c>
      <c r="AB25" s="293"/>
      <c r="AC25" s="293"/>
      <c r="AD25" s="295"/>
      <c r="AE25" s="293"/>
      <c r="AF25" s="294"/>
      <c r="AG25" s="142" t="s">
        <v>533</v>
      </c>
      <c r="AH25" s="296">
        <v>20016000030027</v>
      </c>
      <c r="AI25" s="293" t="s">
        <v>903</v>
      </c>
      <c r="AJ25" s="43" t="s">
        <v>540</v>
      </c>
      <c r="AK25" s="293"/>
      <c r="AL25" s="300">
        <f t="shared" si="0"/>
        <v>65336.849000000002</v>
      </c>
      <c r="AM25" s="43" t="s">
        <v>564</v>
      </c>
      <c r="AN25" s="297" t="s">
        <v>202</v>
      </c>
      <c r="AO25" s="297" t="s">
        <v>202</v>
      </c>
      <c r="AP25" s="297" t="s">
        <v>202</v>
      </c>
      <c r="AQ25" s="297" t="s">
        <v>202</v>
      </c>
      <c r="AR25" s="297" t="s">
        <v>202</v>
      </c>
      <c r="AS25" s="297" t="s">
        <v>202</v>
      </c>
      <c r="AT25" s="297" t="s">
        <v>202</v>
      </c>
      <c r="AU25" s="297" t="s">
        <v>202</v>
      </c>
      <c r="AV25" s="297" t="s">
        <v>202</v>
      </c>
      <c r="AW25" s="297" t="s">
        <v>202</v>
      </c>
      <c r="AX25" s="297" t="s">
        <v>202</v>
      </c>
      <c r="AY25" s="297" t="s">
        <v>202</v>
      </c>
      <c r="AZ25" s="43" t="s">
        <v>906</v>
      </c>
      <c r="BA25" s="65" t="s">
        <v>900</v>
      </c>
    </row>
    <row r="26" spans="1:53" ht="330" x14ac:dyDescent="0.25">
      <c r="A26" s="33" t="s">
        <v>40</v>
      </c>
      <c r="B26" s="65" t="s">
        <v>42</v>
      </c>
      <c r="C26" s="257" t="s">
        <v>565</v>
      </c>
      <c r="D26" s="257" t="s">
        <v>566</v>
      </c>
      <c r="E26" s="258" t="s">
        <v>567</v>
      </c>
      <c r="F26" s="34" t="s">
        <v>568</v>
      </c>
      <c r="G26" s="257" t="s">
        <v>569</v>
      </c>
      <c r="H26" s="65" t="s">
        <v>570</v>
      </c>
      <c r="I26" s="65" t="s">
        <v>571</v>
      </c>
      <c r="J26" s="125">
        <v>0</v>
      </c>
      <c r="K26" s="125" t="s">
        <v>185</v>
      </c>
      <c r="L26" s="125">
        <v>1</v>
      </c>
      <c r="M26" s="291">
        <v>0.5</v>
      </c>
      <c r="N26" s="65" t="s">
        <v>571</v>
      </c>
      <c r="O26" s="291">
        <v>0.5</v>
      </c>
      <c r="P26" s="292">
        <v>155452</v>
      </c>
      <c r="Q26" s="303">
        <f>246750000/1000</f>
        <v>246750</v>
      </c>
      <c r="R26" s="304"/>
      <c r="S26" s="305"/>
      <c r="T26" s="305"/>
      <c r="U26" s="305"/>
      <c r="V26" s="304">
        <v>0</v>
      </c>
      <c r="W26" s="304">
        <v>0</v>
      </c>
      <c r="X26" s="304">
        <v>0</v>
      </c>
      <c r="Y26" s="305"/>
      <c r="Z26" s="304">
        <f>16363+10909</f>
        <v>27272</v>
      </c>
      <c r="AA26" s="304"/>
      <c r="AB26" s="304"/>
      <c r="AC26" s="304"/>
      <c r="AD26" s="304">
        <f>17045+20453</f>
        <v>37498</v>
      </c>
      <c r="AE26" s="305"/>
      <c r="AF26" s="306"/>
      <c r="AG26" s="65" t="s">
        <v>910</v>
      </c>
      <c r="AH26" s="296">
        <v>2018003190005</v>
      </c>
      <c r="AI26" s="43">
        <v>42</v>
      </c>
      <c r="AJ26" s="125" t="s">
        <v>233</v>
      </c>
      <c r="AK26" s="65" t="s">
        <v>911</v>
      </c>
      <c r="AL26" s="300">
        <f>(256746000+23100000)/1000</f>
        <v>279846</v>
      </c>
      <c r="AM26" s="65" t="s">
        <v>572</v>
      </c>
      <c r="AN26" s="291"/>
      <c r="AO26" s="291" t="s">
        <v>200</v>
      </c>
      <c r="AP26" s="291" t="s">
        <v>200</v>
      </c>
      <c r="AQ26" s="291" t="s">
        <v>200</v>
      </c>
      <c r="AR26" s="291" t="s">
        <v>200</v>
      </c>
      <c r="AS26" s="291" t="s">
        <v>200</v>
      </c>
      <c r="AT26" s="291" t="s">
        <v>200</v>
      </c>
      <c r="AU26" s="291" t="s">
        <v>200</v>
      </c>
      <c r="AV26" s="291" t="s">
        <v>200</v>
      </c>
      <c r="AW26" s="291" t="s">
        <v>200</v>
      </c>
      <c r="AX26" s="291" t="s">
        <v>200</v>
      </c>
      <c r="AY26" s="291" t="s">
        <v>200</v>
      </c>
      <c r="AZ26" s="43" t="s">
        <v>912</v>
      </c>
      <c r="BA26" s="43" t="s">
        <v>913</v>
      </c>
    </row>
    <row r="27" spans="1:53" ht="180" x14ac:dyDescent="0.25">
      <c r="A27" s="33" t="s">
        <v>40</v>
      </c>
      <c r="B27" s="65" t="s">
        <v>42</v>
      </c>
      <c r="C27" s="257"/>
      <c r="D27" s="257"/>
      <c r="E27" s="258"/>
      <c r="F27" s="34" t="s">
        <v>568</v>
      </c>
      <c r="G27" s="257"/>
      <c r="H27" s="65" t="s">
        <v>573</v>
      </c>
      <c r="I27" s="65" t="s">
        <v>574</v>
      </c>
      <c r="J27" s="125">
        <v>0</v>
      </c>
      <c r="K27" s="125" t="s">
        <v>185</v>
      </c>
      <c r="L27" s="307">
        <v>1260</v>
      </c>
      <c r="M27" s="291">
        <v>0</v>
      </c>
      <c r="N27" s="293"/>
      <c r="O27" s="291">
        <f>480+940</f>
        <v>1420</v>
      </c>
      <c r="P27" s="292">
        <v>0</v>
      </c>
      <c r="Q27" s="42">
        <v>0</v>
      </c>
      <c r="R27" s="304"/>
      <c r="S27" s="305"/>
      <c r="T27" s="305"/>
      <c r="U27" s="305"/>
      <c r="V27" s="292">
        <v>0</v>
      </c>
      <c r="W27" s="304">
        <v>0</v>
      </c>
      <c r="X27" s="42">
        <v>0</v>
      </c>
      <c r="Y27" s="305"/>
      <c r="Z27" s="42">
        <v>0</v>
      </c>
      <c r="AA27" s="304">
        <v>0</v>
      </c>
      <c r="AB27" s="304"/>
      <c r="AC27" s="304">
        <v>0</v>
      </c>
      <c r="AD27" s="304">
        <v>0</v>
      </c>
      <c r="AE27" s="305"/>
      <c r="AF27" s="305"/>
      <c r="AG27" s="293"/>
      <c r="AH27" s="293"/>
      <c r="AI27" s="293"/>
      <c r="AJ27" s="293"/>
      <c r="AK27" s="293"/>
      <c r="AL27" s="293"/>
      <c r="AM27" s="293"/>
      <c r="AN27" s="293"/>
      <c r="AO27" s="293"/>
      <c r="AP27" s="293"/>
      <c r="AQ27" s="293"/>
      <c r="AR27" s="293"/>
      <c r="AS27" s="293"/>
      <c r="AT27" s="293"/>
      <c r="AU27" s="293"/>
      <c r="AV27" s="293"/>
      <c r="AW27" s="293"/>
      <c r="AX27" s="293"/>
      <c r="AY27" s="293"/>
      <c r="AZ27" s="293"/>
      <c r="BA27" s="293"/>
    </row>
    <row r="28" spans="1:53" ht="210" x14ac:dyDescent="0.25">
      <c r="A28" s="33" t="s">
        <v>40</v>
      </c>
      <c r="B28" s="65" t="s">
        <v>42</v>
      </c>
      <c r="C28" s="201" t="s">
        <v>575</v>
      </c>
      <c r="D28" s="201" t="s">
        <v>576</v>
      </c>
      <c r="E28" s="201" t="s">
        <v>577</v>
      </c>
      <c r="F28" s="34" t="s">
        <v>568</v>
      </c>
      <c r="G28" s="257"/>
      <c r="H28" s="40" t="s">
        <v>578</v>
      </c>
      <c r="I28" s="40" t="s">
        <v>579</v>
      </c>
      <c r="J28" s="125">
        <v>0</v>
      </c>
      <c r="K28" s="125" t="s">
        <v>185</v>
      </c>
      <c r="L28" s="125">
        <v>1</v>
      </c>
      <c r="M28" s="291">
        <v>0</v>
      </c>
      <c r="N28" s="293"/>
      <c r="O28" s="291">
        <v>1</v>
      </c>
      <c r="P28" s="292">
        <v>0</v>
      </c>
      <c r="Q28" s="304">
        <v>0</v>
      </c>
      <c r="R28" s="304"/>
      <c r="S28" s="305"/>
      <c r="T28" s="305"/>
      <c r="U28" s="305"/>
      <c r="V28" s="308">
        <v>0</v>
      </c>
      <c r="W28" s="304">
        <v>0</v>
      </c>
      <c r="X28" s="304">
        <v>0</v>
      </c>
      <c r="Y28" s="305"/>
      <c r="Z28" s="304">
        <v>0</v>
      </c>
      <c r="AA28" s="304">
        <v>0</v>
      </c>
      <c r="AB28" s="304"/>
      <c r="AC28" s="304">
        <v>0</v>
      </c>
      <c r="AD28" s="304">
        <v>0</v>
      </c>
      <c r="AE28" s="305"/>
      <c r="AF28" s="305"/>
      <c r="AG28" s="293"/>
      <c r="AH28" s="293"/>
      <c r="AI28" s="293"/>
      <c r="AJ28" s="293"/>
      <c r="AK28" s="293"/>
      <c r="AL28" s="293"/>
      <c r="AM28" s="293"/>
      <c r="AN28" s="293"/>
      <c r="AO28" s="293"/>
      <c r="AP28" s="293"/>
      <c r="AQ28" s="293"/>
      <c r="AR28" s="293"/>
      <c r="AS28" s="293"/>
      <c r="AT28" s="293"/>
      <c r="AU28" s="293"/>
      <c r="AV28" s="293"/>
      <c r="AW28" s="293"/>
      <c r="AX28" s="293"/>
      <c r="AY28" s="293"/>
      <c r="AZ28" s="293"/>
      <c r="BA28" s="293"/>
    </row>
    <row r="29" spans="1:53" ht="375" x14ac:dyDescent="0.25">
      <c r="A29" s="33" t="s">
        <v>40</v>
      </c>
      <c r="B29" s="65" t="s">
        <v>42</v>
      </c>
      <c r="C29" s="201"/>
      <c r="D29" s="201"/>
      <c r="E29" s="201"/>
      <c r="F29" s="34" t="s">
        <v>568</v>
      </c>
      <c r="G29" s="257"/>
      <c r="H29" s="38" t="s">
        <v>580</v>
      </c>
      <c r="I29" s="38" t="s">
        <v>581</v>
      </c>
      <c r="J29" s="125">
        <v>0</v>
      </c>
      <c r="K29" s="125" t="s">
        <v>185</v>
      </c>
      <c r="L29" s="307">
        <v>1260</v>
      </c>
      <c r="M29" s="291">
        <v>0</v>
      </c>
      <c r="N29" s="293"/>
      <c r="O29" s="291">
        <f>480+940</f>
        <v>1420</v>
      </c>
      <c r="P29" s="292">
        <v>0</v>
      </c>
      <c r="Q29" s="304">
        <v>0</v>
      </c>
      <c r="R29" s="304"/>
      <c r="S29" s="305"/>
      <c r="T29" s="305"/>
      <c r="U29" s="305"/>
      <c r="V29" s="308">
        <v>0</v>
      </c>
      <c r="W29" s="304">
        <v>0</v>
      </c>
      <c r="X29" s="304">
        <v>0</v>
      </c>
      <c r="Y29" s="305"/>
      <c r="Z29" s="304">
        <v>0</v>
      </c>
      <c r="AA29" s="304">
        <v>0</v>
      </c>
      <c r="AB29" s="304"/>
      <c r="AC29" s="304">
        <v>0</v>
      </c>
      <c r="AD29" s="304">
        <v>0</v>
      </c>
      <c r="AE29" s="305"/>
      <c r="AF29" s="305"/>
      <c r="AG29" s="293"/>
      <c r="AH29" s="293"/>
      <c r="AI29" s="293"/>
      <c r="AJ29" s="293"/>
      <c r="AK29" s="293"/>
      <c r="AL29" s="293"/>
      <c r="AM29" s="293"/>
      <c r="AN29" s="293"/>
      <c r="AO29" s="293"/>
      <c r="AP29" s="293"/>
      <c r="AQ29" s="293"/>
      <c r="AR29" s="293"/>
      <c r="AS29" s="293"/>
      <c r="AT29" s="293"/>
      <c r="AU29" s="293"/>
      <c r="AV29" s="293"/>
      <c r="AW29" s="293"/>
      <c r="AX29" s="293"/>
      <c r="AY29" s="293"/>
      <c r="AZ29" s="293"/>
      <c r="BA29" s="293"/>
    </row>
    <row r="30" spans="1:53" ht="330" x14ac:dyDescent="0.25">
      <c r="A30" s="33" t="s">
        <v>40</v>
      </c>
      <c r="B30" s="65" t="s">
        <v>42</v>
      </c>
      <c r="C30" s="201"/>
      <c r="D30" s="201"/>
      <c r="E30" s="201"/>
      <c r="F30" s="34" t="s">
        <v>568</v>
      </c>
      <c r="G30" s="257"/>
      <c r="H30" s="35" t="s">
        <v>582</v>
      </c>
      <c r="I30" s="35" t="s">
        <v>583</v>
      </c>
      <c r="J30" s="125">
        <v>0</v>
      </c>
      <c r="K30" s="125" t="s">
        <v>354</v>
      </c>
      <c r="L30" s="125">
        <v>21</v>
      </c>
      <c r="M30" s="291">
        <v>21</v>
      </c>
      <c r="N30" s="65" t="s">
        <v>583</v>
      </c>
      <c r="O30" s="291">
        <v>42</v>
      </c>
      <c r="P30" s="292">
        <v>68182</v>
      </c>
      <c r="Q30" s="303">
        <f>10000000/1000</f>
        <v>10000</v>
      </c>
      <c r="R30" s="304"/>
      <c r="S30" s="305"/>
      <c r="T30" s="305"/>
      <c r="U30" s="305"/>
      <c r="V30" s="304">
        <v>0</v>
      </c>
      <c r="W30" s="304">
        <v>0</v>
      </c>
      <c r="X30" s="304">
        <v>0</v>
      </c>
      <c r="Y30" s="305"/>
      <c r="Z30" s="304">
        <v>11429</v>
      </c>
      <c r="AA30" s="304">
        <v>0</v>
      </c>
      <c r="AB30" s="304"/>
      <c r="AC30" s="304"/>
      <c r="AD30" s="304">
        <v>24091</v>
      </c>
      <c r="AE30" s="305"/>
      <c r="AF30" s="306"/>
      <c r="AG30" s="43" t="s">
        <v>871</v>
      </c>
      <c r="AH30" s="296">
        <v>2018003190005</v>
      </c>
      <c r="AI30" s="125">
        <v>42</v>
      </c>
      <c r="AJ30" s="43" t="s">
        <v>914</v>
      </c>
      <c r="AK30" s="43" t="s">
        <v>915</v>
      </c>
      <c r="AL30" s="294">
        <f>20000000/1000</f>
        <v>20000</v>
      </c>
      <c r="AM30" s="43" t="s">
        <v>584</v>
      </c>
      <c r="AN30" s="291"/>
      <c r="AO30" s="291" t="s">
        <v>200</v>
      </c>
      <c r="AP30" s="291" t="s">
        <v>200</v>
      </c>
      <c r="AQ30" s="291" t="s">
        <v>200</v>
      </c>
      <c r="AR30" s="291" t="s">
        <v>200</v>
      </c>
      <c r="AS30" s="291" t="s">
        <v>200</v>
      </c>
      <c r="AT30" s="291" t="s">
        <v>200</v>
      </c>
      <c r="AU30" s="291" t="s">
        <v>200</v>
      </c>
      <c r="AV30" s="291" t="s">
        <v>200</v>
      </c>
      <c r="AW30" s="291" t="s">
        <v>200</v>
      </c>
      <c r="AX30" s="291" t="s">
        <v>200</v>
      </c>
      <c r="AY30" s="291" t="s">
        <v>200</v>
      </c>
      <c r="AZ30" s="43" t="s">
        <v>916</v>
      </c>
      <c r="BA30" s="43" t="s">
        <v>917</v>
      </c>
    </row>
    <row r="31" spans="1:53" ht="270" x14ac:dyDescent="0.25">
      <c r="A31" s="33" t="s">
        <v>40</v>
      </c>
      <c r="B31" s="65" t="s">
        <v>42</v>
      </c>
      <c r="C31" s="257" t="s">
        <v>585</v>
      </c>
      <c r="D31" s="257" t="s">
        <v>586</v>
      </c>
      <c r="E31" s="257" t="s">
        <v>587</v>
      </c>
      <c r="F31" s="34" t="s">
        <v>588</v>
      </c>
      <c r="G31" s="257" t="s">
        <v>589</v>
      </c>
      <c r="H31" s="35" t="s">
        <v>590</v>
      </c>
      <c r="I31" s="35" t="s">
        <v>591</v>
      </c>
      <c r="J31" s="43" t="s">
        <v>587</v>
      </c>
      <c r="K31" s="43" t="s">
        <v>185</v>
      </c>
      <c r="L31" s="43">
        <v>150</v>
      </c>
      <c r="M31" s="309">
        <f>+L31-O31</f>
        <v>0</v>
      </c>
      <c r="N31" s="35" t="s">
        <v>591</v>
      </c>
      <c r="O31" s="291">
        <f>30+60+60</f>
        <v>150</v>
      </c>
      <c r="P31" s="292">
        <v>242198</v>
      </c>
      <c r="Q31" s="304"/>
      <c r="R31" s="304"/>
      <c r="S31" s="305"/>
      <c r="T31" s="305"/>
      <c r="U31" s="305"/>
      <c r="V31" s="310"/>
      <c r="W31" s="304"/>
      <c r="X31" s="304"/>
      <c r="Y31" s="305"/>
      <c r="Z31" s="304"/>
      <c r="AA31" s="304"/>
      <c r="AB31" s="304"/>
      <c r="AC31" s="304"/>
      <c r="AD31" s="304"/>
      <c r="AE31" s="305"/>
      <c r="AF31" s="305"/>
      <c r="AG31" s="293"/>
      <c r="AH31" s="293"/>
      <c r="AI31" s="293"/>
      <c r="AJ31" s="293"/>
      <c r="AK31" s="293"/>
      <c r="AL31" s="293"/>
      <c r="AM31" s="293"/>
      <c r="AN31" s="293"/>
      <c r="AO31" s="293"/>
      <c r="AP31" s="293"/>
      <c r="AQ31" s="293"/>
      <c r="AR31" s="293"/>
      <c r="AS31" s="293"/>
      <c r="AT31" s="293"/>
      <c r="AU31" s="293"/>
      <c r="AV31" s="293"/>
      <c r="AW31" s="293"/>
      <c r="AX31" s="293"/>
      <c r="AY31" s="293"/>
      <c r="AZ31" s="293"/>
      <c r="BA31" s="293"/>
    </row>
    <row r="32" spans="1:53" ht="255" x14ac:dyDescent="0.25">
      <c r="A32" s="33" t="s">
        <v>40</v>
      </c>
      <c r="B32" s="65" t="s">
        <v>42</v>
      </c>
      <c r="C32" s="257"/>
      <c r="D32" s="257"/>
      <c r="E32" s="257"/>
      <c r="F32" s="34" t="s">
        <v>588</v>
      </c>
      <c r="G32" s="257"/>
      <c r="H32" s="65" t="s">
        <v>592</v>
      </c>
      <c r="I32" s="35" t="s">
        <v>593</v>
      </c>
      <c r="J32" s="125">
        <v>0</v>
      </c>
      <c r="K32" s="125" t="s">
        <v>185</v>
      </c>
      <c r="L32" s="125">
        <v>150</v>
      </c>
      <c r="M32" s="309">
        <f>+L32-O32</f>
        <v>0</v>
      </c>
      <c r="N32" s="35" t="s">
        <v>593</v>
      </c>
      <c r="O32" s="291">
        <f>30+60+60</f>
        <v>150</v>
      </c>
      <c r="P32" s="292">
        <v>176389</v>
      </c>
      <c r="Q32" s="304"/>
      <c r="R32" s="304"/>
      <c r="S32" s="305"/>
      <c r="T32" s="305"/>
      <c r="U32" s="305"/>
      <c r="V32" s="304"/>
      <c r="W32" s="304"/>
      <c r="X32" s="304"/>
      <c r="Y32" s="305"/>
      <c r="Z32" s="304"/>
      <c r="AA32" s="304"/>
      <c r="AB32" s="304"/>
      <c r="AC32" s="304"/>
      <c r="AD32" s="304"/>
      <c r="AE32" s="305"/>
      <c r="AF32" s="305"/>
      <c r="AG32" s="293"/>
      <c r="AH32" s="293"/>
      <c r="AI32" s="293"/>
      <c r="AJ32" s="293"/>
      <c r="AK32" s="293"/>
      <c r="AL32" s="293"/>
      <c r="AM32" s="293"/>
      <c r="AN32" s="293"/>
      <c r="AO32" s="293"/>
      <c r="AP32" s="293"/>
      <c r="AQ32" s="293"/>
      <c r="AR32" s="293"/>
      <c r="AS32" s="293"/>
      <c r="AT32" s="293"/>
      <c r="AU32" s="293"/>
      <c r="AV32" s="293"/>
      <c r="AW32" s="293"/>
      <c r="AX32" s="293"/>
      <c r="AY32" s="293"/>
      <c r="AZ32" s="293"/>
      <c r="BA32" s="293"/>
    </row>
    <row r="33" spans="1:53" ht="150" x14ac:dyDescent="0.25">
      <c r="A33" s="33" t="s">
        <v>40</v>
      </c>
      <c r="B33" s="65" t="s">
        <v>42</v>
      </c>
      <c r="C33" s="257"/>
      <c r="D33" s="257"/>
      <c r="E33" s="257"/>
      <c r="F33" s="34" t="s">
        <v>588</v>
      </c>
      <c r="G33" s="257"/>
      <c r="H33" s="35" t="s">
        <v>594</v>
      </c>
      <c r="I33" s="35" t="s">
        <v>595</v>
      </c>
      <c r="J33" s="125">
        <v>0</v>
      </c>
      <c r="K33" s="125" t="s">
        <v>185</v>
      </c>
      <c r="L33" s="125">
        <v>150</v>
      </c>
      <c r="M33" s="309">
        <f>+L33-O33</f>
        <v>0</v>
      </c>
      <c r="N33" s="35" t="s">
        <v>595</v>
      </c>
      <c r="O33" s="291">
        <f>30+60+60</f>
        <v>150</v>
      </c>
      <c r="P33" s="292">
        <v>176389</v>
      </c>
      <c r="Q33" s="304"/>
      <c r="R33" s="304"/>
      <c r="S33" s="305"/>
      <c r="T33" s="305"/>
      <c r="U33" s="305"/>
      <c r="V33" s="304"/>
      <c r="W33" s="304"/>
      <c r="X33" s="304"/>
      <c r="Y33" s="305"/>
      <c r="Z33" s="304"/>
      <c r="AA33" s="304"/>
      <c r="AB33" s="304"/>
      <c r="AC33" s="304"/>
      <c r="AD33" s="304"/>
      <c r="AE33" s="305"/>
      <c r="AF33" s="305"/>
      <c r="AG33" s="293"/>
      <c r="AH33" s="293"/>
      <c r="AI33" s="293"/>
      <c r="AJ33" s="293"/>
      <c r="AK33" s="293"/>
      <c r="AL33" s="293"/>
      <c r="AM33" s="293"/>
      <c r="AN33" s="293"/>
      <c r="AO33" s="293"/>
      <c r="AP33" s="293"/>
      <c r="AQ33" s="293"/>
      <c r="AR33" s="293"/>
      <c r="AS33" s="293"/>
      <c r="AT33" s="293"/>
      <c r="AU33" s="293"/>
      <c r="AV33" s="293"/>
      <c r="AW33" s="293"/>
      <c r="AX33" s="293"/>
      <c r="AY33" s="293"/>
      <c r="AZ33" s="293"/>
      <c r="BA33" s="293"/>
    </row>
    <row r="34" spans="1:53" ht="165" x14ac:dyDescent="0.25">
      <c r="A34" s="33" t="s">
        <v>40</v>
      </c>
      <c r="B34" s="65" t="s">
        <v>42</v>
      </c>
      <c r="C34" s="257" t="s">
        <v>596</v>
      </c>
      <c r="D34" s="257" t="s">
        <v>597</v>
      </c>
      <c r="E34" s="258">
        <v>7</v>
      </c>
      <c r="F34" s="34" t="s">
        <v>588</v>
      </c>
      <c r="G34" s="257"/>
      <c r="H34" s="38" t="s">
        <v>598</v>
      </c>
      <c r="I34" s="35" t="s">
        <v>599</v>
      </c>
      <c r="J34" s="125">
        <v>0</v>
      </c>
      <c r="K34" s="125" t="s">
        <v>185</v>
      </c>
      <c r="L34" s="307">
        <v>1260</v>
      </c>
      <c r="M34" s="291">
        <v>0</v>
      </c>
      <c r="N34" s="35" t="s">
        <v>599</v>
      </c>
      <c r="O34" s="291">
        <f>480+616+375</f>
        <v>1471</v>
      </c>
      <c r="P34" s="292">
        <v>141111</v>
      </c>
      <c r="Q34" s="304"/>
      <c r="R34" s="304"/>
      <c r="S34" s="305"/>
      <c r="T34" s="305"/>
      <c r="U34" s="305"/>
      <c r="V34" s="310"/>
      <c r="W34" s="304">
        <v>0</v>
      </c>
      <c r="X34" s="304">
        <v>0</v>
      </c>
      <c r="Y34" s="305"/>
      <c r="Z34" s="304"/>
      <c r="AA34" s="304"/>
      <c r="AB34" s="304"/>
      <c r="AC34" s="304"/>
      <c r="AD34" s="304"/>
      <c r="AE34" s="305"/>
      <c r="AF34" s="305"/>
      <c r="AG34" s="43" t="s">
        <v>918</v>
      </c>
      <c r="AH34" s="311">
        <v>2017000030037</v>
      </c>
      <c r="AI34" s="312">
        <v>42</v>
      </c>
      <c r="AJ34" s="65" t="s">
        <v>600</v>
      </c>
      <c r="AK34" s="65" t="s">
        <v>919</v>
      </c>
      <c r="AL34" s="313">
        <f>+V34</f>
        <v>0</v>
      </c>
      <c r="AM34" s="43" t="s">
        <v>601</v>
      </c>
      <c r="AN34" s="291"/>
      <c r="AO34" s="291"/>
      <c r="AP34" s="291"/>
      <c r="AQ34" s="291"/>
      <c r="AR34" s="291"/>
      <c r="AS34" s="291"/>
      <c r="AT34" s="291"/>
      <c r="AU34" s="293"/>
      <c r="AV34" s="293"/>
      <c r="AW34" s="293"/>
      <c r="AX34" s="293"/>
      <c r="AY34" s="293"/>
      <c r="AZ34" s="293"/>
      <c r="BA34" s="293"/>
    </row>
    <row r="35" spans="1:53" ht="285" x14ac:dyDescent="0.25">
      <c r="A35" s="33" t="s">
        <v>40</v>
      </c>
      <c r="B35" s="65" t="s">
        <v>42</v>
      </c>
      <c r="C35" s="257"/>
      <c r="D35" s="257"/>
      <c r="E35" s="258"/>
      <c r="F35" s="34" t="s">
        <v>588</v>
      </c>
      <c r="G35" s="257"/>
      <c r="H35" s="38" t="s">
        <v>602</v>
      </c>
      <c r="I35" s="35" t="s">
        <v>603</v>
      </c>
      <c r="J35" s="125">
        <v>0</v>
      </c>
      <c r="K35" s="125" t="s">
        <v>185</v>
      </c>
      <c r="L35" s="125">
        <v>4</v>
      </c>
      <c r="M35" s="291">
        <v>0</v>
      </c>
      <c r="N35" s="65" t="s">
        <v>603</v>
      </c>
      <c r="O35" s="314">
        <f>1+2+1</f>
        <v>4</v>
      </c>
      <c r="P35" s="292">
        <v>211667</v>
      </c>
      <c r="Q35" s="304"/>
      <c r="R35" s="304"/>
      <c r="S35" s="305"/>
      <c r="T35" s="305"/>
      <c r="U35" s="305"/>
      <c r="V35" s="304">
        <v>0</v>
      </c>
      <c r="W35" s="304">
        <v>0</v>
      </c>
      <c r="X35" s="304">
        <v>0</v>
      </c>
      <c r="Y35" s="305"/>
      <c r="Z35" s="304"/>
      <c r="AA35" s="304"/>
      <c r="AB35" s="304"/>
      <c r="AC35" s="304"/>
      <c r="AD35" s="304"/>
      <c r="AE35" s="305"/>
      <c r="AF35" s="305"/>
      <c r="AG35" s="65" t="s">
        <v>920</v>
      </c>
      <c r="AH35" s="311">
        <v>2017000030037</v>
      </c>
      <c r="AI35" s="43">
        <v>42</v>
      </c>
      <c r="AJ35" s="43" t="s">
        <v>233</v>
      </c>
      <c r="AK35" s="65" t="s">
        <v>919</v>
      </c>
      <c r="AL35" s="294"/>
      <c r="AM35" s="43" t="s">
        <v>601</v>
      </c>
      <c r="AN35" s="293"/>
      <c r="AO35" s="297"/>
      <c r="AP35" s="297"/>
      <c r="AQ35" s="297"/>
      <c r="AR35" s="297"/>
      <c r="AS35" s="297"/>
      <c r="AT35" s="297"/>
      <c r="AU35" s="297" t="s">
        <v>202</v>
      </c>
      <c r="AV35" s="297" t="s">
        <v>202</v>
      </c>
      <c r="AW35" s="297" t="s">
        <v>202</v>
      </c>
      <c r="AX35" s="297" t="s">
        <v>202</v>
      </c>
      <c r="AY35" s="297" t="s">
        <v>202</v>
      </c>
      <c r="AZ35" s="65" t="s">
        <v>921</v>
      </c>
      <c r="BA35" s="43" t="s">
        <v>922</v>
      </c>
    </row>
    <row r="36" spans="1:53" ht="285" x14ac:dyDescent="0.25">
      <c r="A36" s="33" t="s">
        <v>40</v>
      </c>
      <c r="B36" s="65" t="s">
        <v>42</v>
      </c>
      <c r="C36" s="257"/>
      <c r="D36" s="257"/>
      <c r="E36" s="258"/>
      <c r="F36" s="34" t="s">
        <v>588</v>
      </c>
      <c r="G36" s="257"/>
      <c r="H36" s="35" t="s">
        <v>604</v>
      </c>
      <c r="I36" s="35" t="s">
        <v>605</v>
      </c>
      <c r="J36" s="125">
        <v>0</v>
      </c>
      <c r="K36" s="125" t="s">
        <v>185</v>
      </c>
      <c r="L36" s="125">
        <v>10</v>
      </c>
      <c r="M36" s="291">
        <v>10</v>
      </c>
      <c r="N36" s="65" t="s">
        <v>605</v>
      </c>
      <c r="O36" s="291">
        <v>3</v>
      </c>
      <c r="P36" s="292">
        <v>352778</v>
      </c>
      <c r="Q36" s="304" t="s">
        <v>606</v>
      </c>
      <c r="R36" s="304"/>
      <c r="S36" s="305"/>
      <c r="T36" s="305"/>
      <c r="U36" s="305"/>
      <c r="V36" s="310">
        <f>276161708/1000</f>
        <v>276161.70799999998</v>
      </c>
      <c r="W36" s="304">
        <v>0</v>
      </c>
      <c r="X36" s="304">
        <v>0</v>
      </c>
      <c r="Y36" s="305"/>
      <c r="Z36" s="304">
        <v>19444</v>
      </c>
      <c r="AA36" s="304"/>
      <c r="AB36" s="304"/>
      <c r="AC36" s="304"/>
      <c r="AD36" s="304">
        <v>6944</v>
      </c>
      <c r="AE36" s="305"/>
      <c r="AF36" s="307">
        <f>SUM(Q36:AE36)</f>
        <v>302549.70799999998</v>
      </c>
      <c r="AG36" s="43" t="s">
        <v>918</v>
      </c>
      <c r="AH36" s="311">
        <v>2017000030037</v>
      </c>
      <c r="AI36" s="43" t="s">
        <v>923</v>
      </c>
      <c r="AJ36" s="43" t="s">
        <v>233</v>
      </c>
      <c r="AK36" s="65" t="s">
        <v>924</v>
      </c>
      <c r="AL36" s="294">
        <f>+V36</f>
        <v>276161.70799999998</v>
      </c>
      <c r="AM36" s="65" t="s">
        <v>925</v>
      </c>
      <c r="AN36" s="293" t="s">
        <v>200</v>
      </c>
      <c r="AO36" s="297" t="s">
        <v>200</v>
      </c>
      <c r="AP36" s="297" t="s">
        <v>200</v>
      </c>
      <c r="AQ36" s="297" t="s">
        <v>200</v>
      </c>
      <c r="AR36" s="297" t="s">
        <v>200</v>
      </c>
      <c r="AS36" s="297"/>
      <c r="AT36" s="297"/>
      <c r="AU36" s="297" t="s">
        <v>202</v>
      </c>
      <c r="AV36" s="297" t="s">
        <v>202</v>
      </c>
      <c r="AW36" s="297" t="s">
        <v>202</v>
      </c>
      <c r="AX36" s="297" t="s">
        <v>202</v>
      </c>
      <c r="AY36" s="297" t="s">
        <v>202</v>
      </c>
      <c r="AZ36" s="65" t="s">
        <v>921</v>
      </c>
      <c r="BA36" s="43" t="s">
        <v>926</v>
      </c>
    </row>
    <row r="37" spans="1:53" ht="165" x14ac:dyDescent="0.25">
      <c r="A37" s="33" t="s">
        <v>40</v>
      </c>
      <c r="B37" s="65" t="s">
        <v>42</v>
      </c>
      <c r="C37" s="257"/>
      <c r="D37" s="257"/>
      <c r="E37" s="258"/>
      <c r="F37" s="34" t="s">
        <v>588</v>
      </c>
      <c r="G37" s="257"/>
      <c r="H37" s="35" t="s">
        <v>607</v>
      </c>
      <c r="I37" s="35" t="s">
        <v>608</v>
      </c>
      <c r="J37" s="125">
        <v>0</v>
      </c>
      <c r="K37" s="125" t="s">
        <v>185</v>
      </c>
      <c r="L37" s="125">
        <v>7</v>
      </c>
      <c r="M37" s="291">
        <v>2</v>
      </c>
      <c r="N37" s="65" t="s">
        <v>608</v>
      </c>
      <c r="O37" s="309">
        <f>3+2</f>
        <v>5</v>
      </c>
      <c r="P37" s="292">
        <v>105833</v>
      </c>
      <c r="Q37" s="304"/>
      <c r="R37" s="304"/>
      <c r="S37" s="305"/>
      <c r="T37" s="305"/>
      <c r="U37" s="305"/>
      <c r="V37" s="310">
        <f>69033838/1000</f>
        <v>69033.838000000003</v>
      </c>
      <c r="W37" s="304">
        <v>0</v>
      </c>
      <c r="X37" s="304">
        <v>0</v>
      </c>
      <c r="Y37" s="305"/>
      <c r="Z37" s="304">
        <v>5833</v>
      </c>
      <c r="AA37" s="304"/>
      <c r="AB37" s="304"/>
      <c r="AC37" s="304"/>
      <c r="AD37" s="304">
        <v>2083</v>
      </c>
      <c r="AE37" s="305"/>
      <c r="AF37" s="305"/>
      <c r="AG37" s="65" t="s">
        <v>918</v>
      </c>
      <c r="AH37" s="311">
        <v>2017000030037</v>
      </c>
      <c r="AI37" s="312">
        <v>42</v>
      </c>
      <c r="AJ37" s="65" t="s">
        <v>600</v>
      </c>
      <c r="AK37" s="293"/>
      <c r="AL37" s="315">
        <f>+V37</f>
        <v>69033.838000000003</v>
      </c>
      <c r="AM37" s="293"/>
      <c r="AN37" s="291" t="s">
        <v>200</v>
      </c>
      <c r="AO37" s="291" t="s">
        <v>200</v>
      </c>
      <c r="AP37" s="291" t="s">
        <v>200</v>
      </c>
      <c r="AQ37" s="291" t="s">
        <v>200</v>
      </c>
      <c r="AR37" s="291" t="s">
        <v>200</v>
      </c>
      <c r="AS37" s="291" t="s">
        <v>200</v>
      </c>
      <c r="AT37" s="291" t="s">
        <v>200</v>
      </c>
      <c r="AU37" s="293"/>
      <c r="AV37" s="293"/>
      <c r="AW37" s="293"/>
      <c r="AX37" s="293"/>
      <c r="AY37" s="293"/>
      <c r="AZ37" s="293"/>
      <c r="BA37" s="293"/>
    </row>
    <row r="38" spans="1:53" ht="285" x14ac:dyDescent="0.25">
      <c r="A38" s="33" t="s">
        <v>40</v>
      </c>
      <c r="B38" s="65" t="s">
        <v>42</v>
      </c>
      <c r="C38" s="257" t="s">
        <v>609</v>
      </c>
      <c r="D38" s="257" t="s">
        <v>610</v>
      </c>
      <c r="E38" s="258">
        <v>0</v>
      </c>
      <c r="F38" s="34" t="s">
        <v>611</v>
      </c>
      <c r="G38" s="257" t="s">
        <v>612</v>
      </c>
      <c r="H38" s="40" t="s">
        <v>613</v>
      </c>
      <c r="I38" s="40" t="s">
        <v>614</v>
      </c>
      <c r="J38" s="125"/>
      <c r="K38" s="125" t="s">
        <v>185</v>
      </c>
      <c r="L38" s="125">
        <v>4</v>
      </c>
      <c r="M38" s="291">
        <v>0</v>
      </c>
      <c r="N38" s="65" t="s">
        <v>615</v>
      </c>
      <c r="O38" s="291">
        <v>4</v>
      </c>
      <c r="P38" s="292">
        <v>137713</v>
      </c>
      <c r="Q38" s="303">
        <v>0</v>
      </c>
      <c r="R38" s="304"/>
      <c r="S38" s="305"/>
      <c r="T38" s="305"/>
      <c r="U38" s="305"/>
      <c r="V38" s="316">
        <v>0</v>
      </c>
      <c r="W38" s="304">
        <v>0</v>
      </c>
      <c r="X38" s="304">
        <v>0</v>
      </c>
      <c r="Y38" s="305"/>
      <c r="Z38" s="304">
        <v>0</v>
      </c>
      <c r="AA38" s="304">
        <v>0</v>
      </c>
      <c r="AB38" s="304"/>
      <c r="AC38" s="304">
        <v>0</v>
      </c>
      <c r="AD38" s="304">
        <v>0</v>
      </c>
      <c r="AE38" s="305"/>
      <c r="AF38" s="306"/>
      <c r="AG38" s="293"/>
      <c r="AH38" s="293"/>
      <c r="AI38" s="293"/>
      <c r="AJ38" s="293"/>
      <c r="AK38" s="293"/>
      <c r="AL38" s="293"/>
      <c r="AM38" s="293"/>
      <c r="AN38" s="293"/>
      <c r="AO38" s="293"/>
      <c r="AP38" s="293"/>
      <c r="AQ38" s="293"/>
      <c r="AR38" s="293"/>
      <c r="AS38" s="293"/>
      <c r="AT38" s="293"/>
      <c r="AU38" s="293"/>
      <c r="AV38" s="293"/>
      <c r="AW38" s="293"/>
      <c r="AX38" s="293"/>
      <c r="AY38" s="293"/>
      <c r="AZ38" s="293"/>
      <c r="BA38" s="293"/>
    </row>
    <row r="39" spans="1:53" ht="285" x14ac:dyDescent="0.25">
      <c r="A39" s="33" t="s">
        <v>40</v>
      </c>
      <c r="B39" s="65" t="s">
        <v>42</v>
      </c>
      <c r="C39" s="257"/>
      <c r="D39" s="257"/>
      <c r="E39" s="258"/>
      <c r="F39" s="34" t="s">
        <v>611</v>
      </c>
      <c r="G39" s="257"/>
      <c r="H39" s="40" t="s">
        <v>616</v>
      </c>
      <c r="I39" s="40" t="s">
        <v>617</v>
      </c>
      <c r="J39" s="125">
        <v>0</v>
      </c>
      <c r="K39" s="125" t="s">
        <v>185</v>
      </c>
      <c r="L39" s="125">
        <v>4</v>
      </c>
      <c r="M39" s="291">
        <v>4</v>
      </c>
      <c r="N39" s="65" t="s">
        <v>617</v>
      </c>
      <c r="O39" s="291">
        <v>4</v>
      </c>
      <c r="P39" s="292">
        <v>96400</v>
      </c>
      <c r="Q39" s="317">
        <f>+(2520000+1765984)/1000</f>
        <v>4285.9840000000004</v>
      </c>
      <c r="R39" s="304"/>
      <c r="S39" s="305"/>
      <c r="T39" s="305"/>
      <c r="U39" s="305"/>
      <c r="V39" s="316">
        <v>0</v>
      </c>
      <c r="W39" s="304">
        <v>0</v>
      </c>
      <c r="X39" s="304">
        <v>0</v>
      </c>
      <c r="Y39" s="305"/>
      <c r="Z39" s="304">
        <v>0</v>
      </c>
      <c r="AA39" s="304">
        <v>0</v>
      </c>
      <c r="AB39" s="304"/>
      <c r="AC39" s="304">
        <v>0</v>
      </c>
      <c r="AD39" s="304">
        <f>25000000/1000</f>
        <v>25000</v>
      </c>
      <c r="AE39" s="305"/>
      <c r="AF39" s="306"/>
      <c r="AG39" s="65" t="s">
        <v>618</v>
      </c>
      <c r="AH39" s="318">
        <v>2019003190042</v>
      </c>
      <c r="AI39" s="65" t="s">
        <v>619</v>
      </c>
      <c r="AJ39" s="65" t="s">
        <v>620</v>
      </c>
      <c r="AK39" s="65" t="s">
        <v>621</v>
      </c>
      <c r="AL39" s="319">
        <f>+(2520000+1765984)/1000</f>
        <v>4285.9840000000004</v>
      </c>
      <c r="AM39" s="65" t="s">
        <v>622</v>
      </c>
      <c r="AN39" s="293"/>
      <c r="AO39" s="293"/>
      <c r="AP39" s="293"/>
      <c r="AQ39" s="293"/>
      <c r="AR39" s="293"/>
      <c r="AS39" s="293"/>
      <c r="AT39" s="293"/>
      <c r="AU39" s="293"/>
      <c r="AV39" s="293"/>
      <c r="AW39" s="293"/>
      <c r="AX39" s="293"/>
      <c r="AY39" s="293"/>
      <c r="AZ39" s="293"/>
      <c r="BA39" s="293"/>
    </row>
    <row r="40" spans="1:53" ht="315" x14ac:dyDescent="0.25">
      <c r="A40" s="33" t="s">
        <v>40</v>
      </c>
      <c r="B40" s="65" t="s">
        <v>42</v>
      </c>
      <c r="C40" s="257"/>
      <c r="D40" s="257"/>
      <c r="E40" s="258"/>
      <c r="F40" s="34" t="s">
        <v>611</v>
      </c>
      <c r="G40" s="257"/>
      <c r="H40" s="40" t="s">
        <v>623</v>
      </c>
      <c r="I40" s="40" t="s">
        <v>624</v>
      </c>
      <c r="J40" s="125">
        <v>0</v>
      </c>
      <c r="K40" s="125" t="s">
        <v>185</v>
      </c>
      <c r="L40" s="125">
        <v>2</v>
      </c>
      <c r="M40" s="291">
        <v>0</v>
      </c>
      <c r="N40" s="65" t="s">
        <v>624</v>
      </c>
      <c r="O40" s="291">
        <v>1</v>
      </c>
      <c r="P40" s="320">
        <v>147504</v>
      </c>
      <c r="Q40" s="303">
        <v>0</v>
      </c>
      <c r="R40" s="304"/>
      <c r="S40" s="305"/>
      <c r="T40" s="305"/>
      <c r="U40" s="305"/>
      <c r="V40" s="316">
        <v>0</v>
      </c>
      <c r="W40" s="304">
        <v>0</v>
      </c>
      <c r="X40" s="304">
        <v>0</v>
      </c>
      <c r="Y40" s="305"/>
      <c r="Z40" s="304">
        <v>0</v>
      </c>
      <c r="AA40" s="304">
        <v>0</v>
      </c>
      <c r="AB40" s="304"/>
      <c r="AC40" s="304">
        <v>0</v>
      </c>
      <c r="AD40" s="304">
        <v>0</v>
      </c>
      <c r="AE40" s="305"/>
      <c r="AF40" s="306"/>
      <c r="AG40" s="293"/>
      <c r="AH40" s="293"/>
      <c r="AI40" s="293"/>
      <c r="AJ40" s="293"/>
      <c r="AK40" s="293"/>
      <c r="AL40" s="293"/>
      <c r="AM40" s="293"/>
      <c r="AN40" s="293"/>
      <c r="AO40" s="293"/>
      <c r="AP40" s="293"/>
      <c r="AQ40" s="293"/>
      <c r="AR40" s="293"/>
      <c r="AS40" s="293"/>
      <c r="AT40" s="293"/>
      <c r="AU40" s="293"/>
      <c r="AV40" s="293"/>
      <c r="AW40" s="293"/>
      <c r="AX40" s="293"/>
      <c r="AY40" s="293"/>
      <c r="AZ40" s="293"/>
      <c r="BA40" s="293"/>
    </row>
    <row r="41" spans="1:53" ht="330" x14ac:dyDescent="0.25">
      <c r="A41" s="33" t="s">
        <v>40</v>
      </c>
      <c r="B41" s="65" t="s">
        <v>42</v>
      </c>
      <c r="C41" s="257"/>
      <c r="D41" s="257"/>
      <c r="E41" s="258"/>
      <c r="F41" s="34" t="s">
        <v>611</v>
      </c>
      <c r="G41" s="257"/>
      <c r="H41" s="40" t="s">
        <v>625</v>
      </c>
      <c r="I41" s="40" t="s">
        <v>626</v>
      </c>
      <c r="J41" s="125">
        <v>0</v>
      </c>
      <c r="K41" s="125" t="s">
        <v>185</v>
      </c>
      <c r="L41" s="307">
        <v>4000</v>
      </c>
      <c r="M41" s="291">
        <v>102</v>
      </c>
      <c r="N41" s="65" t="s">
        <v>626</v>
      </c>
      <c r="O41" s="291">
        <f>480+2208+1606</f>
        <v>4294</v>
      </c>
      <c r="P41" s="292">
        <v>172141</v>
      </c>
      <c r="Q41" s="303">
        <f>+(141425456-4285984)/1000</f>
        <v>137139.47200000001</v>
      </c>
      <c r="R41" s="304"/>
      <c r="S41" s="305"/>
      <c r="T41" s="305"/>
      <c r="U41" s="305"/>
      <c r="V41" s="316"/>
      <c r="W41" s="304">
        <v>0</v>
      </c>
      <c r="X41" s="304">
        <v>0</v>
      </c>
      <c r="Y41" s="305"/>
      <c r="Z41" s="304"/>
      <c r="AA41" s="304"/>
      <c r="AB41" s="304"/>
      <c r="AC41" s="304"/>
      <c r="AD41" s="304">
        <v>8571</v>
      </c>
      <c r="AE41" s="305"/>
      <c r="AF41" s="318"/>
      <c r="AG41" s="65" t="s">
        <v>618</v>
      </c>
      <c r="AH41" s="318">
        <v>2019003190042</v>
      </c>
      <c r="AI41" s="65" t="s">
        <v>627</v>
      </c>
      <c r="AJ41" s="65" t="s">
        <v>628</v>
      </c>
      <c r="AK41" s="65" t="s">
        <v>927</v>
      </c>
      <c r="AL41" s="319">
        <f>155854256/1000</f>
        <v>155854.25599999999</v>
      </c>
      <c r="AM41" s="65" t="s">
        <v>928</v>
      </c>
      <c r="AN41" s="125"/>
      <c r="AO41" s="125"/>
      <c r="AP41" s="125" t="s">
        <v>202</v>
      </c>
      <c r="AQ41" s="125" t="s">
        <v>202</v>
      </c>
      <c r="AR41" s="125" t="s">
        <v>202</v>
      </c>
      <c r="AS41" s="125" t="s">
        <v>202</v>
      </c>
      <c r="AT41" s="125" t="s">
        <v>202</v>
      </c>
      <c r="AU41" s="125" t="s">
        <v>202</v>
      </c>
      <c r="AV41" s="125" t="s">
        <v>202</v>
      </c>
      <c r="AW41" s="125" t="s">
        <v>202</v>
      </c>
      <c r="AX41" s="125" t="s">
        <v>202</v>
      </c>
      <c r="AY41" s="125" t="s">
        <v>202</v>
      </c>
      <c r="AZ41" s="65" t="s">
        <v>929</v>
      </c>
      <c r="BA41" s="43" t="s">
        <v>930</v>
      </c>
    </row>
    <row r="42" spans="1:53" ht="240" x14ac:dyDescent="0.25">
      <c r="A42" s="33" t="s">
        <v>40</v>
      </c>
      <c r="B42" s="65" t="s">
        <v>42</v>
      </c>
      <c r="C42" s="257"/>
      <c r="D42" s="257"/>
      <c r="E42" s="258"/>
      <c r="F42" s="34" t="s">
        <v>611</v>
      </c>
      <c r="G42" s="257" t="s">
        <v>629</v>
      </c>
      <c r="H42" s="35" t="s">
        <v>630</v>
      </c>
      <c r="I42" s="40" t="s">
        <v>631</v>
      </c>
      <c r="J42" s="37">
        <v>0</v>
      </c>
      <c r="K42" s="321" t="s">
        <v>185</v>
      </c>
      <c r="L42" s="37">
        <v>1</v>
      </c>
      <c r="M42" s="41">
        <v>0</v>
      </c>
      <c r="N42" s="40" t="s">
        <v>631</v>
      </c>
      <c r="O42" s="291">
        <f>0.3+0.7</f>
        <v>1</v>
      </c>
      <c r="P42" s="292">
        <v>0</v>
      </c>
      <c r="Q42" s="293"/>
      <c r="R42" s="293"/>
      <c r="S42" s="293"/>
      <c r="T42" s="293"/>
      <c r="U42" s="293"/>
      <c r="V42" s="291"/>
      <c r="W42" s="293"/>
      <c r="X42" s="293"/>
      <c r="Y42" s="293"/>
      <c r="Z42" s="293"/>
      <c r="AA42" s="293"/>
      <c r="AB42" s="293"/>
      <c r="AC42" s="293"/>
      <c r="AD42" s="293"/>
      <c r="AE42" s="293"/>
      <c r="AF42" s="293"/>
      <c r="AG42" s="65"/>
      <c r="AH42" s="318"/>
      <c r="AI42" s="41"/>
      <c r="AJ42" s="65"/>
      <c r="AK42" s="293"/>
      <c r="AL42" s="293"/>
      <c r="AM42" s="65"/>
      <c r="AN42" s="293"/>
      <c r="AO42" s="293"/>
      <c r="AP42" s="293"/>
      <c r="AQ42" s="293"/>
      <c r="AR42" s="293"/>
      <c r="AS42" s="293"/>
      <c r="AT42" s="293"/>
      <c r="AU42" s="293"/>
      <c r="AV42" s="293"/>
      <c r="AW42" s="293"/>
      <c r="AX42" s="293"/>
      <c r="AY42" s="293"/>
      <c r="AZ42" s="293"/>
      <c r="BA42" s="293"/>
    </row>
    <row r="43" spans="1:53" ht="300" x14ac:dyDescent="0.25">
      <c r="A43" s="33" t="s">
        <v>40</v>
      </c>
      <c r="B43" s="65" t="s">
        <v>42</v>
      </c>
      <c r="C43" s="257"/>
      <c r="D43" s="257"/>
      <c r="E43" s="258"/>
      <c r="F43" s="34" t="s">
        <v>611</v>
      </c>
      <c r="G43" s="257"/>
      <c r="H43" s="35" t="s">
        <v>632</v>
      </c>
      <c r="I43" s="35" t="s">
        <v>633</v>
      </c>
      <c r="J43" s="125">
        <v>0</v>
      </c>
      <c r="K43" s="321" t="s">
        <v>185</v>
      </c>
      <c r="L43" s="125">
        <v>2</v>
      </c>
      <c r="M43" s="291">
        <v>1</v>
      </c>
      <c r="N43" s="65" t="s">
        <v>633</v>
      </c>
      <c r="O43" s="291">
        <v>1</v>
      </c>
      <c r="P43" s="292">
        <v>56914</v>
      </c>
      <c r="Q43" s="294">
        <f>108574544/1000</f>
        <v>108574.54399999999</v>
      </c>
      <c r="R43" s="293"/>
      <c r="S43" s="293"/>
      <c r="T43" s="293"/>
      <c r="U43" s="293"/>
      <c r="V43" s="308"/>
      <c r="W43" s="293"/>
      <c r="X43" s="293"/>
      <c r="Y43" s="293"/>
      <c r="Z43" s="304"/>
      <c r="AA43" s="304"/>
      <c r="AB43" s="304"/>
      <c r="AC43" s="304"/>
      <c r="AD43" s="304">
        <f>86380000/1000</f>
        <v>86380</v>
      </c>
      <c r="AE43" s="293"/>
      <c r="AF43" s="294"/>
      <c r="AG43" s="43" t="s">
        <v>634</v>
      </c>
      <c r="AH43" s="318">
        <v>2019003190047</v>
      </c>
      <c r="AI43" s="41" t="s">
        <v>931</v>
      </c>
      <c r="AJ43" s="65" t="s">
        <v>932</v>
      </c>
      <c r="AK43" s="65" t="s">
        <v>635</v>
      </c>
      <c r="AL43" s="294">
        <f>(108574544+86380000)/1000</f>
        <v>194954.54399999999</v>
      </c>
      <c r="AM43" s="65" t="s">
        <v>933</v>
      </c>
      <c r="AN43" s="297"/>
      <c r="AO43" s="297"/>
      <c r="AP43" s="297"/>
      <c r="AQ43" s="297" t="s">
        <v>202</v>
      </c>
      <c r="AR43" s="297" t="s">
        <v>202</v>
      </c>
      <c r="AS43" s="297" t="s">
        <v>202</v>
      </c>
      <c r="AT43" s="297" t="s">
        <v>202</v>
      </c>
      <c r="AU43" s="297" t="s">
        <v>202</v>
      </c>
      <c r="AV43" s="297" t="s">
        <v>202</v>
      </c>
      <c r="AW43" s="297" t="s">
        <v>202</v>
      </c>
      <c r="AX43" s="297" t="s">
        <v>202</v>
      </c>
      <c r="AY43" s="297" t="s">
        <v>202</v>
      </c>
      <c r="AZ43" s="43" t="s">
        <v>934</v>
      </c>
      <c r="BA43" s="43" t="s">
        <v>935</v>
      </c>
    </row>
    <row r="44" spans="1:53" ht="375" x14ac:dyDescent="0.25">
      <c r="A44" s="33" t="s">
        <v>40</v>
      </c>
      <c r="B44" s="65" t="s">
        <v>42</v>
      </c>
      <c r="C44" s="201" t="s">
        <v>636</v>
      </c>
      <c r="D44" s="201" t="s">
        <v>637</v>
      </c>
      <c r="E44" s="201">
        <v>0</v>
      </c>
      <c r="F44" s="34" t="s">
        <v>638</v>
      </c>
      <c r="G44" s="257"/>
      <c r="H44" s="35" t="s">
        <v>639</v>
      </c>
      <c r="I44" s="35" t="s">
        <v>640</v>
      </c>
      <c r="J44" s="125">
        <v>0</v>
      </c>
      <c r="K44" s="321" t="s">
        <v>185</v>
      </c>
      <c r="L44" s="125">
        <v>1</v>
      </c>
      <c r="M44" s="291">
        <v>0.2</v>
      </c>
      <c r="N44" s="65" t="s">
        <v>640</v>
      </c>
      <c r="O44" s="291">
        <f>0.05+0.55+0.2</f>
        <v>0.8</v>
      </c>
      <c r="P44" s="292">
        <v>53864</v>
      </c>
      <c r="Q44" s="293"/>
      <c r="R44" s="293"/>
      <c r="S44" s="293"/>
      <c r="T44" s="293"/>
      <c r="U44" s="293"/>
      <c r="V44" s="303">
        <f>121013912.25/1000</f>
        <v>121013.91224999999</v>
      </c>
      <c r="W44" s="308"/>
      <c r="X44" s="293"/>
      <c r="Y44" s="293"/>
      <c r="Z44" s="304">
        <v>2727</v>
      </c>
      <c r="AA44" s="304"/>
      <c r="AB44" s="304"/>
      <c r="AC44" s="304">
        <v>1705</v>
      </c>
      <c r="AD44" s="305"/>
      <c r="AE44" s="293"/>
      <c r="AF44" s="294"/>
      <c r="AG44" s="65" t="s">
        <v>641</v>
      </c>
      <c r="AH44" s="318">
        <v>2016000030028</v>
      </c>
      <c r="AI44" s="41">
        <v>42</v>
      </c>
      <c r="AJ44" s="65" t="s">
        <v>600</v>
      </c>
      <c r="AK44" s="65" t="s">
        <v>936</v>
      </c>
      <c r="AL44" s="313">
        <f>+V44</f>
        <v>121013.91224999999</v>
      </c>
      <c r="AM44" s="65" t="s">
        <v>642</v>
      </c>
      <c r="AN44" s="297" t="s">
        <v>202</v>
      </c>
      <c r="AO44" s="297" t="s">
        <v>202</v>
      </c>
      <c r="AP44" s="297" t="s">
        <v>202</v>
      </c>
      <c r="AQ44" s="297" t="s">
        <v>202</v>
      </c>
      <c r="AR44" s="297" t="s">
        <v>202</v>
      </c>
      <c r="AS44" s="297" t="s">
        <v>202</v>
      </c>
      <c r="AT44" s="297" t="s">
        <v>202</v>
      </c>
      <c r="AU44" s="297" t="s">
        <v>202</v>
      </c>
      <c r="AV44" s="297" t="s">
        <v>202</v>
      </c>
      <c r="AW44" s="297" t="s">
        <v>202</v>
      </c>
      <c r="AX44" s="297" t="s">
        <v>202</v>
      </c>
      <c r="AY44" s="297" t="s">
        <v>202</v>
      </c>
      <c r="AZ44" s="43" t="s">
        <v>937</v>
      </c>
      <c r="BA44" s="293"/>
    </row>
    <row r="45" spans="1:53" ht="345" x14ac:dyDescent="0.25">
      <c r="A45" s="33" t="s">
        <v>40</v>
      </c>
      <c r="B45" s="65" t="s">
        <v>42</v>
      </c>
      <c r="C45" s="201"/>
      <c r="D45" s="201"/>
      <c r="E45" s="201"/>
      <c r="F45" s="34" t="s">
        <v>638</v>
      </c>
      <c r="G45" s="257"/>
      <c r="H45" s="35" t="s">
        <v>643</v>
      </c>
      <c r="I45" s="35" t="s">
        <v>644</v>
      </c>
      <c r="J45" s="125">
        <v>0</v>
      </c>
      <c r="K45" s="321" t="s">
        <v>185</v>
      </c>
      <c r="L45" s="125">
        <v>1</v>
      </c>
      <c r="M45" s="291">
        <v>0.3</v>
      </c>
      <c r="N45" s="65" t="s">
        <v>644</v>
      </c>
      <c r="O45" s="291">
        <f>0.1+0.2+0.4</f>
        <v>0.70000000000000007</v>
      </c>
      <c r="P45" s="292">
        <v>107727</v>
      </c>
      <c r="Q45" s="293"/>
      <c r="R45" s="293"/>
      <c r="S45" s="293"/>
      <c r="T45" s="293"/>
      <c r="U45" s="293"/>
      <c r="V45" s="294">
        <f>175624374.38/1000</f>
        <v>175624.37437999999</v>
      </c>
      <c r="W45" s="308"/>
      <c r="X45" s="293"/>
      <c r="Y45" s="293"/>
      <c r="Z45" s="304">
        <v>5455</v>
      </c>
      <c r="AA45" s="304"/>
      <c r="AB45" s="304"/>
      <c r="AC45" s="304">
        <v>3409</v>
      </c>
      <c r="AD45" s="305"/>
      <c r="AE45" s="293"/>
      <c r="AF45" s="294"/>
      <c r="AG45" s="65" t="s">
        <v>641</v>
      </c>
      <c r="AH45" s="318">
        <v>2016000030028</v>
      </c>
      <c r="AI45" s="41">
        <v>42</v>
      </c>
      <c r="AJ45" s="65" t="s">
        <v>600</v>
      </c>
      <c r="AK45" s="65" t="s">
        <v>938</v>
      </c>
      <c r="AL45" s="293"/>
      <c r="AM45" s="65" t="s">
        <v>939</v>
      </c>
      <c r="AN45" s="291" t="s">
        <v>202</v>
      </c>
      <c r="AO45" s="291" t="s">
        <v>202</v>
      </c>
      <c r="AP45" s="291" t="s">
        <v>202</v>
      </c>
      <c r="AQ45" s="291" t="s">
        <v>202</v>
      </c>
      <c r="AR45" s="291" t="s">
        <v>202</v>
      </c>
      <c r="AS45" s="291" t="s">
        <v>202</v>
      </c>
      <c r="AT45" s="291" t="s">
        <v>202</v>
      </c>
      <c r="AU45" s="291" t="s">
        <v>202</v>
      </c>
      <c r="AV45" s="291" t="s">
        <v>202</v>
      </c>
      <c r="AW45" s="291" t="s">
        <v>202</v>
      </c>
      <c r="AX45" s="291" t="s">
        <v>202</v>
      </c>
      <c r="AY45" s="291" t="s">
        <v>202</v>
      </c>
      <c r="AZ45" s="43" t="s">
        <v>940</v>
      </c>
      <c r="BA45" s="293"/>
    </row>
    <row r="46" spans="1:53" ht="300" x14ac:dyDescent="0.25">
      <c r="A46" s="33" t="s">
        <v>40</v>
      </c>
      <c r="B46" s="65" t="s">
        <v>42</v>
      </c>
      <c r="C46" s="201"/>
      <c r="D46" s="201"/>
      <c r="E46" s="201"/>
      <c r="F46" s="34" t="s">
        <v>638</v>
      </c>
      <c r="G46" s="257"/>
      <c r="H46" s="35" t="s">
        <v>645</v>
      </c>
      <c r="I46" s="35" t="s">
        <v>646</v>
      </c>
      <c r="J46" s="125">
        <v>0</v>
      </c>
      <c r="K46" s="321" t="s">
        <v>185</v>
      </c>
      <c r="L46" s="125">
        <v>4</v>
      </c>
      <c r="M46" s="291">
        <v>1</v>
      </c>
      <c r="N46" s="35" t="s">
        <v>646</v>
      </c>
      <c r="O46" s="291">
        <f>1+2</f>
        <v>3</v>
      </c>
      <c r="P46" s="292">
        <v>377045</v>
      </c>
      <c r="Q46" s="293"/>
      <c r="R46" s="293"/>
      <c r="S46" s="293"/>
      <c r="T46" s="293"/>
      <c r="U46" s="293"/>
      <c r="V46" s="300">
        <f>118727560.25/1000</f>
        <v>118727.56024999999</v>
      </c>
      <c r="W46" s="308"/>
      <c r="X46" s="293"/>
      <c r="Y46" s="293"/>
      <c r="Z46" s="304">
        <f>19091</f>
        <v>19091</v>
      </c>
      <c r="AA46" s="304"/>
      <c r="AB46" s="304"/>
      <c r="AC46" s="304">
        <v>11932</v>
      </c>
      <c r="AD46" s="305"/>
      <c r="AE46" s="293"/>
      <c r="AF46" s="294"/>
      <c r="AG46" s="65" t="s">
        <v>641</v>
      </c>
      <c r="AH46" s="318">
        <v>2016000030028</v>
      </c>
      <c r="AI46" s="41">
        <v>42</v>
      </c>
      <c r="AJ46" s="65" t="s">
        <v>600</v>
      </c>
      <c r="AK46" s="65" t="s">
        <v>936</v>
      </c>
      <c r="AL46" s="294">
        <f>+V46</f>
        <v>118727.56024999999</v>
      </c>
      <c r="AM46" s="43" t="s">
        <v>647</v>
      </c>
      <c r="AN46" s="291" t="s">
        <v>202</v>
      </c>
      <c r="AO46" s="291" t="s">
        <v>202</v>
      </c>
      <c r="AP46" s="291" t="s">
        <v>202</v>
      </c>
      <c r="AQ46" s="291" t="s">
        <v>202</v>
      </c>
      <c r="AR46" s="291" t="s">
        <v>202</v>
      </c>
      <c r="AS46" s="291" t="s">
        <v>202</v>
      </c>
      <c r="AT46" s="291" t="s">
        <v>202</v>
      </c>
      <c r="AU46" s="291" t="s">
        <v>202</v>
      </c>
      <c r="AV46" s="291" t="s">
        <v>202</v>
      </c>
      <c r="AW46" s="291" t="s">
        <v>202</v>
      </c>
      <c r="AX46" s="291" t="s">
        <v>202</v>
      </c>
      <c r="AY46" s="291" t="s">
        <v>202</v>
      </c>
      <c r="AZ46" s="43" t="s">
        <v>940</v>
      </c>
      <c r="BA46" s="293"/>
    </row>
    <row r="47" spans="1:53" ht="240" x14ac:dyDescent="0.25">
      <c r="A47" s="33" t="s">
        <v>40</v>
      </c>
      <c r="B47" s="65" t="s">
        <v>42</v>
      </c>
      <c r="C47" s="201"/>
      <c r="D47" s="201"/>
      <c r="E47" s="201"/>
      <c r="F47" s="34" t="s">
        <v>638</v>
      </c>
      <c r="G47" s="257"/>
      <c r="H47" s="35" t="s">
        <v>648</v>
      </c>
      <c r="I47" s="35" t="s">
        <v>649</v>
      </c>
      <c r="J47" s="125">
        <v>0</v>
      </c>
      <c r="K47" s="321" t="s">
        <v>185</v>
      </c>
      <c r="L47" s="125">
        <v>1</v>
      </c>
      <c r="M47" s="291">
        <v>0.25</v>
      </c>
      <c r="N47" s="35" t="s">
        <v>649</v>
      </c>
      <c r="O47" s="291">
        <f>0.25+0.25+0.25</f>
        <v>0.75</v>
      </c>
      <c r="P47" s="292">
        <v>251364</v>
      </c>
      <c r="Q47" s="293"/>
      <c r="R47" s="293"/>
      <c r="S47" s="293"/>
      <c r="T47" s="293"/>
      <c r="U47" s="293"/>
      <c r="V47" s="294">
        <f>96985788.13/1000</f>
        <v>96985.788130000001</v>
      </c>
      <c r="W47" s="308"/>
      <c r="X47" s="293"/>
      <c r="Y47" s="293"/>
      <c r="Z47" s="304">
        <v>12727</v>
      </c>
      <c r="AA47" s="304">
        <v>15909</v>
      </c>
      <c r="AB47" s="304"/>
      <c r="AC47" s="304">
        <v>7955</v>
      </c>
      <c r="AD47" s="305"/>
      <c r="AE47" s="293"/>
      <c r="AF47" s="294"/>
      <c r="AG47" s="65" t="s">
        <v>641</v>
      </c>
      <c r="AH47" s="318">
        <v>2016000030028</v>
      </c>
      <c r="AI47" s="41">
        <v>42</v>
      </c>
      <c r="AJ47" s="65" t="s">
        <v>600</v>
      </c>
      <c r="AK47" s="65" t="s">
        <v>936</v>
      </c>
      <c r="AL47" s="322">
        <f>+V47</f>
        <v>96985.788130000001</v>
      </c>
      <c r="AM47" s="65" t="s">
        <v>941</v>
      </c>
      <c r="AN47" s="291" t="s">
        <v>202</v>
      </c>
      <c r="AO47" s="291" t="s">
        <v>202</v>
      </c>
      <c r="AP47" s="291" t="s">
        <v>202</v>
      </c>
      <c r="AQ47" s="291" t="s">
        <v>202</v>
      </c>
      <c r="AR47" s="291" t="s">
        <v>202</v>
      </c>
      <c r="AS47" s="291" t="s">
        <v>202</v>
      </c>
      <c r="AT47" s="291" t="s">
        <v>202</v>
      </c>
      <c r="AU47" s="291" t="s">
        <v>202</v>
      </c>
      <c r="AV47" s="291" t="s">
        <v>202</v>
      </c>
      <c r="AW47" s="291" t="s">
        <v>202</v>
      </c>
      <c r="AX47" s="291" t="s">
        <v>202</v>
      </c>
      <c r="AY47" s="291" t="s">
        <v>202</v>
      </c>
      <c r="AZ47" s="43" t="s">
        <v>937</v>
      </c>
      <c r="BA47" s="293"/>
    </row>
    <row r="48" spans="1:53" ht="360" x14ac:dyDescent="0.25">
      <c r="A48" s="33" t="s">
        <v>40</v>
      </c>
      <c r="B48" s="65" t="s">
        <v>42</v>
      </c>
      <c r="C48" s="257" t="s">
        <v>650</v>
      </c>
      <c r="D48" s="257" t="s">
        <v>651</v>
      </c>
      <c r="E48" s="258">
        <v>0</v>
      </c>
      <c r="F48" s="34" t="s">
        <v>652</v>
      </c>
      <c r="G48" s="257" t="s">
        <v>653</v>
      </c>
      <c r="H48" s="35" t="s">
        <v>654</v>
      </c>
      <c r="I48" s="35" t="s">
        <v>655</v>
      </c>
      <c r="J48" s="125">
        <v>0</v>
      </c>
      <c r="K48" s="321" t="s">
        <v>185</v>
      </c>
      <c r="L48" s="125">
        <v>4</v>
      </c>
      <c r="M48" s="291">
        <v>1</v>
      </c>
      <c r="N48" s="35" t="s">
        <v>655</v>
      </c>
      <c r="O48" s="291">
        <v>3</v>
      </c>
      <c r="P48" s="292">
        <v>199383</v>
      </c>
      <c r="Q48" s="323">
        <f>38967000/1000</f>
        <v>38967</v>
      </c>
      <c r="R48" s="304"/>
      <c r="S48" s="305"/>
      <c r="T48" s="305"/>
      <c r="U48" s="305"/>
      <c r="V48" s="304">
        <v>137500</v>
      </c>
      <c r="W48" s="304">
        <v>0</v>
      </c>
      <c r="X48" s="304">
        <v>0</v>
      </c>
      <c r="Y48" s="305"/>
      <c r="Z48" s="304">
        <v>27500</v>
      </c>
      <c r="AA48" s="304">
        <v>12898</v>
      </c>
      <c r="AB48" s="304"/>
      <c r="AC48" s="304">
        <v>4297</v>
      </c>
      <c r="AD48" s="304">
        <v>4297</v>
      </c>
      <c r="AE48" s="305"/>
      <c r="AF48" s="294"/>
      <c r="AG48" s="324" t="s">
        <v>656</v>
      </c>
      <c r="AH48" s="293" t="s">
        <v>657</v>
      </c>
      <c r="AI48" s="65" t="s">
        <v>658</v>
      </c>
      <c r="AJ48" s="43" t="s">
        <v>659</v>
      </c>
      <c r="AK48" s="293">
        <v>550</v>
      </c>
      <c r="AL48" s="292">
        <f t="shared" ref="AL48:AL53" si="1">+Q48</f>
        <v>38967</v>
      </c>
      <c r="AM48" s="329" t="s">
        <v>660</v>
      </c>
      <c r="AN48" s="291" t="s">
        <v>202</v>
      </c>
      <c r="AO48" s="291" t="s">
        <v>202</v>
      </c>
      <c r="AP48" s="291" t="s">
        <v>202</v>
      </c>
      <c r="AQ48" s="291" t="s">
        <v>202</v>
      </c>
      <c r="AR48" s="291" t="s">
        <v>202</v>
      </c>
      <c r="AS48" s="291" t="s">
        <v>202</v>
      </c>
      <c r="AT48" s="291" t="s">
        <v>202</v>
      </c>
      <c r="AU48" s="291" t="s">
        <v>202</v>
      </c>
      <c r="AV48" s="291" t="s">
        <v>202</v>
      </c>
      <c r="AW48" s="291" t="s">
        <v>202</v>
      </c>
      <c r="AX48" s="291" t="s">
        <v>202</v>
      </c>
      <c r="AY48" s="291" t="s">
        <v>202</v>
      </c>
      <c r="AZ48" s="43" t="s">
        <v>942</v>
      </c>
      <c r="BA48" s="65" t="s">
        <v>661</v>
      </c>
    </row>
    <row r="49" spans="1:53" ht="360" x14ac:dyDescent="0.25">
      <c r="A49" s="33" t="s">
        <v>40</v>
      </c>
      <c r="B49" s="65" t="s">
        <v>42</v>
      </c>
      <c r="C49" s="257"/>
      <c r="D49" s="257"/>
      <c r="E49" s="258"/>
      <c r="F49" s="34" t="s">
        <v>652</v>
      </c>
      <c r="G49" s="257"/>
      <c r="H49" s="35" t="s">
        <v>662</v>
      </c>
      <c r="I49" s="35" t="s">
        <v>663</v>
      </c>
      <c r="J49" s="125">
        <v>0</v>
      </c>
      <c r="K49" s="125" t="s">
        <v>185</v>
      </c>
      <c r="L49" s="125">
        <v>4</v>
      </c>
      <c r="M49" s="291">
        <v>1</v>
      </c>
      <c r="N49" s="35" t="s">
        <v>663</v>
      </c>
      <c r="O49" s="291">
        <v>3</v>
      </c>
      <c r="P49" s="292">
        <v>199373</v>
      </c>
      <c r="Q49" s="323">
        <f>38967000/1000</f>
        <v>38967</v>
      </c>
      <c r="R49" s="293"/>
      <c r="S49" s="293"/>
      <c r="T49" s="293"/>
      <c r="U49" s="293"/>
      <c r="V49" s="304">
        <v>137500</v>
      </c>
      <c r="W49" s="304">
        <v>0</v>
      </c>
      <c r="X49" s="304">
        <v>0</v>
      </c>
      <c r="Y49" s="305"/>
      <c r="Z49" s="304">
        <v>27500</v>
      </c>
      <c r="AA49" s="304">
        <v>12888</v>
      </c>
      <c r="AB49" s="304"/>
      <c r="AC49" s="304">
        <v>4297</v>
      </c>
      <c r="AD49" s="304">
        <v>4297</v>
      </c>
      <c r="AE49" s="325"/>
      <c r="AF49" s="306"/>
      <c r="AG49" s="324" t="s">
        <v>656</v>
      </c>
      <c r="AH49" s="318">
        <v>2019003190016</v>
      </c>
      <c r="AI49" s="65" t="s">
        <v>658</v>
      </c>
      <c r="AJ49" s="43" t="s">
        <v>659</v>
      </c>
      <c r="AK49" s="125">
        <v>550</v>
      </c>
      <c r="AL49" s="292">
        <f t="shared" si="1"/>
        <v>38967</v>
      </c>
      <c r="AM49" s="329" t="s">
        <v>660</v>
      </c>
      <c r="AN49" s="291" t="s">
        <v>202</v>
      </c>
      <c r="AO49" s="291" t="s">
        <v>202</v>
      </c>
      <c r="AP49" s="291" t="s">
        <v>202</v>
      </c>
      <c r="AQ49" s="291" t="s">
        <v>202</v>
      </c>
      <c r="AR49" s="291" t="s">
        <v>202</v>
      </c>
      <c r="AS49" s="291" t="s">
        <v>202</v>
      </c>
      <c r="AT49" s="291" t="s">
        <v>202</v>
      </c>
      <c r="AU49" s="291" t="s">
        <v>202</v>
      </c>
      <c r="AV49" s="291" t="s">
        <v>202</v>
      </c>
      <c r="AW49" s="291" t="s">
        <v>202</v>
      </c>
      <c r="AX49" s="291" t="s">
        <v>202</v>
      </c>
      <c r="AY49" s="291" t="s">
        <v>202</v>
      </c>
      <c r="AZ49" s="43" t="s">
        <v>942</v>
      </c>
      <c r="BA49" s="65" t="s">
        <v>661</v>
      </c>
    </row>
    <row r="50" spans="1:53" ht="360" x14ac:dyDescent="0.25">
      <c r="A50" s="33" t="s">
        <v>40</v>
      </c>
      <c r="B50" s="65" t="s">
        <v>42</v>
      </c>
      <c r="C50" s="257"/>
      <c r="D50" s="257"/>
      <c r="E50" s="258"/>
      <c r="F50" s="34" t="s">
        <v>652</v>
      </c>
      <c r="G50" s="257"/>
      <c r="H50" s="35" t="s">
        <v>664</v>
      </c>
      <c r="I50" s="35" t="s">
        <v>665</v>
      </c>
      <c r="J50" s="125">
        <v>0</v>
      </c>
      <c r="K50" s="125" t="s">
        <v>185</v>
      </c>
      <c r="L50" s="125">
        <v>4</v>
      </c>
      <c r="M50" s="291">
        <v>1</v>
      </c>
      <c r="N50" s="35" t="s">
        <v>665</v>
      </c>
      <c r="O50" s="291">
        <v>3</v>
      </c>
      <c r="P50" s="292">
        <v>199373</v>
      </c>
      <c r="Q50" s="323">
        <f>59703000/1000</f>
        <v>59703</v>
      </c>
      <c r="R50" s="293"/>
      <c r="S50" s="293"/>
      <c r="T50" s="293"/>
      <c r="U50" s="293"/>
      <c r="V50" s="304">
        <v>137500</v>
      </c>
      <c r="W50" s="304">
        <v>0</v>
      </c>
      <c r="X50" s="304">
        <v>0</v>
      </c>
      <c r="Y50" s="305"/>
      <c r="Z50" s="304">
        <v>27500</v>
      </c>
      <c r="AA50" s="304">
        <v>12888</v>
      </c>
      <c r="AB50" s="304"/>
      <c r="AC50" s="304">
        <v>4297</v>
      </c>
      <c r="AD50" s="304">
        <v>4297</v>
      </c>
      <c r="AE50" s="305"/>
      <c r="AF50" s="306"/>
      <c r="AG50" s="324" t="s">
        <v>656</v>
      </c>
      <c r="AH50" s="318">
        <v>2019003190016</v>
      </c>
      <c r="AI50" s="65" t="s">
        <v>658</v>
      </c>
      <c r="AJ50" s="43" t="s">
        <v>659</v>
      </c>
      <c r="AK50" s="125">
        <v>550</v>
      </c>
      <c r="AL50" s="292">
        <f t="shared" si="1"/>
        <v>59703</v>
      </c>
      <c r="AM50" s="329" t="s">
        <v>660</v>
      </c>
      <c r="AN50" s="291" t="s">
        <v>202</v>
      </c>
      <c r="AO50" s="291" t="s">
        <v>202</v>
      </c>
      <c r="AP50" s="291" t="s">
        <v>202</v>
      </c>
      <c r="AQ50" s="291" t="s">
        <v>202</v>
      </c>
      <c r="AR50" s="291" t="s">
        <v>202</v>
      </c>
      <c r="AS50" s="291" t="s">
        <v>202</v>
      </c>
      <c r="AT50" s="291" t="s">
        <v>202</v>
      </c>
      <c r="AU50" s="291" t="s">
        <v>202</v>
      </c>
      <c r="AV50" s="291" t="s">
        <v>202</v>
      </c>
      <c r="AW50" s="291" t="s">
        <v>202</v>
      </c>
      <c r="AX50" s="291" t="s">
        <v>202</v>
      </c>
      <c r="AY50" s="291" t="s">
        <v>202</v>
      </c>
      <c r="AZ50" s="43" t="s">
        <v>942</v>
      </c>
      <c r="BA50" s="65" t="s">
        <v>661</v>
      </c>
    </row>
    <row r="51" spans="1:53" ht="360" x14ac:dyDescent="0.25">
      <c r="A51" s="33" t="s">
        <v>40</v>
      </c>
      <c r="B51" s="65" t="s">
        <v>42</v>
      </c>
      <c r="C51" s="257"/>
      <c r="D51" s="257"/>
      <c r="E51" s="258"/>
      <c r="F51" s="34" t="s">
        <v>652</v>
      </c>
      <c r="G51" s="257"/>
      <c r="H51" s="40" t="s">
        <v>666</v>
      </c>
      <c r="I51" s="40" t="s">
        <v>667</v>
      </c>
      <c r="J51" s="125">
        <v>0</v>
      </c>
      <c r="K51" s="125" t="s">
        <v>185</v>
      </c>
      <c r="L51" s="125">
        <v>4</v>
      </c>
      <c r="M51" s="291">
        <v>1</v>
      </c>
      <c r="N51" s="40" t="s">
        <v>667</v>
      </c>
      <c r="O51" s="291">
        <v>3</v>
      </c>
      <c r="P51" s="292">
        <v>199373</v>
      </c>
      <c r="Q51" s="323">
        <f>59703000/1000</f>
        <v>59703</v>
      </c>
      <c r="R51" s="293"/>
      <c r="S51" s="293"/>
      <c r="T51" s="293"/>
      <c r="U51" s="293"/>
      <c r="V51" s="304">
        <v>137500</v>
      </c>
      <c r="W51" s="304">
        <v>0</v>
      </c>
      <c r="X51" s="304">
        <v>0</v>
      </c>
      <c r="Y51" s="305"/>
      <c r="Z51" s="304">
        <v>27500</v>
      </c>
      <c r="AA51" s="304">
        <v>12888</v>
      </c>
      <c r="AB51" s="304"/>
      <c r="AC51" s="304">
        <v>4297</v>
      </c>
      <c r="AD51" s="304">
        <v>4297</v>
      </c>
      <c r="AE51" s="305"/>
      <c r="AF51" s="315"/>
      <c r="AG51" s="324" t="s">
        <v>656</v>
      </c>
      <c r="AH51" s="318">
        <v>2019003190016</v>
      </c>
      <c r="AI51" s="65" t="s">
        <v>658</v>
      </c>
      <c r="AJ51" s="43" t="s">
        <v>659</v>
      </c>
      <c r="AK51" s="125">
        <v>1100</v>
      </c>
      <c r="AL51" s="292">
        <f t="shared" si="1"/>
        <v>59703</v>
      </c>
      <c r="AM51" s="329" t="s">
        <v>660</v>
      </c>
      <c r="AN51" s="291" t="s">
        <v>202</v>
      </c>
      <c r="AO51" s="291" t="s">
        <v>202</v>
      </c>
      <c r="AP51" s="291" t="s">
        <v>202</v>
      </c>
      <c r="AQ51" s="291" t="s">
        <v>202</v>
      </c>
      <c r="AR51" s="291" t="s">
        <v>202</v>
      </c>
      <c r="AS51" s="291" t="s">
        <v>202</v>
      </c>
      <c r="AT51" s="291" t="s">
        <v>202</v>
      </c>
      <c r="AU51" s="291" t="s">
        <v>202</v>
      </c>
      <c r="AV51" s="291" t="s">
        <v>202</v>
      </c>
      <c r="AW51" s="291" t="s">
        <v>202</v>
      </c>
      <c r="AX51" s="291" t="s">
        <v>202</v>
      </c>
      <c r="AY51" s="291" t="s">
        <v>202</v>
      </c>
      <c r="AZ51" s="43" t="s">
        <v>942</v>
      </c>
      <c r="BA51" s="65" t="s">
        <v>661</v>
      </c>
    </row>
    <row r="52" spans="1:53" ht="300" x14ac:dyDescent="0.25">
      <c r="A52" s="33" t="s">
        <v>40</v>
      </c>
      <c r="B52" s="65" t="s">
        <v>42</v>
      </c>
      <c r="C52" s="257"/>
      <c r="D52" s="257"/>
      <c r="E52" s="258"/>
      <c r="F52" s="34" t="s">
        <v>652</v>
      </c>
      <c r="G52" s="257"/>
      <c r="H52" s="40" t="s">
        <v>668</v>
      </c>
      <c r="I52" s="40" t="s">
        <v>669</v>
      </c>
      <c r="J52" s="125">
        <v>0</v>
      </c>
      <c r="K52" s="125" t="s">
        <v>185</v>
      </c>
      <c r="L52" s="125">
        <v>7</v>
      </c>
      <c r="M52" s="291">
        <v>1</v>
      </c>
      <c r="N52" s="40" t="s">
        <v>669</v>
      </c>
      <c r="O52" s="291">
        <v>6</v>
      </c>
      <c r="P52" s="292">
        <v>253748</v>
      </c>
      <c r="Q52" s="326">
        <f>(4960000+666400)/1000</f>
        <v>5626.4</v>
      </c>
      <c r="R52" s="293"/>
      <c r="S52" s="293"/>
      <c r="T52" s="293"/>
      <c r="U52" s="293"/>
      <c r="V52" s="304">
        <v>175000</v>
      </c>
      <c r="W52" s="304">
        <v>0</v>
      </c>
      <c r="X52" s="304">
        <v>0</v>
      </c>
      <c r="Y52" s="305"/>
      <c r="Z52" s="304">
        <v>35000</v>
      </c>
      <c r="AA52" s="304">
        <v>16404</v>
      </c>
      <c r="AB52" s="304"/>
      <c r="AC52" s="304">
        <v>5469</v>
      </c>
      <c r="AD52" s="304">
        <v>5469</v>
      </c>
      <c r="AE52" s="327"/>
      <c r="AF52" s="294"/>
      <c r="AG52" s="324" t="s">
        <v>656</v>
      </c>
      <c r="AH52" s="318">
        <v>2019003190016</v>
      </c>
      <c r="AI52" s="125" t="s">
        <v>670</v>
      </c>
      <c r="AJ52" s="125" t="s">
        <v>671</v>
      </c>
      <c r="AK52" s="125">
        <v>80</v>
      </c>
      <c r="AL52" s="294">
        <f t="shared" si="1"/>
        <v>5626.4</v>
      </c>
      <c r="AM52" s="293"/>
      <c r="AN52" s="125"/>
      <c r="AO52" s="125"/>
      <c r="AP52" s="125"/>
      <c r="AQ52" s="125"/>
      <c r="AR52" s="125"/>
      <c r="AS52" s="125"/>
      <c r="AT52" s="125"/>
      <c r="AU52" s="125"/>
      <c r="AV52" s="291" t="s">
        <v>200</v>
      </c>
      <c r="AW52" s="125"/>
      <c r="AX52" s="125"/>
      <c r="AY52" s="125"/>
      <c r="AZ52" s="43" t="s">
        <v>942</v>
      </c>
      <c r="BA52" s="65" t="s">
        <v>661</v>
      </c>
    </row>
    <row r="53" spans="1:53" ht="360" x14ac:dyDescent="0.25">
      <c r="A53" s="33" t="s">
        <v>40</v>
      </c>
      <c r="B53" s="65" t="s">
        <v>42</v>
      </c>
      <c r="C53" s="257"/>
      <c r="D53" s="257"/>
      <c r="E53" s="258"/>
      <c r="F53" s="34" t="s">
        <v>672</v>
      </c>
      <c r="G53" s="257"/>
      <c r="H53" s="35" t="s">
        <v>673</v>
      </c>
      <c r="I53" s="35" t="s">
        <v>674</v>
      </c>
      <c r="J53" s="125">
        <v>0</v>
      </c>
      <c r="K53" s="125" t="s">
        <v>185</v>
      </c>
      <c r="L53" s="125">
        <v>3</v>
      </c>
      <c r="M53" s="291">
        <v>1</v>
      </c>
      <c r="N53" s="35" t="s">
        <v>674</v>
      </c>
      <c r="O53" s="291">
        <v>2</v>
      </c>
      <c r="P53" s="328">
        <v>108748</v>
      </c>
      <c r="Q53" s="328">
        <f>7700000/1000</f>
        <v>7700</v>
      </c>
      <c r="R53" s="43"/>
      <c r="S53" s="43"/>
      <c r="T53" s="43"/>
      <c r="U53" s="43"/>
      <c r="V53" s="304">
        <v>75000</v>
      </c>
      <c r="W53" s="304">
        <v>0</v>
      </c>
      <c r="X53" s="304">
        <v>0</v>
      </c>
      <c r="Y53" s="305"/>
      <c r="Z53" s="304">
        <v>15000</v>
      </c>
      <c r="AA53" s="304">
        <v>7029</v>
      </c>
      <c r="AB53" s="304"/>
      <c r="AC53" s="304">
        <v>2344</v>
      </c>
      <c r="AD53" s="304">
        <v>2344</v>
      </c>
      <c r="AE53" s="307"/>
      <c r="AF53" s="315"/>
      <c r="AG53" s="324" t="s">
        <v>656</v>
      </c>
      <c r="AH53" s="318">
        <v>2019003190016</v>
      </c>
      <c r="AI53" s="43" t="s">
        <v>658</v>
      </c>
      <c r="AJ53" s="65" t="s">
        <v>659</v>
      </c>
      <c r="AK53" s="125">
        <v>40</v>
      </c>
      <c r="AL53" s="292">
        <f t="shared" si="1"/>
        <v>7700</v>
      </c>
      <c r="AM53" s="329" t="s">
        <v>660</v>
      </c>
      <c r="AN53" s="291" t="s">
        <v>200</v>
      </c>
      <c r="AO53" s="291" t="s">
        <v>200</v>
      </c>
      <c r="AP53" s="291" t="s">
        <v>200</v>
      </c>
      <c r="AQ53" s="291" t="s">
        <v>200</v>
      </c>
      <c r="AR53" s="291" t="s">
        <v>200</v>
      </c>
      <c r="AS53" s="291" t="s">
        <v>200</v>
      </c>
      <c r="AT53" s="291" t="s">
        <v>200</v>
      </c>
      <c r="AU53" s="291" t="s">
        <v>200</v>
      </c>
      <c r="AV53" s="291" t="s">
        <v>200</v>
      </c>
      <c r="AW53" s="291" t="s">
        <v>200</v>
      </c>
      <c r="AX53" s="291" t="s">
        <v>200</v>
      </c>
      <c r="AY53" s="291" t="s">
        <v>200</v>
      </c>
      <c r="AZ53" s="43" t="s">
        <v>942</v>
      </c>
      <c r="BA53" s="65" t="s">
        <v>661</v>
      </c>
    </row>
  </sheetData>
  <sheetProtection password="DFEF" sheet="1" objects="1" scenarios="1" autoFilter="0"/>
  <autoFilter ref="A15:BA15"/>
  <mergeCells count="65">
    <mergeCell ref="A11:M11"/>
    <mergeCell ref="A2:L2"/>
    <mergeCell ref="A3:L3"/>
    <mergeCell ref="A5:L5"/>
    <mergeCell ref="A6:L6"/>
    <mergeCell ref="A9:M9"/>
    <mergeCell ref="L14:L15"/>
    <mergeCell ref="A14:A15"/>
    <mergeCell ref="B14:B15"/>
    <mergeCell ref="C14:C15"/>
    <mergeCell ref="D14:D15"/>
    <mergeCell ref="E14:E15"/>
    <mergeCell ref="F14:F15"/>
    <mergeCell ref="G14:G15"/>
    <mergeCell ref="H14:H15"/>
    <mergeCell ref="I14:I15"/>
    <mergeCell ref="J14:J15"/>
    <mergeCell ref="K14:K15"/>
    <mergeCell ref="N14:O14"/>
    <mergeCell ref="P14:P15"/>
    <mergeCell ref="Q14:AF14"/>
    <mergeCell ref="AG14:AG15"/>
    <mergeCell ref="AH14:AH15"/>
    <mergeCell ref="AZ14:AZ15"/>
    <mergeCell ref="BA14:BA15"/>
    <mergeCell ref="C16:C18"/>
    <mergeCell ref="D16:D18"/>
    <mergeCell ref="E16:E18"/>
    <mergeCell ref="G16:G25"/>
    <mergeCell ref="C19:C24"/>
    <mergeCell ref="D19:D24"/>
    <mergeCell ref="E19:E24"/>
    <mergeCell ref="AI14:AI15"/>
    <mergeCell ref="AJ14:AJ15"/>
    <mergeCell ref="AK14:AK15"/>
    <mergeCell ref="AL14:AL15"/>
    <mergeCell ref="AM14:AM15"/>
    <mergeCell ref="AN14:AY14"/>
    <mergeCell ref="M14:M15"/>
    <mergeCell ref="C26:C27"/>
    <mergeCell ref="D26:D27"/>
    <mergeCell ref="E26:E27"/>
    <mergeCell ref="G26:G30"/>
    <mergeCell ref="C28:C30"/>
    <mergeCell ref="D28:D30"/>
    <mergeCell ref="E28:E30"/>
    <mergeCell ref="C31:C33"/>
    <mergeCell ref="D31:D33"/>
    <mergeCell ref="E31:E33"/>
    <mergeCell ref="G31:G37"/>
    <mergeCell ref="C34:C37"/>
    <mergeCell ref="D34:D37"/>
    <mergeCell ref="E34:E37"/>
    <mergeCell ref="C48:C53"/>
    <mergeCell ref="D48:D53"/>
    <mergeCell ref="E48:E53"/>
    <mergeCell ref="G48:G53"/>
    <mergeCell ref="C38:C43"/>
    <mergeCell ref="D38:D43"/>
    <mergeCell ref="E38:E43"/>
    <mergeCell ref="G38:G41"/>
    <mergeCell ref="G42:G47"/>
    <mergeCell ref="C44:C47"/>
    <mergeCell ref="D44:D47"/>
    <mergeCell ref="E44:E47"/>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5"/>
  <sheetViews>
    <sheetView topLeftCell="A2" zoomScaleNormal="100" workbookViewId="0">
      <selection activeCell="D16" sqref="D16:D24"/>
    </sheetView>
  </sheetViews>
  <sheetFormatPr baseColWidth="10" defaultRowHeight="15" x14ac:dyDescent="0.25"/>
  <cols>
    <col min="3" max="3" width="21.42578125" customWidth="1"/>
    <col min="4" max="4" width="18.85546875" customWidth="1"/>
    <col min="5" max="5" width="16.85546875" customWidth="1"/>
    <col min="8" max="8" width="18.5703125" customWidth="1"/>
    <col min="9" max="9" width="17.140625" customWidth="1"/>
    <col min="10" max="10" width="16.85546875" customWidth="1"/>
    <col min="14" max="14" width="19" customWidth="1"/>
    <col min="33" max="33" width="42.85546875" customWidth="1"/>
    <col min="37" max="37" width="15.7109375" customWidth="1"/>
    <col min="39" max="39" width="83.5703125" customWidth="1"/>
    <col min="40" max="51" width="7.7109375" customWidth="1"/>
    <col min="53" max="53" width="37.42578125" customWidth="1"/>
  </cols>
  <sheetData>
    <row r="1" spans="1:53" x14ac:dyDescent="0.25">
      <c r="A1" s="27"/>
      <c r="B1" s="27"/>
      <c r="C1" s="27"/>
      <c r="D1" s="27"/>
      <c r="E1" s="27"/>
      <c r="F1" s="27"/>
      <c r="G1" s="27"/>
      <c r="H1" s="1"/>
      <c r="I1" s="27"/>
      <c r="J1" s="27"/>
      <c r="K1" s="27"/>
      <c r="L1" s="27"/>
      <c r="M1" s="28"/>
      <c r="N1" s="28"/>
      <c r="O1" s="28"/>
      <c r="P1" s="28"/>
      <c r="Q1" s="28"/>
      <c r="R1" s="28"/>
      <c r="S1" s="28"/>
      <c r="T1" s="28"/>
      <c r="U1" s="28"/>
      <c r="V1" s="28"/>
      <c r="W1" s="28"/>
      <c r="X1" s="28"/>
      <c r="Y1" s="28"/>
      <c r="Z1" s="28"/>
      <c r="AA1" s="28"/>
      <c r="AB1" s="28"/>
      <c r="AC1" s="28"/>
      <c r="AD1" s="28"/>
      <c r="AE1" s="28"/>
      <c r="AF1" s="28"/>
      <c r="AG1" s="28"/>
      <c r="AH1" s="28"/>
      <c r="AI1" s="28"/>
      <c r="AJ1" s="28"/>
      <c r="AK1" s="46"/>
      <c r="AL1" s="28"/>
      <c r="AM1" s="28"/>
      <c r="AN1" s="28"/>
      <c r="AO1" s="28"/>
      <c r="AP1" s="28"/>
      <c r="AQ1" s="28"/>
      <c r="AR1" s="28"/>
      <c r="AS1" s="28"/>
      <c r="AT1" s="28"/>
      <c r="AU1" s="28"/>
      <c r="AV1" s="28"/>
      <c r="AW1" s="28"/>
      <c r="AX1" s="28"/>
      <c r="AY1" s="28"/>
      <c r="AZ1" s="28"/>
      <c r="BA1" s="28"/>
    </row>
    <row r="2" spans="1:53" ht="18" x14ac:dyDescent="0.25">
      <c r="A2" s="282" t="s">
        <v>139</v>
      </c>
      <c r="B2" s="282"/>
      <c r="C2" s="282"/>
      <c r="D2" s="282"/>
      <c r="E2" s="282"/>
      <c r="F2" s="282"/>
      <c r="G2" s="282"/>
      <c r="H2" s="282"/>
      <c r="I2" s="282"/>
      <c r="J2" s="282"/>
      <c r="K2" s="282"/>
      <c r="L2" s="282"/>
      <c r="M2" s="28"/>
      <c r="N2" s="28"/>
      <c r="O2" s="28"/>
      <c r="P2" s="28"/>
      <c r="Q2" s="28"/>
      <c r="R2" s="28"/>
      <c r="S2" s="28"/>
      <c r="T2" s="28"/>
      <c r="U2" s="28"/>
      <c r="V2" s="28"/>
      <c r="W2" s="28"/>
      <c r="X2" s="28"/>
      <c r="Y2" s="28"/>
      <c r="Z2" s="28"/>
      <c r="AA2" s="28"/>
      <c r="AB2" s="28"/>
      <c r="AC2" s="28"/>
      <c r="AD2" s="28"/>
      <c r="AE2" s="28"/>
      <c r="AF2" s="28"/>
      <c r="AG2" s="28"/>
      <c r="AH2" s="28"/>
      <c r="AI2" s="28"/>
      <c r="AJ2" s="28"/>
      <c r="AK2" s="46"/>
      <c r="AL2" s="28"/>
      <c r="AM2" s="28"/>
      <c r="AN2" s="28"/>
      <c r="AO2" s="28"/>
      <c r="AP2" s="28"/>
      <c r="AQ2" s="28"/>
      <c r="AR2" s="28"/>
      <c r="AS2" s="28"/>
      <c r="AT2" s="28"/>
      <c r="AU2" s="28"/>
      <c r="AV2" s="28"/>
      <c r="AW2" s="28"/>
      <c r="AX2" s="28"/>
      <c r="AY2" s="28"/>
      <c r="AZ2" s="28"/>
      <c r="BA2" s="28"/>
    </row>
    <row r="3" spans="1:53" ht="18" x14ac:dyDescent="0.25">
      <c r="A3" s="282" t="s">
        <v>140</v>
      </c>
      <c r="B3" s="282"/>
      <c r="C3" s="282"/>
      <c r="D3" s="282"/>
      <c r="E3" s="282"/>
      <c r="F3" s="282"/>
      <c r="G3" s="282"/>
      <c r="H3" s="282"/>
      <c r="I3" s="282"/>
      <c r="J3" s="282"/>
      <c r="K3" s="282"/>
      <c r="L3" s="282"/>
      <c r="M3" s="28"/>
      <c r="N3" s="28"/>
      <c r="O3" s="28"/>
      <c r="P3" s="28"/>
      <c r="Q3" s="28"/>
      <c r="R3" s="28"/>
      <c r="S3" s="28"/>
      <c r="T3" s="28"/>
      <c r="U3" s="28"/>
      <c r="V3" s="28"/>
      <c r="W3" s="28"/>
      <c r="X3" s="28"/>
      <c r="Y3" s="28"/>
      <c r="Z3" s="28"/>
      <c r="AA3" s="28"/>
      <c r="AB3" s="28"/>
      <c r="AC3" s="28"/>
      <c r="AD3" s="28"/>
      <c r="AE3" s="28"/>
      <c r="AF3" s="28"/>
      <c r="AG3" s="28"/>
      <c r="AH3" s="28"/>
      <c r="AI3" s="28"/>
      <c r="AJ3" s="28"/>
      <c r="AK3" s="46"/>
      <c r="AL3" s="28"/>
      <c r="AM3" s="28"/>
      <c r="AN3" s="28"/>
      <c r="AO3" s="28"/>
      <c r="AP3" s="28"/>
      <c r="AQ3" s="28"/>
      <c r="AR3" s="28"/>
      <c r="AS3" s="28"/>
      <c r="AT3" s="28"/>
      <c r="AU3" s="28"/>
      <c r="AV3" s="28"/>
      <c r="AW3" s="28"/>
      <c r="AX3" s="28"/>
      <c r="AY3" s="28"/>
      <c r="AZ3" s="28"/>
      <c r="BA3" s="28"/>
    </row>
    <row r="4" spans="1:53" x14ac:dyDescent="0.25">
      <c r="A4" s="16"/>
      <c r="B4" s="27"/>
      <c r="C4" s="27"/>
      <c r="D4" s="27"/>
      <c r="E4" s="27"/>
      <c r="F4" s="27"/>
      <c r="G4" s="27"/>
      <c r="H4" s="1"/>
      <c r="I4" s="27"/>
      <c r="J4" s="27"/>
      <c r="K4" s="27"/>
      <c r="L4" s="27"/>
      <c r="M4" s="28"/>
      <c r="N4" s="28"/>
      <c r="O4" s="28"/>
      <c r="P4" s="28"/>
      <c r="Q4" s="28"/>
      <c r="R4" s="28"/>
      <c r="S4" s="28"/>
      <c r="T4" s="28"/>
      <c r="U4" s="28"/>
      <c r="V4" s="28"/>
      <c r="W4" s="28"/>
      <c r="X4" s="28"/>
      <c r="Y4" s="28"/>
      <c r="Z4" s="28"/>
      <c r="AA4" s="28"/>
      <c r="AB4" s="28"/>
      <c r="AC4" s="28"/>
      <c r="AD4" s="28"/>
      <c r="AE4" s="28"/>
      <c r="AF4" s="28"/>
      <c r="AG4" s="28"/>
      <c r="AH4" s="28"/>
      <c r="AI4" s="28"/>
      <c r="AJ4" s="28"/>
      <c r="AK4" s="46"/>
      <c r="AL4" s="28"/>
      <c r="AM4" s="28"/>
      <c r="AN4" s="28"/>
      <c r="AO4" s="28"/>
      <c r="AP4" s="28"/>
      <c r="AQ4" s="28"/>
      <c r="AR4" s="28"/>
      <c r="AS4" s="28"/>
      <c r="AT4" s="28"/>
      <c r="AU4" s="28"/>
      <c r="AV4" s="28"/>
      <c r="AW4" s="28"/>
      <c r="AX4" s="28"/>
      <c r="AY4" s="28"/>
      <c r="AZ4" s="28"/>
      <c r="BA4" s="28"/>
    </row>
    <row r="5" spans="1:53" ht="18" x14ac:dyDescent="0.25">
      <c r="A5" s="284" t="s">
        <v>141</v>
      </c>
      <c r="B5" s="284"/>
      <c r="C5" s="284"/>
      <c r="D5" s="284"/>
      <c r="E5" s="284"/>
      <c r="F5" s="284"/>
      <c r="G5" s="284"/>
      <c r="H5" s="284"/>
      <c r="I5" s="284"/>
      <c r="J5" s="284"/>
      <c r="K5" s="284"/>
      <c r="L5" s="284"/>
      <c r="M5" s="28"/>
      <c r="N5" s="28"/>
      <c r="O5" s="28"/>
      <c r="P5" s="28"/>
      <c r="Q5" s="28"/>
      <c r="R5" s="28"/>
      <c r="S5" s="28"/>
      <c r="T5" s="28"/>
      <c r="U5" s="28"/>
      <c r="V5" s="28"/>
      <c r="W5" s="28"/>
      <c r="X5" s="28"/>
      <c r="Y5" s="28"/>
      <c r="Z5" s="28"/>
      <c r="AA5" s="28"/>
      <c r="AB5" s="28"/>
      <c r="AC5" s="28"/>
      <c r="AD5" s="28"/>
      <c r="AE5" s="28"/>
      <c r="AF5" s="28"/>
      <c r="AG5" s="28"/>
      <c r="AH5" s="28"/>
      <c r="AI5" s="28"/>
      <c r="AJ5" s="28"/>
      <c r="AK5" s="46"/>
      <c r="AL5" s="28"/>
      <c r="AM5" s="28"/>
      <c r="AN5" s="28"/>
      <c r="AO5" s="28"/>
      <c r="AP5" s="28"/>
      <c r="AQ5" s="28"/>
      <c r="AR5" s="28"/>
      <c r="AS5" s="28"/>
      <c r="AT5" s="28"/>
      <c r="AU5" s="28"/>
      <c r="AV5" s="28"/>
      <c r="AW5" s="28"/>
      <c r="AX5" s="28"/>
      <c r="AY5" s="28"/>
      <c r="AZ5" s="28"/>
      <c r="BA5" s="28"/>
    </row>
    <row r="6" spans="1:53" ht="18" x14ac:dyDescent="0.25">
      <c r="A6" s="282" t="s">
        <v>189</v>
      </c>
      <c r="B6" s="282"/>
      <c r="C6" s="282"/>
      <c r="D6" s="282"/>
      <c r="E6" s="282"/>
      <c r="F6" s="282"/>
      <c r="G6" s="282"/>
      <c r="H6" s="282"/>
      <c r="I6" s="282"/>
      <c r="J6" s="282"/>
      <c r="K6" s="282"/>
      <c r="L6" s="282"/>
      <c r="M6" s="28"/>
      <c r="N6" s="28"/>
      <c r="O6" s="28"/>
      <c r="P6" s="28"/>
      <c r="Q6" s="28"/>
      <c r="R6" s="28"/>
      <c r="S6" s="28"/>
      <c r="T6" s="28"/>
      <c r="U6" s="28"/>
      <c r="V6" s="28"/>
      <c r="W6" s="28"/>
      <c r="X6" s="28"/>
      <c r="Y6" s="28"/>
      <c r="Z6" s="28"/>
      <c r="AA6" s="28"/>
      <c r="AB6" s="28"/>
      <c r="AC6" s="28"/>
      <c r="AD6" s="28"/>
      <c r="AE6" s="28"/>
      <c r="AF6" s="28"/>
      <c r="AG6" s="28"/>
      <c r="AH6" s="28"/>
      <c r="AI6" s="28"/>
      <c r="AJ6" s="28"/>
      <c r="AK6" s="46"/>
      <c r="AL6" s="28"/>
      <c r="AM6" s="28"/>
      <c r="AN6" s="28"/>
      <c r="AO6" s="28"/>
      <c r="AP6" s="28"/>
      <c r="AQ6" s="28"/>
      <c r="AR6" s="28"/>
      <c r="AS6" s="28"/>
      <c r="AT6" s="28"/>
      <c r="AU6" s="28"/>
      <c r="AV6" s="28"/>
      <c r="AW6" s="28"/>
      <c r="AX6" s="28"/>
      <c r="AY6" s="28"/>
      <c r="AZ6" s="28"/>
      <c r="BA6" s="28"/>
    </row>
    <row r="7" spans="1:53" ht="18" x14ac:dyDescent="0.25">
      <c r="A7" s="31"/>
      <c r="B7" s="31"/>
      <c r="C7" s="31"/>
      <c r="D7" s="31"/>
      <c r="E7" s="31"/>
      <c r="F7" s="31"/>
      <c r="G7" s="31"/>
      <c r="H7" s="31"/>
      <c r="I7" s="31"/>
      <c r="J7" s="31"/>
      <c r="K7" s="31"/>
      <c r="L7" s="31"/>
      <c r="M7" s="28"/>
      <c r="N7" s="28"/>
      <c r="O7" s="28"/>
      <c r="P7" s="28"/>
      <c r="Q7" s="28"/>
      <c r="R7" s="28"/>
      <c r="S7" s="28"/>
      <c r="T7" s="28"/>
      <c r="U7" s="28"/>
      <c r="V7" s="28"/>
      <c r="W7" s="28"/>
      <c r="X7" s="28"/>
      <c r="Y7" s="28"/>
      <c r="Z7" s="28"/>
      <c r="AA7" s="28"/>
      <c r="AB7" s="28"/>
      <c r="AC7" s="28"/>
      <c r="AD7" s="28"/>
      <c r="AE7" s="28"/>
      <c r="AF7" s="28"/>
      <c r="AG7" s="28"/>
      <c r="AH7" s="28"/>
      <c r="AI7" s="28"/>
      <c r="AJ7" s="28"/>
      <c r="AK7" s="46"/>
      <c r="AL7" s="28"/>
      <c r="AM7" s="28"/>
      <c r="AN7" s="28"/>
      <c r="AO7" s="28"/>
      <c r="AP7" s="28"/>
      <c r="AQ7" s="28"/>
      <c r="AR7" s="28"/>
      <c r="AS7" s="28"/>
      <c r="AT7" s="28"/>
      <c r="AU7" s="28"/>
      <c r="AV7" s="28"/>
      <c r="AW7" s="28"/>
      <c r="AX7" s="28"/>
      <c r="AY7" s="28"/>
      <c r="AZ7" s="28"/>
      <c r="BA7" s="28"/>
    </row>
    <row r="8" spans="1:53" ht="18" x14ac:dyDescent="0.25">
      <c r="A8" s="31"/>
      <c r="B8" s="31"/>
      <c r="C8" s="31"/>
      <c r="D8" s="31"/>
      <c r="E8" s="31"/>
      <c r="F8" s="31"/>
      <c r="G8" s="31"/>
      <c r="H8" s="31"/>
      <c r="I8" s="31"/>
      <c r="J8" s="31"/>
      <c r="K8" s="31"/>
      <c r="L8" s="31"/>
      <c r="M8" s="28"/>
      <c r="N8" s="28"/>
      <c r="O8" s="28"/>
      <c r="P8" s="28"/>
      <c r="Q8" s="28"/>
      <c r="R8" s="28"/>
      <c r="S8" s="28"/>
      <c r="T8" s="28"/>
      <c r="U8" s="28"/>
      <c r="V8" s="28"/>
      <c r="W8" s="28"/>
      <c r="X8" s="28"/>
      <c r="Y8" s="28"/>
      <c r="Z8" s="28"/>
      <c r="AA8" s="28"/>
      <c r="AB8" s="28"/>
      <c r="AC8" s="28"/>
      <c r="AD8" s="28"/>
      <c r="AE8" s="28"/>
      <c r="AF8" s="28"/>
      <c r="AG8" s="28"/>
      <c r="AH8" s="28"/>
      <c r="AI8" s="28"/>
      <c r="AJ8" s="28"/>
      <c r="AK8" s="46"/>
      <c r="AL8" s="28"/>
      <c r="AM8" s="28"/>
      <c r="AN8" s="28"/>
      <c r="AO8" s="28"/>
      <c r="AP8" s="28"/>
      <c r="AQ8" s="28"/>
      <c r="AR8" s="28"/>
      <c r="AS8" s="28"/>
      <c r="AT8" s="28"/>
      <c r="AU8" s="28"/>
      <c r="AV8" s="28"/>
      <c r="AW8" s="28"/>
      <c r="AX8" s="28"/>
      <c r="AY8" s="28"/>
      <c r="AZ8" s="28"/>
      <c r="BA8" s="28"/>
    </row>
    <row r="9" spans="1:53" x14ac:dyDescent="0.25">
      <c r="A9" s="285" t="s">
        <v>676</v>
      </c>
      <c r="B9" s="285"/>
      <c r="C9" s="285"/>
      <c r="D9" s="285"/>
      <c r="E9" s="285"/>
      <c r="F9" s="285"/>
      <c r="G9" s="285"/>
      <c r="H9" s="285"/>
      <c r="I9" s="285"/>
      <c r="J9" s="285"/>
      <c r="K9" s="285"/>
      <c r="L9" s="285"/>
      <c r="M9" s="285"/>
      <c r="N9" s="28"/>
      <c r="O9" s="28"/>
      <c r="P9" s="28"/>
      <c r="Q9" s="28"/>
      <c r="R9" s="28"/>
      <c r="S9" s="28"/>
      <c r="T9" s="28"/>
      <c r="U9" s="28"/>
      <c r="V9" s="28"/>
      <c r="W9" s="28"/>
      <c r="X9" s="28"/>
      <c r="Y9" s="28"/>
      <c r="Z9" s="28"/>
      <c r="AA9" s="28"/>
      <c r="AB9" s="28"/>
      <c r="AC9" s="28"/>
      <c r="AD9" s="28"/>
      <c r="AE9" s="28"/>
      <c r="AF9" s="28"/>
      <c r="AG9" s="28"/>
      <c r="AH9" s="28"/>
      <c r="AI9" s="28"/>
      <c r="AJ9" s="28"/>
      <c r="AK9" s="46"/>
      <c r="AL9" s="28"/>
      <c r="AM9" s="28"/>
      <c r="AN9" s="28"/>
      <c r="AO9" s="28"/>
      <c r="AP9" s="28"/>
      <c r="AQ9" s="28"/>
      <c r="AR9" s="28"/>
      <c r="AS9" s="28"/>
      <c r="AT9" s="28"/>
      <c r="AU9" s="28"/>
      <c r="AV9" s="28"/>
      <c r="AW9" s="28"/>
      <c r="AX9" s="28"/>
      <c r="AY9" s="28"/>
      <c r="AZ9" s="28"/>
      <c r="BA9" s="28"/>
    </row>
    <row r="10" spans="1:53" ht="18" x14ac:dyDescent="0.25">
      <c r="A10" s="32"/>
      <c r="B10" s="32"/>
      <c r="C10" s="32"/>
      <c r="D10" s="32"/>
      <c r="E10" s="32"/>
      <c r="F10" s="31"/>
      <c r="G10" s="31"/>
      <c r="H10" s="31"/>
      <c r="I10" s="31"/>
      <c r="J10" s="31"/>
      <c r="K10" s="31"/>
      <c r="L10" s="31"/>
      <c r="M10" s="31"/>
      <c r="N10" s="28"/>
      <c r="O10" s="28"/>
      <c r="P10" s="28"/>
      <c r="Q10" s="28"/>
      <c r="R10" s="28"/>
      <c r="S10" s="28"/>
      <c r="T10" s="28"/>
      <c r="U10" s="28"/>
      <c r="V10" s="28"/>
      <c r="W10" s="28"/>
      <c r="X10" s="28"/>
      <c r="Y10" s="28"/>
      <c r="Z10" s="28"/>
      <c r="AA10" s="28"/>
      <c r="AB10" s="28"/>
      <c r="AC10" s="28"/>
      <c r="AD10" s="28"/>
      <c r="AE10" s="28"/>
      <c r="AF10" s="28"/>
      <c r="AG10" s="28"/>
      <c r="AH10" s="28"/>
      <c r="AI10" s="28"/>
      <c r="AJ10" s="28"/>
      <c r="AK10" s="46"/>
      <c r="AL10" s="28"/>
      <c r="AM10" s="28"/>
      <c r="AN10" s="28"/>
      <c r="AO10" s="28"/>
      <c r="AP10" s="28"/>
      <c r="AQ10" s="28"/>
      <c r="AR10" s="28"/>
      <c r="AS10" s="28"/>
      <c r="AT10" s="28"/>
      <c r="AU10" s="28"/>
      <c r="AV10" s="28"/>
      <c r="AW10" s="28"/>
      <c r="AX10" s="28"/>
      <c r="AY10" s="28"/>
      <c r="AZ10" s="28"/>
      <c r="BA10" s="28"/>
    </row>
    <row r="11" spans="1:53" x14ac:dyDescent="0.25">
      <c r="A11" s="285" t="s">
        <v>718</v>
      </c>
      <c r="B11" s="285"/>
      <c r="C11" s="285"/>
      <c r="D11" s="285"/>
      <c r="E11" s="285"/>
      <c r="F11" s="285"/>
      <c r="G11" s="285"/>
      <c r="H11" s="285"/>
      <c r="I11" s="285"/>
      <c r="J11" s="285"/>
      <c r="K11" s="285"/>
      <c r="L11" s="285"/>
      <c r="M11" s="285"/>
      <c r="N11" s="28"/>
      <c r="O11" s="28"/>
      <c r="P11" s="28"/>
      <c r="Q11" s="28"/>
      <c r="R11" s="28"/>
      <c r="S11" s="28"/>
      <c r="T11" s="28"/>
      <c r="U11" s="28"/>
      <c r="V11" s="28"/>
      <c r="W11" s="28"/>
      <c r="X11" s="28"/>
      <c r="Y11" s="28"/>
      <c r="Z11" s="28"/>
      <c r="AA11" s="28"/>
      <c r="AB11" s="28"/>
      <c r="AC11" s="28"/>
      <c r="AD11" s="28"/>
      <c r="AE11" s="28"/>
      <c r="AF11" s="28"/>
      <c r="AG11" s="28"/>
      <c r="AH11" s="28"/>
      <c r="AI11" s="28"/>
      <c r="AJ11" s="28"/>
      <c r="AK11" s="46"/>
      <c r="AL11" s="28"/>
      <c r="AM11" s="28"/>
      <c r="AN11" s="28"/>
      <c r="AO11" s="28"/>
      <c r="AP11" s="28"/>
      <c r="AQ11" s="28"/>
      <c r="AR11" s="28"/>
      <c r="AS11" s="28"/>
      <c r="AT11" s="28"/>
      <c r="AU11" s="28"/>
      <c r="AV11" s="28"/>
      <c r="AW11" s="28"/>
      <c r="AX11" s="28"/>
      <c r="AY11" s="28"/>
      <c r="AZ11" s="28"/>
      <c r="BA11" s="28"/>
    </row>
    <row r="12" spans="1:53" ht="18" x14ac:dyDescent="0.25">
      <c r="A12" s="31"/>
      <c r="B12" s="31"/>
      <c r="C12" s="31"/>
      <c r="D12" s="31"/>
      <c r="E12" s="31"/>
      <c r="F12" s="31"/>
      <c r="G12" s="31"/>
      <c r="H12" s="31"/>
      <c r="I12" s="31"/>
      <c r="J12" s="31"/>
      <c r="K12" s="31"/>
      <c r="L12" s="31"/>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46"/>
      <c r="AL12" s="28"/>
      <c r="AM12" s="28"/>
      <c r="AN12" s="28"/>
      <c r="AO12" s="28"/>
      <c r="AP12" s="28"/>
      <c r="AQ12" s="28"/>
      <c r="AR12" s="28"/>
      <c r="AS12" s="28"/>
      <c r="AT12" s="28"/>
      <c r="AU12" s="28"/>
      <c r="AV12" s="28"/>
      <c r="AW12" s="28"/>
      <c r="AX12" s="28"/>
      <c r="AY12" s="28"/>
      <c r="AZ12" s="28"/>
      <c r="BA12" s="28"/>
    </row>
    <row r="13" spans="1:53" x14ac:dyDescent="0.25">
      <c r="A13" s="27"/>
      <c r="B13" s="27"/>
      <c r="C13" s="27"/>
      <c r="D13" s="27"/>
      <c r="E13" s="27"/>
      <c r="F13" s="27"/>
      <c r="G13" s="27"/>
      <c r="H13" s="1"/>
      <c r="I13" s="27"/>
      <c r="J13" s="27"/>
      <c r="K13" s="27"/>
      <c r="L13" s="27"/>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46"/>
      <c r="AL13" s="28"/>
      <c r="AM13" s="28"/>
      <c r="AN13" s="28"/>
      <c r="AO13" s="28"/>
      <c r="AP13" s="28"/>
      <c r="AQ13" s="28"/>
      <c r="AR13" s="28"/>
      <c r="AS13" s="28"/>
      <c r="AT13" s="28"/>
      <c r="AU13" s="28"/>
      <c r="AV13" s="28"/>
      <c r="AW13" s="28"/>
      <c r="AX13" s="28"/>
      <c r="AY13" s="28"/>
      <c r="AZ13" s="28"/>
      <c r="BA13" s="28"/>
    </row>
    <row r="14" spans="1:53" ht="32.25" customHeight="1" x14ac:dyDescent="0.25">
      <c r="A14" s="280" t="s">
        <v>4</v>
      </c>
      <c r="B14" s="280" t="s">
        <v>5</v>
      </c>
      <c r="C14" s="278" t="s">
        <v>0</v>
      </c>
      <c r="D14" s="278" t="s">
        <v>1</v>
      </c>
      <c r="E14" s="278" t="s">
        <v>2</v>
      </c>
      <c r="F14" s="278" t="s">
        <v>3</v>
      </c>
      <c r="G14" s="278" t="s">
        <v>6</v>
      </c>
      <c r="H14" s="278" t="s">
        <v>7</v>
      </c>
      <c r="I14" s="278" t="s">
        <v>8</v>
      </c>
      <c r="J14" s="278" t="s">
        <v>9</v>
      </c>
      <c r="K14" s="278" t="s">
        <v>138</v>
      </c>
      <c r="L14" s="278" t="s">
        <v>181</v>
      </c>
      <c r="M14" s="270" t="s">
        <v>190</v>
      </c>
      <c r="N14" s="275" t="s">
        <v>8</v>
      </c>
      <c r="O14" s="276"/>
      <c r="P14" s="270" t="s">
        <v>193</v>
      </c>
      <c r="Q14" s="275" t="s">
        <v>142</v>
      </c>
      <c r="R14" s="277"/>
      <c r="S14" s="277"/>
      <c r="T14" s="277"/>
      <c r="U14" s="277"/>
      <c r="V14" s="277"/>
      <c r="W14" s="277"/>
      <c r="X14" s="277"/>
      <c r="Y14" s="277"/>
      <c r="Z14" s="277"/>
      <c r="AA14" s="277"/>
      <c r="AB14" s="277"/>
      <c r="AC14" s="277"/>
      <c r="AD14" s="277"/>
      <c r="AE14" s="277"/>
      <c r="AF14" s="276"/>
      <c r="AG14" s="270" t="s">
        <v>143</v>
      </c>
      <c r="AH14" s="270" t="s">
        <v>192</v>
      </c>
      <c r="AI14" s="270" t="s">
        <v>144</v>
      </c>
      <c r="AJ14" s="270" t="s">
        <v>170</v>
      </c>
      <c r="AK14" s="286" t="s">
        <v>145</v>
      </c>
      <c r="AL14" s="270" t="s">
        <v>196</v>
      </c>
      <c r="AM14" s="270" t="s">
        <v>146</v>
      </c>
      <c r="AN14" s="272" t="s">
        <v>184</v>
      </c>
      <c r="AO14" s="273"/>
      <c r="AP14" s="273"/>
      <c r="AQ14" s="273"/>
      <c r="AR14" s="273"/>
      <c r="AS14" s="273"/>
      <c r="AT14" s="273"/>
      <c r="AU14" s="273"/>
      <c r="AV14" s="273"/>
      <c r="AW14" s="273"/>
      <c r="AX14" s="273"/>
      <c r="AY14" s="274"/>
      <c r="AZ14" s="265" t="s">
        <v>171</v>
      </c>
      <c r="BA14" s="267" t="s">
        <v>147</v>
      </c>
    </row>
    <row r="15" spans="1:53" ht="63.75" x14ac:dyDescent="0.25">
      <c r="A15" s="281"/>
      <c r="B15" s="281"/>
      <c r="C15" s="279"/>
      <c r="D15" s="279"/>
      <c r="E15" s="279"/>
      <c r="F15" s="279"/>
      <c r="G15" s="279"/>
      <c r="H15" s="279"/>
      <c r="I15" s="279"/>
      <c r="J15" s="279"/>
      <c r="K15" s="279"/>
      <c r="L15" s="279"/>
      <c r="M15" s="271"/>
      <c r="N15" s="13" t="s">
        <v>148</v>
      </c>
      <c r="O15" s="13" t="s">
        <v>191</v>
      </c>
      <c r="P15" s="271"/>
      <c r="Q15" s="2" t="s">
        <v>149</v>
      </c>
      <c r="R15" s="2" t="s">
        <v>194</v>
      </c>
      <c r="S15" s="2" t="s">
        <v>150</v>
      </c>
      <c r="T15" s="2" t="s">
        <v>151</v>
      </c>
      <c r="U15" s="2" t="s">
        <v>182</v>
      </c>
      <c r="V15" s="2" t="s">
        <v>152</v>
      </c>
      <c r="W15" s="2" t="s">
        <v>153</v>
      </c>
      <c r="X15" s="2" t="s">
        <v>154</v>
      </c>
      <c r="Y15" s="2" t="s">
        <v>155</v>
      </c>
      <c r="Z15" s="2" t="s">
        <v>156</v>
      </c>
      <c r="AA15" s="2" t="s">
        <v>183</v>
      </c>
      <c r="AB15" s="2" t="s">
        <v>195</v>
      </c>
      <c r="AC15" s="2" t="s">
        <v>157</v>
      </c>
      <c r="AD15" s="2" t="s">
        <v>158</v>
      </c>
      <c r="AE15" s="2" t="s">
        <v>159</v>
      </c>
      <c r="AF15" s="2" t="s">
        <v>160</v>
      </c>
      <c r="AG15" s="271"/>
      <c r="AH15" s="271"/>
      <c r="AI15" s="271"/>
      <c r="AJ15" s="271"/>
      <c r="AK15" s="287"/>
      <c r="AL15" s="271"/>
      <c r="AM15" s="271"/>
      <c r="AN15" s="15" t="s">
        <v>161</v>
      </c>
      <c r="AO15" s="15" t="s">
        <v>162</v>
      </c>
      <c r="AP15" s="15" t="s">
        <v>163</v>
      </c>
      <c r="AQ15" s="15" t="s">
        <v>164</v>
      </c>
      <c r="AR15" s="15" t="s">
        <v>163</v>
      </c>
      <c r="AS15" s="15" t="s">
        <v>165</v>
      </c>
      <c r="AT15" s="15" t="s">
        <v>165</v>
      </c>
      <c r="AU15" s="15" t="s">
        <v>164</v>
      </c>
      <c r="AV15" s="15" t="s">
        <v>166</v>
      </c>
      <c r="AW15" s="15" t="s">
        <v>167</v>
      </c>
      <c r="AX15" s="15" t="s">
        <v>168</v>
      </c>
      <c r="AY15" s="15" t="s">
        <v>169</v>
      </c>
      <c r="AZ15" s="266"/>
      <c r="BA15" s="268"/>
    </row>
    <row r="16" spans="1:53" ht="162.75" customHeight="1" x14ac:dyDescent="0.25">
      <c r="A16" s="47" t="s">
        <v>41</v>
      </c>
      <c r="B16" s="48" t="s">
        <v>677</v>
      </c>
      <c r="C16" s="259" t="s">
        <v>678</v>
      </c>
      <c r="D16" s="259" t="s">
        <v>679</v>
      </c>
      <c r="E16" s="262" t="s">
        <v>680</v>
      </c>
      <c r="F16" s="38" t="s">
        <v>681</v>
      </c>
      <c r="G16" s="257" t="s">
        <v>682</v>
      </c>
      <c r="H16" s="38" t="s">
        <v>683</v>
      </c>
      <c r="I16" s="38" t="s">
        <v>684</v>
      </c>
      <c r="J16" s="38" t="s">
        <v>685</v>
      </c>
      <c r="K16" s="33" t="s">
        <v>185</v>
      </c>
      <c r="L16" s="38">
        <v>1</v>
      </c>
      <c r="M16" s="43">
        <v>0.1</v>
      </c>
      <c r="N16" s="51" t="s">
        <v>684</v>
      </c>
      <c r="O16" s="54">
        <v>0.9</v>
      </c>
      <c r="P16" s="39">
        <f>SUM(Q16:AF16)</f>
        <v>55399.955000000002</v>
      </c>
      <c r="Q16" s="39">
        <v>55399.955000000002</v>
      </c>
      <c r="R16" s="54"/>
      <c r="S16" s="54"/>
      <c r="T16" s="54"/>
      <c r="U16" s="54"/>
      <c r="V16" s="54"/>
      <c r="W16" s="54"/>
      <c r="X16" s="54"/>
      <c r="Y16" s="54"/>
      <c r="Z16" s="54"/>
      <c r="AA16" s="54"/>
      <c r="AB16" s="54"/>
      <c r="AC16" s="54"/>
      <c r="AD16" s="54"/>
      <c r="AE16" s="54"/>
      <c r="AF16" s="54"/>
      <c r="AG16" s="55" t="s">
        <v>686</v>
      </c>
      <c r="AH16" s="54"/>
      <c r="AI16" s="54">
        <v>42</v>
      </c>
      <c r="AJ16" s="54">
        <v>7</v>
      </c>
      <c r="AK16" s="56">
        <v>1391836</v>
      </c>
      <c r="AL16" s="57">
        <v>104500</v>
      </c>
      <c r="AM16" s="58" t="s">
        <v>719</v>
      </c>
      <c r="AN16" s="54" t="s">
        <v>202</v>
      </c>
      <c r="AO16" s="54" t="s">
        <v>202</v>
      </c>
      <c r="AP16" s="54" t="s">
        <v>202</v>
      </c>
      <c r="AQ16" s="54" t="s">
        <v>202</v>
      </c>
      <c r="AR16" s="54" t="s">
        <v>202</v>
      </c>
      <c r="AS16" s="54" t="s">
        <v>202</v>
      </c>
      <c r="AT16" s="54" t="s">
        <v>202</v>
      </c>
      <c r="AU16" s="54" t="s">
        <v>202</v>
      </c>
      <c r="AV16" s="54" t="s">
        <v>202</v>
      </c>
      <c r="AW16" s="54" t="s">
        <v>202</v>
      </c>
      <c r="AX16" s="54" t="s">
        <v>202</v>
      </c>
      <c r="AY16" s="54" t="s">
        <v>202</v>
      </c>
      <c r="AZ16" s="58" t="s">
        <v>687</v>
      </c>
      <c r="BA16" s="334" t="s">
        <v>943</v>
      </c>
    </row>
    <row r="17" spans="1:53" ht="233.25" customHeight="1" x14ac:dyDescent="0.25">
      <c r="A17" s="47" t="s">
        <v>41</v>
      </c>
      <c r="B17" s="48" t="s">
        <v>677</v>
      </c>
      <c r="C17" s="260"/>
      <c r="D17" s="260"/>
      <c r="E17" s="263"/>
      <c r="F17" s="38" t="s">
        <v>681</v>
      </c>
      <c r="G17" s="257"/>
      <c r="H17" s="38" t="s">
        <v>688</v>
      </c>
      <c r="I17" s="38" t="s">
        <v>689</v>
      </c>
      <c r="J17" s="52">
        <v>0</v>
      </c>
      <c r="K17" s="33" t="s">
        <v>185</v>
      </c>
      <c r="L17" s="52">
        <v>1</v>
      </c>
      <c r="M17" s="43">
        <v>0.4</v>
      </c>
      <c r="N17" s="49" t="s">
        <v>689</v>
      </c>
      <c r="O17" s="54"/>
      <c r="P17" s="39">
        <v>79111.224000000002</v>
      </c>
      <c r="Q17" s="39">
        <v>79111.224000000002</v>
      </c>
      <c r="R17" s="54"/>
      <c r="S17" s="54"/>
      <c r="T17" s="54"/>
      <c r="U17" s="54"/>
      <c r="V17" s="54"/>
      <c r="W17" s="54"/>
      <c r="X17" s="54"/>
      <c r="Y17" s="54"/>
      <c r="Z17" s="54"/>
      <c r="AA17" s="54"/>
      <c r="AB17" s="60"/>
      <c r="AC17" s="54"/>
      <c r="AD17" s="54"/>
      <c r="AE17" s="54"/>
      <c r="AF17" s="54"/>
      <c r="AG17" s="61" t="s">
        <v>690</v>
      </c>
      <c r="AH17" s="54"/>
      <c r="AI17" s="54">
        <v>42</v>
      </c>
      <c r="AJ17" s="54">
        <v>7</v>
      </c>
      <c r="AK17" s="56">
        <v>1391836</v>
      </c>
      <c r="AL17" s="57">
        <v>104500</v>
      </c>
      <c r="AM17" s="58" t="s">
        <v>720</v>
      </c>
      <c r="AN17" s="54" t="s">
        <v>202</v>
      </c>
      <c r="AO17" s="54" t="s">
        <v>202</v>
      </c>
      <c r="AP17" s="54" t="s">
        <v>202</v>
      </c>
      <c r="AQ17" s="54" t="s">
        <v>202</v>
      </c>
      <c r="AR17" s="54" t="s">
        <v>202</v>
      </c>
      <c r="AS17" s="54" t="s">
        <v>202</v>
      </c>
      <c r="AT17" s="54" t="s">
        <v>202</v>
      </c>
      <c r="AU17" s="54" t="s">
        <v>202</v>
      </c>
      <c r="AV17" s="54" t="s">
        <v>202</v>
      </c>
      <c r="AW17" s="54" t="s">
        <v>202</v>
      </c>
      <c r="AX17" s="54" t="s">
        <v>202</v>
      </c>
      <c r="AY17" s="54" t="s">
        <v>202</v>
      </c>
      <c r="AZ17" s="58" t="s">
        <v>687</v>
      </c>
      <c r="BA17" s="334" t="s">
        <v>943</v>
      </c>
    </row>
    <row r="18" spans="1:53" ht="237.75" customHeight="1" x14ac:dyDescent="0.25">
      <c r="A18" s="47" t="s">
        <v>41</v>
      </c>
      <c r="B18" s="48" t="s">
        <v>677</v>
      </c>
      <c r="C18" s="260"/>
      <c r="D18" s="260"/>
      <c r="E18" s="263"/>
      <c r="F18" s="38" t="s">
        <v>681</v>
      </c>
      <c r="G18" s="257"/>
      <c r="H18" s="38" t="s">
        <v>691</v>
      </c>
      <c r="I18" s="38" t="s">
        <v>692</v>
      </c>
      <c r="J18" s="52">
        <v>0</v>
      </c>
      <c r="K18" s="33" t="s">
        <v>185</v>
      </c>
      <c r="L18" s="52">
        <v>1</v>
      </c>
      <c r="M18" s="43">
        <v>0.4</v>
      </c>
      <c r="N18" s="49" t="s">
        <v>692</v>
      </c>
      <c r="O18" s="54">
        <v>0.7</v>
      </c>
      <c r="P18" s="39">
        <v>39555.612000000001</v>
      </c>
      <c r="Q18" s="39">
        <v>39555.612000000001</v>
      </c>
      <c r="R18" s="54"/>
      <c r="S18" s="54"/>
      <c r="T18" s="54"/>
      <c r="U18" s="54"/>
      <c r="V18" s="54"/>
      <c r="W18" s="54"/>
      <c r="X18" s="54"/>
      <c r="Y18" s="54"/>
      <c r="Z18" s="54"/>
      <c r="AA18" s="54"/>
      <c r="AB18" s="54"/>
      <c r="AC18" s="54"/>
      <c r="AD18" s="54"/>
      <c r="AE18" s="54"/>
      <c r="AF18" s="54"/>
      <c r="AG18" s="61" t="s">
        <v>690</v>
      </c>
      <c r="AH18" s="54"/>
      <c r="AI18" s="54">
        <v>42</v>
      </c>
      <c r="AJ18" s="54">
        <v>7</v>
      </c>
      <c r="AK18" s="56">
        <v>1391836</v>
      </c>
      <c r="AL18" s="57">
        <v>104500</v>
      </c>
      <c r="AM18" s="58" t="s">
        <v>720</v>
      </c>
      <c r="AN18" s="54" t="s">
        <v>202</v>
      </c>
      <c r="AO18" s="54" t="s">
        <v>202</v>
      </c>
      <c r="AP18" s="54" t="s">
        <v>202</v>
      </c>
      <c r="AQ18" s="54" t="s">
        <v>202</v>
      </c>
      <c r="AR18" s="54" t="s">
        <v>202</v>
      </c>
      <c r="AS18" s="54" t="s">
        <v>202</v>
      </c>
      <c r="AT18" s="54" t="s">
        <v>202</v>
      </c>
      <c r="AU18" s="54" t="s">
        <v>202</v>
      </c>
      <c r="AV18" s="54" t="s">
        <v>202</v>
      </c>
      <c r="AW18" s="54" t="s">
        <v>202</v>
      </c>
      <c r="AX18" s="54" t="s">
        <v>202</v>
      </c>
      <c r="AY18" s="54" t="s">
        <v>202</v>
      </c>
      <c r="AZ18" s="58" t="s">
        <v>693</v>
      </c>
      <c r="BA18" s="334" t="s">
        <v>943</v>
      </c>
    </row>
    <row r="19" spans="1:53" ht="348" customHeight="1" x14ac:dyDescent="0.25">
      <c r="A19" s="47" t="s">
        <v>41</v>
      </c>
      <c r="B19" s="48" t="s">
        <v>677</v>
      </c>
      <c r="C19" s="260"/>
      <c r="D19" s="260"/>
      <c r="E19" s="263"/>
      <c r="F19" s="38" t="s">
        <v>681</v>
      </c>
      <c r="G19" s="257"/>
      <c r="H19" s="38" t="s">
        <v>694</v>
      </c>
      <c r="I19" s="38" t="s">
        <v>695</v>
      </c>
      <c r="J19" s="38">
        <v>0</v>
      </c>
      <c r="K19" s="33" t="s">
        <v>185</v>
      </c>
      <c r="L19" s="38">
        <v>1</v>
      </c>
      <c r="M19" s="43">
        <v>0.3</v>
      </c>
      <c r="N19" s="51" t="s">
        <v>695</v>
      </c>
      <c r="O19" s="54">
        <v>0.7</v>
      </c>
      <c r="P19" s="39">
        <v>39555.612000000001</v>
      </c>
      <c r="Q19" s="39">
        <v>39555.612000000001</v>
      </c>
      <c r="R19" s="54"/>
      <c r="S19" s="54"/>
      <c r="T19" s="54"/>
      <c r="U19" s="54"/>
      <c r="V19" s="54"/>
      <c r="W19" s="54"/>
      <c r="X19" s="54"/>
      <c r="Y19" s="54"/>
      <c r="Z19" s="54"/>
      <c r="AA19" s="54"/>
      <c r="AB19" s="54"/>
      <c r="AC19" s="54"/>
      <c r="AD19" s="54"/>
      <c r="AE19" s="54"/>
      <c r="AF19" s="54"/>
      <c r="AG19" s="61" t="s">
        <v>690</v>
      </c>
      <c r="AH19" s="54"/>
      <c r="AI19" s="54">
        <v>42</v>
      </c>
      <c r="AJ19" s="54">
        <v>7</v>
      </c>
      <c r="AK19" s="56">
        <v>1391836</v>
      </c>
      <c r="AL19" s="57">
        <v>104500</v>
      </c>
      <c r="AM19" s="58" t="s">
        <v>720</v>
      </c>
      <c r="AN19" s="54" t="s">
        <v>202</v>
      </c>
      <c r="AO19" s="54" t="s">
        <v>202</v>
      </c>
      <c r="AP19" s="54" t="s">
        <v>202</v>
      </c>
      <c r="AQ19" s="54" t="s">
        <v>202</v>
      </c>
      <c r="AR19" s="54" t="s">
        <v>202</v>
      </c>
      <c r="AS19" s="54" t="s">
        <v>202</v>
      </c>
      <c r="AT19" s="54" t="s">
        <v>202</v>
      </c>
      <c r="AU19" s="54" t="s">
        <v>202</v>
      </c>
      <c r="AV19" s="54" t="s">
        <v>202</v>
      </c>
      <c r="AW19" s="54" t="s">
        <v>202</v>
      </c>
      <c r="AX19" s="54" t="s">
        <v>202</v>
      </c>
      <c r="AY19" s="54" t="s">
        <v>202</v>
      </c>
      <c r="AZ19" s="334" t="s">
        <v>687</v>
      </c>
      <c r="BA19" s="334" t="s">
        <v>943</v>
      </c>
    </row>
    <row r="20" spans="1:53" ht="207" customHeight="1" x14ac:dyDescent="0.25">
      <c r="A20" s="47" t="s">
        <v>41</v>
      </c>
      <c r="B20" s="48" t="s">
        <v>677</v>
      </c>
      <c r="C20" s="260"/>
      <c r="D20" s="260"/>
      <c r="E20" s="263"/>
      <c r="F20" s="38" t="s">
        <v>696</v>
      </c>
      <c r="G20" s="257" t="s">
        <v>697</v>
      </c>
      <c r="H20" s="38" t="s">
        <v>698</v>
      </c>
      <c r="I20" s="38" t="s">
        <v>699</v>
      </c>
      <c r="J20" s="52">
        <v>0</v>
      </c>
      <c r="K20" s="33" t="s">
        <v>185</v>
      </c>
      <c r="L20" s="52">
        <v>1</v>
      </c>
      <c r="M20" s="43">
        <v>0.2</v>
      </c>
      <c r="N20" s="49" t="s">
        <v>699</v>
      </c>
      <c r="O20" s="54">
        <v>0.7</v>
      </c>
      <c r="P20" s="39">
        <v>39555.612000000001</v>
      </c>
      <c r="Q20" s="39">
        <v>39555.612000000001</v>
      </c>
      <c r="R20" s="54"/>
      <c r="S20" s="54"/>
      <c r="T20" s="54"/>
      <c r="U20" s="54"/>
      <c r="V20" s="54"/>
      <c r="W20" s="54"/>
      <c r="X20" s="54"/>
      <c r="Y20" s="54"/>
      <c r="Z20" s="54"/>
      <c r="AA20" s="54"/>
      <c r="AB20" s="54"/>
      <c r="AC20" s="54"/>
      <c r="AD20" s="54"/>
      <c r="AE20" s="54"/>
      <c r="AF20" s="54"/>
      <c r="AG20" s="63" t="s">
        <v>700</v>
      </c>
      <c r="AH20" s="54"/>
      <c r="AI20" s="54">
        <v>42</v>
      </c>
      <c r="AJ20" s="54">
        <v>7</v>
      </c>
      <c r="AK20" s="56">
        <v>1391836</v>
      </c>
      <c r="AL20" s="57">
        <v>170000</v>
      </c>
      <c r="AM20" s="59" t="s">
        <v>701</v>
      </c>
      <c r="AN20" s="54" t="s">
        <v>202</v>
      </c>
      <c r="AO20" s="54" t="s">
        <v>202</v>
      </c>
      <c r="AP20" s="54" t="s">
        <v>202</v>
      </c>
      <c r="AQ20" s="54" t="s">
        <v>202</v>
      </c>
      <c r="AR20" s="54" t="s">
        <v>202</v>
      </c>
      <c r="AS20" s="54" t="s">
        <v>202</v>
      </c>
      <c r="AT20" s="54" t="s">
        <v>202</v>
      </c>
      <c r="AU20" s="54" t="s">
        <v>202</v>
      </c>
      <c r="AV20" s="54" t="s">
        <v>202</v>
      </c>
      <c r="AW20" s="54" t="s">
        <v>202</v>
      </c>
      <c r="AX20" s="54" t="s">
        <v>202</v>
      </c>
      <c r="AY20" s="54" t="s">
        <v>202</v>
      </c>
      <c r="AZ20" s="59" t="s">
        <v>702</v>
      </c>
      <c r="BA20" s="334" t="s">
        <v>943</v>
      </c>
    </row>
    <row r="21" spans="1:53" ht="200.25" customHeight="1" x14ac:dyDescent="0.25">
      <c r="A21" s="47" t="s">
        <v>41</v>
      </c>
      <c r="B21" s="48" t="s">
        <v>677</v>
      </c>
      <c r="C21" s="260"/>
      <c r="D21" s="260"/>
      <c r="E21" s="263"/>
      <c r="F21" s="38" t="s">
        <v>696</v>
      </c>
      <c r="G21" s="257"/>
      <c r="H21" s="38" t="s">
        <v>703</v>
      </c>
      <c r="I21" s="38" t="s">
        <v>704</v>
      </c>
      <c r="J21" s="52">
        <v>0</v>
      </c>
      <c r="K21" s="33" t="s">
        <v>185</v>
      </c>
      <c r="L21" s="52">
        <v>1</v>
      </c>
      <c r="M21" s="43">
        <v>0.32</v>
      </c>
      <c r="N21" s="51" t="s">
        <v>704</v>
      </c>
      <c r="O21" s="54">
        <v>0.7</v>
      </c>
      <c r="P21" s="39">
        <v>59104.262000000002</v>
      </c>
      <c r="Q21" s="39">
        <v>59104.262000000002</v>
      </c>
      <c r="R21" s="54"/>
      <c r="S21" s="54"/>
      <c r="T21" s="54"/>
      <c r="U21" s="54"/>
      <c r="V21" s="54"/>
      <c r="W21" s="54"/>
      <c r="X21" s="54"/>
      <c r="Y21" s="54"/>
      <c r="Z21" s="54"/>
      <c r="AA21" s="54"/>
      <c r="AB21" s="54"/>
      <c r="AC21" s="54"/>
      <c r="AD21" s="54"/>
      <c r="AE21" s="54"/>
      <c r="AF21" s="54"/>
      <c r="AG21" s="58" t="s">
        <v>700</v>
      </c>
      <c r="AH21" s="54"/>
      <c r="AI21" s="54">
        <v>42</v>
      </c>
      <c r="AJ21" s="54">
        <v>7</v>
      </c>
      <c r="AK21" s="56">
        <v>1391836</v>
      </c>
      <c r="AL21" s="57">
        <v>170000</v>
      </c>
      <c r="AM21" s="58" t="s">
        <v>705</v>
      </c>
      <c r="AN21" s="54" t="s">
        <v>202</v>
      </c>
      <c r="AO21" s="54" t="s">
        <v>202</v>
      </c>
      <c r="AP21" s="54" t="s">
        <v>202</v>
      </c>
      <c r="AQ21" s="54" t="s">
        <v>202</v>
      </c>
      <c r="AR21" s="54" t="s">
        <v>202</v>
      </c>
      <c r="AS21" s="54" t="s">
        <v>202</v>
      </c>
      <c r="AT21" s="54" t="s">
        <v>202</v>
      </c>
      <c r="AU21" s="54" t="s">
        <v>202</v>
      </c>
      <c r="AV21" s="54" t="s">
        <v>202</v>
      </c>
      <c r="AW21" s="54" t="s">
        <v>202</v>
      </c>
      <c r="AX21" s="54" t="s">
        <v>202</v>
      </c>
      <c r="AY21" s="54" t="s">
        <v>202</v>
      </c>
      <c r="AZ21" s="59" t="s">
        <v>702</v>
      </c>
      <c r="BA21" s="334" t="s">
        <v>943</v>
      </c>
    </row>
    <row r="22" spans="1:53" ht="147.75" customHeight="1" x14ac:dyDescent="0.25">
      <c r="A22" s="47" t="s">
        <v>41</v>
      </c>
      <c r="B22" s="48" t="s">
        <v>677</v>
      </c>
      <c r="C22" s="260"/>
      <c r="D22" s="260"/>
      <c r="E22" s="263"/>
      <c r="F22" s="38" t="s">
        <v>706</v>
      </c>
      <c r="G22" s="257" t="s">
        <v>707</v>
      </c>
      <c r="H22" s="38" t="s">
        <v>708</v>
      </c>
      <c r="I22" s="38" t="s">
        <v>709</v>
      </c>
      <c r="J22" s="38">
        <v>0</v>
      </c>
      <c r="K22" s="33" t="s">
        <v>185</v>
      </c>
      <c r="L22" s="38">
        <v>1</v>
      </c>
      <c r="M22" s="43">
        <v>0.36</v>
      </c>
      <c r="N22" s="49" t="s">
        <v>709</v>
      </c>
      <c r="O22" s="54">
        <v>0.84</v>
      </c>
      <c r="P22" s="39">
        <v>98918.548999999999</v>
      </c>
      <c r="Q22" s="39">
        <v>98918.548999999999</v>
      </c>
      <c r="R22" s="54"/>
      <c r="S22" s="54"/>
      <c r="T22" s="54"/>
      <c r="U22" s="54"/>
      <c r="V22" s="54"/>
      <c r="W22" s="54"/>
      <c r="X22" s="54"/>
      <c r="Y22" s="54"/>
      <c r="Z22" s="54"/>
      <c r="AA22" s="54"/>
      <c r="AB22" s="54"/>
      <c r="AC22" s="64"/>
      <c r="AD22" s="54"/>
      <c r="AE22" s="54"/>
      <c r="AF22" s="54"/>
      <c r="AG22" s="63" t="s">
        <v>710</v>
      </c>
      <c r="AH22" s="54"/>
      <c r="AI22" s="62">
        <v>42</v>
      </c>
      <c r="AJ22" s="62">
        <v>7</v>
      </c>
      <c r="AK22" s="56">
        <v>1391836</v>
      </c>
      <c r="AL22" s="56">
        <v>238400</v>
      </c>
      <c r="AM22" s="58" t="s">
        <v>711</v>
      </c>
      <c r="AN22" s="62" t="s">
        <v>200</v>
      </c>
      <c r="AO22" s="62" t="s">
        <v>200</v>
      </c>
      <c r="AP22" s="62" t="s">
        <v>200</v>
      </c>
      <c r="AQ22" s="62" t="s">
        <v>200</v>
      </c>
      <c r="AR22" s="62" t="s">
        <v>200</v>
      </c>
      <c r="AS22" s="62" t="s">
        <v>200</v>
      </c>
      <c r="AT22" s="62" t="s">
        <v>200</v>
      </c>
      <c r="AU22" s="62" t="s">
        <v>200</v>
      </c>
      <c r="AV22" s="62" t="s">
        <v>200</v>
      </c>
      <c r="AW22" s="62" t="s">
        <v>200</v>
      </c>
      <c r="AX22" s="62" t="s">
        <v>200</v>
      </c>
      <c r="AY22" s="62" t="s">
        <v>200</v>
      </c>
      <c r="AZ22" s="59" t="s">
        <v>712</v>
      </c>
      <c r="BA22" s="334" t="s">
        <v>943</v>
      </c>
    </row>
    <row r="23" spans="1:53" ht="126" customHeight="1" x14ac:dyDescent="0.25">
      <c r="A23" s="47" t="s">
        <v>41</v>
      </c>
      <c r="B23" s="48" t="s">
        <v>677</v>
      </c>
      <c r="C23" s="260"/>
      <c r="D23" s="260"/>
      <c r="E23" s="263"/>
      <c r="F23" s="38" t="s">
        <v>706</v>
      </c>
      <c r="G23" s="257"/>
      <c r="H23" s="38" t="s">
        <v>713</v>
      </c>
      <c r="I23" s="38" t="s">
        <v>714</v>
      </c>
      <c r="J23" s="52">
        <v>0</v>
      </c>
      <c r="K23" s="33" t="s">
        <v>185</v>
      </c>
      <c r="L23" s="52">
        <v>1</v>
      </c>
      <c r="M23" s="43">
        <v>0.35</v>
      </c>
      <c r="N23" s="49" t="s">
        <v>714</v>
      </c>
      <c r="O23" s="54">
        <v>0.7</v>
      </c>
      <c r="P23" s="39">
        <v>37621</v>
      </c>
      <c r="Q23" s="39">
        <v>37621</v>
      </c>
      <c r="R23" s="54"/>
      <c r="S23" s="54"/>
      <c r="T23" s="54"/>
      <c r="U23" s="54"/>
      <c r="V23" s="54"/>
      <c r="W23" s="54"/>
      <c r="X23" s="54"/>
      <c r="Y23" s="54"/>
      <c r="Z23" s="54"/>
      <c r="AA23" s="54"/>
      <c r="AB23" s="54"/>
      <c r="AC23" s="54"/>
      <c r="AD23" s="54"/>
      <c r="AE23" s="54"/>
      <c r="AF23" s="54"/>
      <c r="AG23" s="63" t="s">
        <v>710</v>
      </c>
      <c r="AH23" s="54"/>
      <c r="AI23" s="62">
        <v>42</v>
      </c>
      <c r="AJ23" s="62">
        <v>7</v>
      </c>
      <c r="AK23" s="56">
        <v>1391836</v>
      </c>
      <c r="AL23" s="56">
        <v>238400</v>
      </c>
      <c r="AM23" s="58" t="s">
        <v>715</v>
      </c>
      <c r="AN23" s="62" t="s">
        <v>200</v>
      </c>
      <c r="AO23" s="62" t="s">
        <v>200</v>
      </c>
      <c r="AP23" s="62" t="s">
        <v>200</v>
      </c>
      <c r="AQ23" s="62" t="s">
        <v>200</v>
      </c>
      <c r="AR23" s="62" t="s">
        <v>200</v>
      </c>
      <c r="AS23" s="62" t="s">
        <v>200</v>
      </c>
      <c r="AT23" s="62" t="s">
        <v>200</v>
      </c>
      <c r="AU23" s="62" t="s">
        <v>200</v>
      </c>
      <c r="AV23" s="62" t="s">
        <v>200</v>
      </c>
      <c r="AW23" s="62" t="s">
        <v>200</v>
      </c>
      <c r="AX23" s="62" t="s">
        <v>200</v>
      </c>
      <c r="AY23" s="62" t="s">
        <v>200</v>
      </c>
      <c r="AZ23" s="59" t="s">
        <v>712</v>
      </c>
      <c r="BA23" s="334" t="s">
        <v>943</v>
      </c>
    </row>
    <row r="24" spans="1:53" ht="195.75" customHeight="1" x14ac:dyDescent="0.25">
      <c r="A24" s="33" t="s">
        <v>41</v>
      </c>
      <c r="B24" s="48" t="s">
        <v>677</v>
      </c>
      <c r="C24" s="261"/>
      <c r="D24" s="261"/>
      <c r="E24" s="264"/>
      <c r="F24" s="38" t="s">
        <v>706</v>
      </c>
      <c r="G24" s="257"/>
      <c r="H24" s="38" t="s">
        <v>716</v>
      </c>
      <c r="I24" s="38" t="s">
        <v>717</v>
      </c>
      <c r="J24" s="52">
        <v>0</v>
      </c>
      <c r="K24" s="33" t="s">
        <v>185</v>
      </c>
      <c r="L24" s="52">
        <v>1</v>
      </c>
      <c r="M24" s="43">
        <v>0.5</v>
      </c>
      <c r="N24" s="49" t="s">
        <v>717</v>
      </c>
      <c r="O24" s="54">
        <v>0.8</v>
      </c>
      <c r="P24" s="39">
        <v>105409.572</v>
      </c>
      <c r="Q24" s="39">
        <v>105409.572</v>
      </c>
      <c r="R24" s="54"/>
      <c r="S24" s="54"/>
      <c r="T24" s="54"/>
      <c r="U24" s="54"/>
      <c r="V24" s="54"/>
      <c r="W24" s="54"/>
      <c r="X24" s="54"/>
      <c r="Y24" s="54"/>
      <c r="Z24" s="54"/>
      <c r="AA24" s="54"/>
      <c r="AB24" s="54"/>
      <c r="AC24" s="54"/>
      <c r="AD24" s="54"/>
      <c r="AE24" s="54"/>
      <c r="AF24" s="54"/>
      <c r="AG24" s="58" t="s">
        <v>710</v>
      </c>
      <c r="AH24" s="54"/>
      <c r="AI24" s="62">
        <v>42</v>
      </c>
      <c r="AJ24" s="62">
        <v>7</v>
      </c>
      <c r="AK24" s="56">
        <v>1391836</v>
      </c>
      <c r="AL24" s="56">
        <v>238400</v>
      </c>
      <c r="AM24" s="335" t="s">
        <v>944</v>
      </c>
      <c r="AN24" s="62" t="s">
        <v>200</v>
      </c>
      <c r="AO24" s="62" t="s">
        <v>200</v>
      </c>
      <c r="AP24" s="62" t="s">
        <v>200</v>
      </c>
      <c r="AQ24" s="62" t="s">
        <v>200</v>
      </c>
      <c r="AR24" s="62" t="s">
        <v>200</v>
      </c>
      <c r="AS24" s="62" t="s">
        <v>200</v>
      </c>
      <c r="AT24" s="62" t="s">
        <v>200</v>
      </c>
      <c r="AU24" s="62" t="s">
        <v>200</v>
      </c>
      <c r="AV24" s="62" t="s">
        <v>200</v>
      </c>
      <c r="AW24" s="62" t="s">
        <v>200</v>
      </c>
      <c r="AX24" s="62" t="s">
        <v>200</v>
      </c>
      <c r="AY24" s="62" t="s">
        <v>200</v>
      </c>
      <c r="AZ24" s="59" t="s">
        <v>712</v>
      </c>
      <c r="BA24" s="334" t="s">
        <v>943</v>
      </c>
    </row>
    <row r="25" spans="1:53" x14ac:dyDescent="0.2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sheetData>
  <sheetProtection password="DFEF" sheet="1" objects="1" scenarios="1" autoFilter="0"/>
  <autoFilter ref="A15:BA15"/>
  <mergeCells count="38">
    <mergeCell ref="F14:F15"/>
    <mergeCell ref="A2:L2"/>
    <mergeCell ref="A3:L3"/>
    <mergeCell ref="A5:L5"/>
    <mergeCell ref="A6:L6"/>
    <mergeCell ref="A9:M9"/>
    <mergeCell ref="A11:M11"/>
    <mergeCell ref="A14:A15"/>
    <mergeCell ref="B14:B15"/>
    <mergeCell ref="C14:C15"/>
    <mergeCell ref="D14:D15"/>
    <mergeCell ref="E14:E15"/>
    <mergeCell ref="P14:P15"/>
    <mergeCell ref="Q14:AF14"/>
    <mergeCell ref="AG14:AG15"/>
    <mergeCell ref="AH14:AH15"/>
    <mergeCell ref="G14:G15"/>
    <mergeCell ref="H14:H15"/>
    <mergeCell ref="I14:I15"/>
    <mergeCell ref="J14:J15"/>
    <mergeCell ref="K14:K15"/>
    <mergeCell ref="L14:L15"/>
    <mergeCell ref="AZ14:AZ15"/>
    <mergeCell ref="BA14:BA15"/>
    <mergeCell ref="C16:C24"/>
    <mergeCell ref="D16:D24"/>
    <mergeCell ref="E16:E24"/>
    <mergeCell ref="G16:G19"/>
    <mergeCell ref="G20:G21"/>
    <mergeCell ref="G22:G24"/>
    <mergeCell ref="AI14:AI15"/>
    <mergeCell ref="AJ14:AJ15"/>
    <mergeCell ref="AK14:AK15"/>
    <mergeCell ref="AL14:AL15"/>
    <mergeCell ref="AM14:AM15"/>
    <mergeCell ref="AN14:AY14"/>
    <mergeCell ref="M14:M15"/>
    <mergeCell ref="N14:O14"/>
  </mergeCells>
  <pageMargins left="0.70866141732283472" right="0.70866141732283472" top="0.74803149606299213" bottom="0.74803149606299213" header="0.31496062992125984" footer="0.31496062992125984"/>
  <pageSetup paperSize="28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1"/>
  <sheetViews>
    <sheetView topLeftCell="A11" workbookViewId="0">
      <selection activeCell="H17" sqref="H17"/>
    </sheetView>
  </sheetViews>
  <sheetFormatPr baseColWidth="10" defaultRowHeight="15" x14ac:dyDescent="0.25"/>
  <cols>
    <col min="34" max="34" width="15.5703125" customWidth="1"/>
    <col min="39" max="39" width="15.140625" customWidth="1"/>
    <col min="40" max="51" width="7.7109375" customWidth="1"/>
  </cols>
  <sheetData>
    <row r="1" spans="1:54" x14ac:dyDescent="0.25">
      <c r="A1" s="27"/>
      <c r="B1" s="27"/>
      <c r="C1" s="27"/>
      <c r="D1" s="27"/>
      <c r="E1" s="27"/>
      <c r="F1" s="27"/>
      <c r="G1" s="27"/>
      <c r="H1" s="1"/>
      <c r="I1" s="27"/>
      <c r="J1" s="27"/>
      <c r="K1" s="27"/>
      <c r="L1" s="27"/>
      <c r="M1" s="28"/>
      <c r="N1" s="28"/>
      <c r="O1" s="28"/>
      <c r="P1" s="164"/>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164"/>
    </row>
    <row r="2" spans="1:54" ht="18" x14ac:dyDescent="0.25">
      <c r="A2" s="282" t="s">
        <v>139</v>
      </c>
      <c r="B2" s="282"/>
      <c r="C2" s="282"/>
      <c r="D2" s="282"/>
      <c r="E2" s="282"/>
      <c r="F2" s="282"/>
      <c r="G2" s="282"/>
      <c r="H2" s="282"/>
      <c r="I2" s="282"/>
      <c r="J2" s="282"/>
      <c r="K2" s="282"/>
      <c r="L2" s="282"/>
      <c r="M2" s="28"/>
      <c r="N2" s="28"/>
      <c r="O2" s="28"/>
      <c r="P2" s="164"/>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164"/>
    </row>
    <row r="3" spans="1:54" ht="18" x14ac:dyDescent="0.25">
      <c r="A3" s="283" t="s">
        <v>140</v>
      </c>
      <c r="B3" s="283"/>
      <c r="C3" s="283"/>
      <c r="D3" s="283"/>
      <c r="E3" s="283"/>
      <c r="F3" s="283"/>
      <c r="G3" s="283"/>
      <c r="H3" s="283"/>
      <c r="I3" s="283"/>
      <c r="J3" s="283"/>
      <c r="K3" s="283"/>
      <c r="L3" s="283"/>
      <c r="M3" s="28"/>
      <c r="N3" s="28"/>
      <c r="O3" s="28"/>
      <c r="P3" s="164"/>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164"/>
    </row>
    <row r="4" spans="1:54" x14ac:dyDescent="0.25">
      <c r="A4" s="30"/>
      <c r="B4" s="27"/>
      <c r="C4" s="27"/>
      <c r="D4" s="27"/>
      <c r="E4" s="27"/>
      <c r="F4" s="27"/>
      <c r="G4" s="27"/>
      <c r="H4" s="1"/>
      <c r="I4" s="27"/>
      <c r="J4" s="27"/>
      <c r="K4" s="27"/>
      <c r="L4" s="27"/>
      <c r="M4" s="28"/>
      <c r="N4" s="28"/>
      <c r="O4" s="28"/>
      <c r="P4" s="164"/>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164"/>
    </row>
    <row r="5" spans="1:54" ht="18" x14ac:dyDescent="0.25">
      <c r="A5" s="284" t="s">
        <v>141</v>
      </c>
      <c r="B5" s="284"/>
      <c r="C5" s="284"/>
      <c r="D5" s="284"/>
      <c r="E5" s="284"/>
      <c r="F5" s="284"/>
      <c r="G5" s="284"/>
      <c r="H5" s="284"/>
      <c r="I5" s="284"/>
      <c r="J5" s="284"/>
      <c r="K5" s="284"/>
      <c r="L5" s="284"/>
      <c r="M5" s="28"/>
      <c r="N5" s="28"/>
      <c r="O5" s="28"/>
      <c r="P5" s="164"/>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164"/>
    </row>
    <row r="6" spans="1:54" ht="18" x14ac:dyDescent="0.25">
      <c r="A6" s="282" t="s">
        <v>189</v>
      </c>
      <c r="B6" s="282"/>
      <c r="C6" s="282"/>
      <c r="D6" s="282"/>
      <c r="E6" s="282"/>
      <c r="F6" s="282"/>
      <c r="G6" s="282"/>
      <c r="H6" s="282"/>
      <c r="I6" s="282"/>
      <c r="J6" s="282"/>
      <c r="K6" s="282"/>
      <c r="L6" s="282"/>
      <c r="M6" s="28"/>
      <c r="N6" s="28"/>
      <c r="O6" s="28"/>
      <c r="P6" s="164"/>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164"/>
    </row>
    <row r="7" spans="1:54" ht="18" x14ac:dyDescent="0.25">
      <c r="A7" s="31"/>
      <c r="B7" s="31"/>
      <c r="C7" s="31"/>
      <c r="D7" s="31"/>
      <c r="E7" s="31"/>
      <c r="F7" s="31"/>
      <c r="G7" s="31"/>
      <c r="H7" s="31"/>
      <c r="I7" s="31"/>
      <c r="J7" s="31"/>
      <c r="K7" s="31"/>
      <c r="L7" s="31"/>
      <c r="M7" s="28"/>
      <c r="N7" s="28"/>
      <c r="O7" s="28"/>
      <c r="P7" s="164"/>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164"/>
    </row>
    <row r="8" spans="1:54" ht="18" x14ac:dyDescent="0.25">
      <c r="A8" s="31"/>
      <c r="B8" s="31"/>
      <c r="C8" s="31"/>
      <c r="D8" s="31"/>
      <c r="E8" s="31"/>
      <c r="F8" s="31"/>
      <c r="G8" s="31"/>
      <c r="H8" s="31"/>
      <c r="I8" s="31"/>
      <c r="J8" s="31"/>
      <c r="K8" s="31"/>
      <c r="L8" s="31"/>
      <c r="M8" s="28"/>
      <c r="N8" s="28"/>
      <c r="O8" s="28"/>
      <c r="P8" s="164"/>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164"/>
    </row>
    <row r="9" spans="1:54" x14ac:dyDescent="0.25">
      <c r="A9" s="285" t="s">
        <v>829</v>
      </c>
      <c r="B9" s="285"/>
      <c r="C9" s="285"/>
      <c r="D9" s="285"/>
      <c r="E9" s="285"/>
      <c r="F9" s="285"/>
      <c r="G9" s="285"/>
      <c r="H9" s="285"/>
      <c r="I9" s="285"/>
      <c r="J9" s="285"/>
      <c r="K9" s="285"/>
      <c r="L9" s="285"/>
      <c r="M9" s="285"/>
      <c r="N9" s="28"/>
      <c r="O9" s="28"/>
      <c r="P9" s="164"/>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164"/>
    </row>
    <row r="10" spans="1:54" ht="18" x14ac:dyDescent="0.25">
      <c r="A10" s="32"/>
      <c r="B10" s="32"/>
      <c r="C10" s="32"/>
      <c r="D10" s="32"/>
      <c r="E10" s="32"/>
      <c r="F10" s="31"/>
      <c r="G10" s="31"/>
      <c r="H10" s="31"/>
      <c r="I10" s="31"/>
      <c r="J10" s="31"/>
      <c r="K10" s="31"/>
      <c r="L10" s="31"/>
      <c r="M10" s="31"/>
      <c r="N10" s="28"/>
      <c r="O10" s="28"/>
      <c r="P10" s="164"/>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164"/>
    </row>
    <row r="11" spans="1:54" x14ac:dyDescent="0.25">
      <c r="A11" s="285" t="s">
        <v>180</v>
      </c>
      <c r="B11" s="285"/>
      <c r="C11" s="285"/>
      <c r="D11" s="285"/>
      <c r="E11" s="285"/>
      <c r="F11" s="285"/>
      <c r="G11" s="285"/>
      <c r="H11" s="285"/>
      <c r="I11" s="285"/>
      <c r="J11" s="285"/>
      <c r="K11" s="285"/>
      <c r="L11" s="285"/>
      <c r="M11" s="285"/>
      <c r="N11" s="28"/>
      <c r="O11" s="28"/>
      <c r="P11" s="164"/>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164"/>
    </row>
    <row r="12" spans="1:54" ht="18" x14ac:dyDescent="0.25">
      <c r="A12" s="31"/>
      <c r="B12" s="31"/>
      <c r="C12" s="31"/>
      <c r="D12" s="31"/>
      <c r="E12" s="31"/>
      <c r="F12" s="31"/>
      <c r="G12" s="31"/>
      <c r="H12" s="31"/>
      <c r="I12" s="31"/>
      <c r="J12" s="31"/>
      <c r="K12" s="31"/>
      <c r="L12" s="31"/>
      <c r="M12" s="28"/>
      <c r="N12" s="28"/>
      <c r="O12" s="28"/>
      <c r="P12" s="164"/>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164"/>
    </row>
    <row r="13" spans="1:54" x14ac:dyDescent="0.25">
      <c r="A13" s="27"/>
      <c r="B13" s="27"/>
      <c r="C13" s="27"/>
      <c r="D13" s="27"/>
      <c r="E13" s="27"/>
      <c r="F13" s="27"/>
      <c r="G13" s="27"/>
      <c r="H13" s="1"/>
      <c r="I13" s="27"/>
      <c r="J13" s="27"/>
      <c r="K13" s="27"/>
      <c r="L13" s="27"/>
      <c r="M13" s="28"/>
      <c r="N13" s="28"/>
      <c r="O13" s="28"/>
      <c r="P13" s="164"/>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164"/>
    </row>
    <row r="14" spans="1:54" ht="29.25" customHeight="1" x14ac:dyDescent="0.25">
      <c r="A14" s="280" t="s">
        <v>4</v>
      </c>
      <c r="B14" s="280" t="s">
        <v>5</v>
      </c>
      <c r="C14" s="278" t="s">
        <v>0</v>
      </c>
      <c r="D14" s="278" t="s">
        <v>1</v>
      </c>
      <c r="E14" s="278" t="s">
        <v>2</v>
      </c>
      <c r="F14" s="278" t="s">
        <v>3</v>
      </c>
      <c r="G14" s="278" t="s">
        <v>6</v>
      </c>
      <c r="H14" s="278" t="s">
        <v>7</v>
      </c>
      <c r="I14" s="278" t="s">
        <v>8</v>
      </c>
      <c r="J14" s="278" t="s">
        <v>9</v>
      </c>
      <c r="K14" s="278" t="s">
        <v>138</v>
      </c>
      <c r="L14" s="278" t="s">
        <v>181</v>
      </c>
      <c r="M14" s="270" t="s">
        <v>190</v>
      </c>
      <c r="N14" s="275" t="s">
        <v>8</v>
      </c>
      <c r="O14" s="276"/>
      <c r="P14" s="270" t="s">
        <v>193</v>
      </c>
      <c r="Q14" s="275" t="s">
        <v>142</v>
      </c>
      <c r="R14" s="277"/>
      <c r="S14" s="277"/>
      <c r="T14" s="277"/>
      <c r="U14" s="277"/>
      <c r="V14" s="277"/>
      <c r="W14" s="277"/>
      <c r="X14" s="277"/>
      <c r="Y14" s="277"/>
      <c r="Z14" s="277"/>
      <c r="AA14" s="277"/>
      <c r="AB14" s="277"/>
      <c r="AC14" s="277"/>
      <c r="AD14" s="277"/>
      <c r="AE14" s="277"/>
      <c r="AF14" s="276"/>
      <c r="AG14" s="270" t="s">
        <v>143</v>
      </c>
      <c r="AH14" s="270" t="s">
        <v>192</v>
      </c>
      <c r="AI14" s="270" t="s">
        <v>144</v>
      </c>
      <c r="AJ14" s="270" t="s">
        <v>170</v>
      </c>
      <c r="AK14" s="270" t="s">
        <v>145</v>
      </c>
      <c r="AL14" s="270" t="s">
        <v>196</v>
      </c>
      <c r="AM14" s="270" t="s">
        <v>146</v>
      </c>
      <c r="AN14" s="272" t="s">
        <v>184</v>
      </c>
      <c r="AO14" s="273"/>
      <c r="AP14" s="273"/>
      <c r="AQ14" s="273"/>
      <c r="AR14" s="273"/>
      <c r="AS14" s="273"/>
      <c r="AT14" s="273"/>
      <c r="AU14" s="273"/>
      <c r="AV14" s="273"/>
      <c r="AW14" s="273"/>
      <c r="AX14" s="273"/>
      <c r="AY14" s="274"/>
      <c r="AZ14" s="265" t="s">
        <v>171</v>
      </c>
      <c r="BA14" s="270" t="s">
        <v>147</v>
      </c>
    </row>
    <row r="15" spans="1:54" ht="79.5" customHeight="1" x14ac:dyDescent="0.25">
      <c r="A15" s="281"/>
      <c r="B15" s="281"/>
      <c r="C15" s="279"/>
      <c r="D15" s="279"/>
      <c r="E15" s="279"/>
      <c r="F15" s="279"/>
      <c r="G15" s="279"/>
      <c r="H15" s="279"/>
      <c r="I15" s="279"/>
      <c r="J15" s="279"/>
      <c r="K15" s="279"/>
      <c r="L15" s="279"/>
      <c r="M15" s="271"/>
      <c r="N15" s="13" t="s">
        <v>148</v>
      </c>
      <c r="O15" s="13" t="s">
        <v>191</v>
      </c>
      <c r="P15" s="271"/>
      <c r="Q15" s="2" t="s">
        <v>149</v>
      </c>
      <c r="R15" s="2" t="s">
        <v>194</v>
      </c>
      <c r="S15" s="2" t="s">
        <v>150</v>
      </c>
      <c r="T15" s="2" t="s">
        <v>151</v>
      </c>
      <c r="U15" s="2" t="s">
        <v>182</v>
      </c>
      <c r="V15" s="2" t="s">
        <v>152</v>
      </c>
      <c r="W15" s="2" t="s">
        <v>153</v>
      </c>
      <c r="X15" s="2" t="s">
        <v>154</v>
      </c>
      <c r="Y15" s="2" t="s">
        <v>155</v>
      </c>
      <c r="Z15" s="2" t="s">
        <v>156</v>
      </c>
      <c r="AA15" s="2" t="s">
        <v>183</v>
      </c>
      <c r="AB15" s="2" t="s">
        <v>195</v>
      </c>
      <c r="AC15" s="2" t="s">
        <v>157</v>
      </c>
      <c r="AD15" s="2" t="s">
        <v>158</v>
      </c>
      <c r="AE15" s="2" t="s">
        <v>159</v>
      </c>
      <c r="AF15" s="2" t="s">
        <v>160</v>
      </c>
      <c r="AG15" s="271"/>
      <c r="AH15" s="271"/>
      <c r="AI15" s="271"/>
      <c r="AJ15" s="271"/>
      <c r="AK15" s="271"/>
      <c r="AL15" s="271"/>
      <c r="AM15" s="271"/>
      <c r="AN15" s="15" t="s">
        <v>161</v>
      </c>
      <c r="AO15" s="15" t="s">
        <v>162</v>
      </c>
      <c r="AP15" s="15" t="s">
        <v>163</v>
      </c>
      <c r="AQ15" s="15" t="s">
        <v>164</v>
      </c>
      <c r="AR15" s="15" t="s">
        <v>163</v>
      </c>
      <c r="AS15" s="15" t="s">
        <v>165</v>
      </c>
      <c r="AT15" s="15" t="s">
        <v>165</v>
      </c>
      <c r="AU15" s="15" t="s">
        <v>164</v>
      </c>
      <c r="AV15" s="15" t="s">
        <v>166</v>
      </c>
      <c r="AW15" s="15" t="s">
        <v>167</v>
      </c>
      <c r="AX15" s="15" t="s">
        <v>168</v>
      </c>
      <c r="AY15" s="15" t="s">
        <v>169</v>
      </c>
      <c r="AZ15" s="266"/>
      <c r="BA15" s="271"/>
    </row>
    <row r="16" spans="1:54" ht="150" x14ac:dyDescent="0.25">
      <c r="A16" s="165" t="s">
        <v>721</v>
      </c>
      <c r="B16" s="29" t="s">
        <v>722</v>
      </c>
      <c r="C16" s="288" t="s">
        <v>723</v>
      </c>
      <c r="D16" s="288" t="s">
        <v>724</v>
      </c>
      <c r="E16" s="288" t="s">
        <v>725</v>
      </c>
      <c r="F16" s="29" t="s">
        <v>726</v>
      </c>
      <c r="G16" s="288" t="s">
        <v>727</v>
      </c>
      <c r="H16" s="29" t="s">
        <v>728</v>
      </c>
      <c r="I16" s="29" t="s">
        <v>729</v>
      </c>
      <c r="J16" s="167" t="s">
        <v>725</v>
      </c>
      <c r="K16" s="43" t="s">
        <v>185</v>
      </c>
      <c r="L16" s="169">
        <v>0.8</v>
      </c>
      <c r="M16" s="170">
        <v>0.04</v>
      </c>
      <c r="N16" s="29" t="s">
        <v>729</v>
      </c>
      <c r="O16" s="171">
        <v>0.31</v>
      </c>
      <c r="P16" s="172">
        <v>50000</v>
      </c>
      <c r="Q16" s="172">
        <v>50000</v>
      </c>
      <c r="R16" s="173"/>
      <c r="S16" s="173"/>
      <c r="T16" s="173"/>
      <c r="U16" s="173"/>
      <c r="V16" s="173"/>
      <c r="W16" s="173"/>
      <c r="X16" s="173"/>
      <c r="Y16" s="173"/>
      <c r="Z16" s="173"/>
      <c r="AA16" s="173"/>
      <c r="AB16" s="173"/>
      <c r="AC16" s="173"/>
      <c r="AD16" s="173"/>
      <c r="AE16" s="173"/>
      <c r="AF16" s="173"/>
      <c r="AG16" s="174" t="s">
        <v>730</v>
      </c>
      <c r="AH16" s="175" t="s">
        <v>731</v>
      </c>
      <c r="AI16" s="173">
        <v>42</v>
      </c>
      <c r="AJ16" s="173" t="s">
        <v>732</v>
      </c>
      <c r="AK16" s="173">
        <v>1244886</v>
      </c>
      <c r="AL16" s="176">
        <v>240000</v>
      </c>
      <c r="AM16" s="177" t="s">
        <v>733</v>
      </c>
      <c r="AN16" s="176" t="s">
        <v>202</v>
      </c>
      <c r="AO16" s="176" t="s">
        <v>202</v>
      </c>
      <c r="AP16" s="176" t="s">
        <v>202</v>
      </c>
      <c r="AQ16" s="176" t="s">
        <v>202</v>
      </c>
      <c r="AR16" s="176" t="s">
        <v>202</v>
      </c>
      <c r="AS16" s="176" t="s">
        <v>202</v>
      </c>
      <c r="AT16" s="176" t="s">
        <v>202</v>
      </c>
      <c r="AU16" s="176" t="s">
        <v>202</v>
      </c>
      <c r="AV16" s="176" t="s">
        <v>202</v>
      </c>
      <c r="AW16" s="176" t="s">
        <v>202</v>
      </c>
      <c r="AX16" s="176" t="s">
        <v>202</v>
      </c>
      <c r="AY16" s="176" t="s">
        <v>202</v>
      </c>
      <c r="AZ16" s="174" t="s">
        <v>852</v>
      </c>
      <c r="BA16" s="166" t="s">
        <v>734</v>
      </c>
      <c r="BB16" s="141"/>
    </row>
    <row r="17" spans="1:54" ht="210" x14ac:dyDescent="0.25">
      <c r="A17" s="165" t="s">
        <v>721</v>
      </c>
      <c r="B17" s="29" t="s">
        <v>722</v>
      </c>
      <c r="C17" s="288"/>
      <c r="D17" s="288"/>
      <c r="E17" s="288"/>
      <c r="F17" s="29" t="s">
        <v>726</v>
      </c>
      <c r="G17" s="288"/>
      <c r="H17" s="29" t="s">
        <v>735</v>
      </c>
      <c r="I17" s="29" t="s">
        <v>736</v>
      </c>
      <c r="J17" s="167">
        <v>0</v>
      </c>
      <c r="K17" s="43" t="s">
        <v>185</v>
      </c>
      <c r="L17" s="169">
        <v>0.7</v>
      </c>
      <c r="M17" s="170">
        <v>0.1</v>
      </c>
      <c r="N17" s="29" t="s">
        <v>736</v>
      </c>
      <c r="O17" s="171">
        <v>0.23</v>
      </c>
      <c r="P17" s="172">
        <v>100000</v>
      </c>
      <c r="Q17" s="172">
        <v>100000</v>
      </c>
      <c r="R17" s="173"/>
      <c r="S17" s="173"/>
      <c r="T17" s="173"/>
      <c r="U17" s="173"/>
      <c r="V17" s="173"/>
      <c r="W17" s="173"/>
      <c r="X17" s="173"/>
      <c r="Y17" s="173"/>
      <c r="Z17" s="173"/>
      <c r="AA17" s="173"/>
      <c r="AB17" s="173"/>
      <c r="AC17" s="173"/>
      <c r="AD17" s="173"/>
      <c r="AE17" s="173"/>
      <c r="AF17" s="173"/>
      <c r="AG17" s="174" t="s">
        <v>730</v>
      </c>
      <c r="AH17" s="175" t="s">
        <v>731</v>
      </c>
      <c r="AI17" s="173">
        <v>42</v>
      </c>
      <c r="AJ17" s="173" t="s">
        <v>732</v>
      </c>
      <c r="AK17" s="173">
        <v>1244887</v>
      </c>
      <c r="AL17" s="176">
        <v>1893000</v>
      </c>
      <c r="AM17" s="177" t="s">
        <v>851</v>
      </c>
      <c r="AN17" s="176" t="s">
        <v>200</v>
      </c>
      <c r="AO17" s="176" t="s">
        <v>200</v>
      </c>
      <c r="AP17" s="176" t="s">
        <v>200</v>
      </c>
      <c r="AQ17" s="176" t="s">
        <v>200</v>
      </c>
      <c r="AR17" s="176" t="s">
        <v>200</v>
      </c>
      <c r="AS17" s="176" t="s">
        <v>200</v>
      </c>
      <c r="AT17" s="176" t="s">
        <v>200</v>
      </c>
      <c r="AU17" s="176" t="s">
        <v>200</v>
      </c>
      <c r="AV17" s="176" t="s">
        <v>200</v>
      </c>
      <c r="AW17" s="176" t="s">
        <v>200</v>
      </c>
      <c r="AX17" s="176" t="s">
        <v>200</v>
      </c>
      <c r="AY17" s="176" t="s">
        <v>200</v>
      </c>
      <c r="AZ17" s="174" t="s">
        <v>852</v>
      </c>
      <c r="BA17" s="166" t="s">
        <v>853</v>
      </c>
      <c r="BB17" s="141"/>
    </row>
    <row r="18" spans="1:54" ht="285" x14ac:dyDescent="0.25">
      <c r="A18" s="165" t="s">
        <v>721</v>
      </c>
      <c r="B18" s="29" t="s">
        <v>722</v>
      </c>
      <c r="C18" s="288"/>
      <c r="D18" s="288"/>
      <c r="E18" s="288"/>
      <c r="F18" s="29" t="s">
        <v>726</v>
      </c>
      <c r="G18" s="288"/>
      <c r="H18" s="29" t="s">
        <v>737</v>
      </c>
      <c r="I18" s="29" t="s">
        <v>738</v>
      </c>
      <c r="J18" s="167">
        <v>0</v>
      </c>
      <c r="K18" s="43" t="s">
        <v>185</v>
      </c>
      <c r="L18" s="169">
        <v>0.3</v>
      </c>
      <c r="M18" s="170">
        <v>0.03</v>
      </c>
      <c r="N18" s="29" t="s">
        <v>738</v>
      </c>
      <c r="O18" s="171">
        <v>0.27</v>
      </c>
      <c r="P18" s="172">
        <v>200000</v>
      </c>
      <c r="Q18" s="172">
        <v>200000</v>
      </c>
      <c r="R18" s="173"/>
      <c r="S18" s="173"/>
      <c r="T18" s="173"/>
      <c r="U18" s="173"/>
      <c r="V18" s="173"/>
      <c r="W18" s="173"/>
      <c r="X18" s="173"/>
      <c r="Y18" s="173"/>
      <c r="Z18" s="173"/>
      <c r="AA18" s="173"/>
      <c r="AB18" s="173"/>
      <c r="AC18" s="173"/>
      <c r="AD18" s="173"/>
      <c r="AE18" s="173"/>
      <c r="AF18" s="173"/>
      <c r="AG18" s="174" t="s">
        <v>730</v>
      </c>
      <c r="AH18" s="175" t="s">
        <v>731</v>
      </c>
      <c r="AI18" s="173">
        <v>42</v>
      </c>
      <c r="AJ18" s="173" t="s">
        <v>732</v>
      </c>
      <c r="AK18" s="173">
        <v>1244888</v>
      </c>
      <c r="AL18" s="176">
        <v>230000</v>
      </c>
      <c r="AM18" s="177" t="s">
        <v>854</v>
      </c>
      <c r="AN18" s="176" t="s">
        <v>200</v>
      </c>
      <c r="AO18" s="176" t="s">
        <v>200</v>
      </c>
      <c r="AP18" s="176" t="s">
        <v>200</v>
      </c>
      <c r="AQ18" s="176" t="s">
        <v>200</v>
      </c>
      <c r="AR18" s="176" t="s">
        <v>200</v>
      </c>
      <c r="AS18" s="176" t="s">
        <v>200</v>
      </c>
      <c r="AT18" s="176" t="s">
        <v>200</v>
      </c>
      <c r="AU18" s="176" t="s">
        <v>200</v>
      </c>
      <c r="AV18" s="176" t="s">
        <v>200</v>
      </c>
      <c r="AW18" s="176" t="s">
        <v>200</v>
      </c>
      <c r="AX18" s="176" t="s">
        <v>200</v>
      </c>
      <c r="AY18" s="176" t="s">
        <v>200</v>
      </c>
      <c r="AZ18" s="174" t="s">
        <v>855</v>
      </c>
      <c r="BA18" s="166" t="s">
        <v>856</v>
      </c>
      <c r="BB18" s="141"/>
    </row>
    <row r="19" spans="1:54" ht="120" x14ac:dyDescent="0.25">
      <c r="A19" s="165" t="s">
        <v>721</v>
      </c>
      <c r="B19" s="29" t="s">
        <v>722</v>
      </c>
      <c r="C19" s="288"/>
      <c r="D19" s="288"/>
      <c r="E19" s="288"/>
      <c r="F19" s="29" t="s">
        <v>726</v>
      </c>
      <c r="G19" s="288"/>
      <c r="H19" s="29" t="s">
        <v>739</v>
      </c>
      <c r="I19" s="29" t="s">
        <v>740</v>
      </c>
      <c r="J19" s="167">
        <v>0</v>
      </c>
      <c r="K19" s="43" t="s">
        <v>185</v>
      </c>
      <c r="L19" s="167">
        <v>2</v>
      </c>
      <c r="M19" s="167">
        <v>0</v>
      </c>
      <c r="N19" s="29" t="s">
        <v>740</v>
      </c>
      <c r="O19" s="173">
        <v>2</v>
      </c>
      <c r="P19" s="178">
        <v>0</v>
      </c>
      <c r="Q19" s="172">
        <v>1318560</v>
      </c>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75" t="s">
        <v>741</v>
      </c>
      <c r="BB19" s="141"/>
    </row>
    <row r="20" spans="1:54" ht="120" x14ac:dyDescent="0.25">
      <c r="A20" s="165" t="s">
        <v>721</v>
      </c>
      <c r="B20" s="29" t="s">
        <v>722</v>
      </c>
      <c r="C20" s="288"/>
      <c r="D20" s="288"/>
      <c r="E20" s="288"/>
      <c r="F20" s="29" t="s">
        <v>726</v>
      </c>
      <c r="G20" s="288"/>
      <c r="H20" s="29" t="s">
        <v>742</v>
      </c>
      <c r="I20" s="29" t="s">
        <v>743</v>
      </c>
      <c r="J20" s="167">
        <v>0.49</v>
      </c>
      <c r="K20" s="43" t="s">
        <v>185</v>
      </c>
      <c r="L20" s="169">
        <v>0.8</v>
      </c>
      <c r="M20" s="170">
        <v>0.25</v>
      </c>
      <c r="N20" s="29" t="s">
        <v>743</v>
      </c>
      <c r="O20" s="171">
        <v>0.15</v>
      </c>
      <c r="P20" s="172">
        <v>1050000</v>
      </c>
      <c r="Q20" s="178">
        <v>0</v>
      </c>
      <c r="R20" s="173"/>
      <c r="S20" s="173"/>
      <c r="T20" s="173"/>
      <c r="U20" s="173"/>
      <c r="V20" s="172">
        <v>1050000</v>
      </c>
      <c r="W20" s="173"/>
      <c r="X20" s="173"/>
      <c r="Y20" s="173"/>
      <c r="Z20" s="173"/>
      <c r="AA20" s="173"/>
      <c r="AB20" s="173"/>
      <c r="AC20" s="173"/>
      <c r="AD20" s="173"/>
      <c r="AE20" s="173"/>
      <c r="AF20" s="173"/>
      <c r="AG20" s="173"/>
      <c r="AH20" s="173"/>
      <c r="AI20" s="173"/>
      <c r="AJ20" s="173"/>
      <c r="AK20" s="173"/>
      <c r="AL20" s="173"/>
      <c r="AM20" s="174" t="s">
        <v>744</v>
      </c>
      <c r="AN20" s="176" t="s">
        <v>200</v>
      </c>
      <c r="AO20" s="176" t="s">
        <v>200</v>
      </c>
      <c r="AP20" s="176" t="s">
        <v>200</v>
      </c>
      <c r="AQ20" s="176" t="s">
        <v>200</v>
      </c>
      <c r="AR20" s="176" t="s">
        <v>200</v>
      </c>
      <c r="AS20" s="176" t="s">
        <v>200</v>
      </c>
      <c r="AT20" s="176" t="s">
        <v>200</v>
      </c>
      <c r="AU20" s="176" t="s">
        <v>200</v>
      </c>
      <c r="AV20" s="176" t="s">
        <v>200</v>
      </c>
      <c r="AW20" s="176" t="s">
        <v>200</v>
      </c>
      <c r="AX20" s="176" t="s">
        <v>200</v>
      </c>
      <c r="AY20" s="176" t="s">
        <v>200</v>
      </c>
      <c r="AZ20" s="174" t="s">
        <v>857</v>
      </c>
      <c r="BA20" s="166" t="s">
        <v>745</v>
      </c>
      <c r="BB20" s="141"/>
    </row>
    <row r="21" spans="1:54" ht="409.5" x14ac:dyDescent="0.25">
      <c r="A21" s="165" t="s">
        <v>721</v>
      </c>
      <c r="B21" s="29" t="s">
        <v>722</v>
      </c>
      <c r="C21" s="288" t="s">
        <v>746</v>
      </c>
      <c r="D21" s="288" t="s">
        <v>747</v>
      </c>
      <c r="E21" s="288">
        <v>0.39250000000000002</v>
      </c>
      <c r="F21" s="29" t="s">
        <v>748</v>
      </c>
      <c r="G21" s="288" t="s">
        <v>749</v>
      </c>
      <c r="H21" s="29" t="s">
        <v>750</v>
      </c>
      <c r="I21" s="29" t="s">
        <v>751</v>
      </c>
      <c r="J21" s="167">
        <v>0</v>
      </c>
      <c r="K21" s="43" t="s">
        <v>185</v>
      </c>
      <c r="L21" s="167">
        <v>4</v>
      </c>
      <c r="M21" s="179">
        <v>2</v>
      </c>
      <c r="N21" s="29" t="s">
        <v>751</v>
      </c>
      <c r="O21" s="180">
        <v>0</v>
      </c>
      <c r="P21" s="172">
        <v>1318560</v>
      </c>
      <c r="Q21" s="172">
        <v>800000</v>
      </c>
      <c r="R21" s="173"/>
      <c r="S21" s="173"/>
      <c r="T21" s="173"/>
      <c r="U21" s="173"/>
      <c r="V21" s="173"/>
      <c r="W21" s="173"/>
      <c r="X21" s="173"/>
      <c r="Y21" s="173"/>
      <c r="Z21" s="173"/>
      <c r="AA21" s="173"/>
      <c r="AB21" s="173"/>
      <c r="AC21" s="173"/>
      <c r="AD21" s="173"/>
      <c r="AE21" s="173"/>
      <c r="AF21" s="173"/>
      <c r="AG21" s="174" t="s">
        <v>752</v>
      </c>
      <c r="AH21" s="181">
        <v>2017003190068</v>
      </c>
      <c r="AI21" s="173">
        <v>42</v>
      </c>
      <c r="AJ21" s="173"/>
      <c r="AK21" s="173">
        <v>1342650</v>
      </c>
      <c r="AL21" s="182">
        <v>1959</v>
      </c>
      <c r="AM21" s="174" t="s">
        <v>753</v>
      </c>
      <c r="AN21" s="176" t="s">
        <v>200</v>
      </c>
      <c r="AO21" s="176" t="s">
        <v>200</v>
      </c>
      <c r="AP21" s="176" t="s">
        <v>200</v>
      </c>
      <c r="AQ21" s="176" t="s">
        <v>200</v>
      </c>
      <c r="AR21" s="176" t="s">
        <v>200</v>
      </c>
      <c r="AS21" s="176" t="s">
        <v>200</v>
      </c>
      <c r="AT21" s="176" t="s">
        <v>200</v>
      </c>
      <c r="AU21" s="176" t="s">
        <v>200</v>
      </c>
      <c r="AV21" s="176" t="s">
        <v>200</v>
      </c>
      <c r="AW21" s="176" t="s">
        <v>200</v>
      </c>
      <c r="AX21" s="176" t="s">
        <v>200</v>
      </c>
      <c r="AY21" s="176" t="s">
        <v>200</v>
      </c>
      <c r="AZ21" s="174" t="s">
        <v>858</v>
      </c>
      <c r="BA21" s="166" t="s">
        <v>859</v>
      </c>
      <c r="BB21" s="141"/>
    </row>
    <row r="22" spans="1:54" ht="120" x14ac:dyDescent="0.25">
      <c r="A22" s="165" t="s">
        <v>721</v>
      </c>
      <c r="B22" s="29" t="s">
        <v>722</v>
      </c>
      <c r="C22" s="288"/>
      <c r="D22" s="288"/>
      <c r="E22" s="288"/>
      <c r="F22" s="29" t="s">
        <v>748</v>
      </c>
      <c r="G22" s="288"/>
      <c r="H22" s="29" t="s">
        <v>754</v>
      </c>
      <c r="I22" s="29" t="s">
        <v>755</v>
      </c>
      <c r="J22" s="167">
        <v>0</v>
      </c>
      <c r="K22" s="43" t="s">
        <v>756</v>
      </c>
      <c r="L22" s="167">
        <v>1</v>
      </c>
      <c r="M22" s="179">
        <v>0</v>
      </c>
      <c r="N22" s="29" t="s">
        <v>755</v>
      </c>
      <c r="O22" s="173">
        <v>0</v>
      </c>
      <c r="P22" s="172">
        <v>0</v>
      </c>
      <c r="Q22" s="172">
        <v>130000</v>
      </c>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66" t="s">
        <v>860</v>
      </c>
      <c r="BA22" s="175" t="s">
        <v>757</v>
      </c>
      <c r="BB22" s="141"/>
    </row>
    <row r="23" spans="1:54" ht="120" x14ac:dyDescent="0.25">
      <c r="A23" s="165" t="s">
        <v>721</v>
      </c>
      <c r="B23" s="29" t="s">
        <v>722</v>
      </c>
      <c r="C23" s="288"/>
      <c r="D23" s="288"/>
      <c r="E23" s="288"/>
      <c r="F23" s="29" t="s">
        <v>748</v>
      </c>
      <c r="G23" s="288"/>
      <c r="H23" s="29" t="s">
        <v>758</v>
      </c>
      <c r="I23" s="29" t="s">
        <v>759</v>
      </c>
      <c r="J23" s="167">
        <v>0</v>
      </c>
      <c r="K23" s="43" t="s">
        <v>756</v>
      </c>
      <c r="L23" s="167">
        <v>10</v>
      </c>
      <c r="M23" s="179">
        <v>0</v>
      </c>
      <c r="N23" s="29" t="s">
        <v>759</v>
      </c>
      <c r="O23" s="173">
        <v>10</v>
      </c>
      <c r="P23" s="178">
        <v>0</v>
      </c>
      <c r="Q23" s="172">
        <v>4870000</v>
      </c>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4"/>
      <c r="BA23" s="175" t="s">
        <v>760</v>
      </c>
      <c r="BB23" s="141"/>
    </row>
    <row r="24" spans="1:54" ht="165" x14ac:dyDescent="0.25">
      <c r="A24" s="165" t="s">
        <v>721</v>
      </c>
      <c r="B24" s="29" t="s">
        <v>722</v>
      </c>
      <c r="C24" s="288"/>
      <c r="D24" s="288"/>
      <c r="E24" s="288"/>
      <c r="F24" s="29" t="s">
        <v>748</v>
      </c>
      <c r="G24" s="288"/>
      <c r="H24" s="29" t="s">
        <v>761</v>
      </c>
      <c r="I24" s="29" t="s">
        <v>762</v>
      </c>
      <c r="J24" s="167">
        <v>67</v>
      </c>
      <c r="K24" s="43" t="s">
        <v>354</v>
      </c>
      <c r="L24" s="167">
        <v>132</v>
      </c>
      <c r="M24" s="179">
        <v>0</v>
      </c>
      <c r="N24" s="29" t="s">
        <v>762</v>
      </c>
      <c r="O24" s="180">
        <v>190</v>
      </c>
      <c r="P24" s="178">
        <v>0</v>
      </c>
      <c r="Q24" s="172">
        <v>170494</v>
      </c>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4"/>
      <c r="BA24" s="175" t="s">
        <v>763</v>
      </c>
      <c r="BB24" s="141"/>
    </row>
    <row r="25" spans="1:54" ht="240" x14ac:dyDescent="0.25">
      <c r="A25" s="165" t="s">
        <v>721</v>
      </c>
      <c r="B25" s="29" t="s">
        <v>722</v>
      </c>
      <c r="C25" s="288"/>
      <c r="D25" s="288"/>
      <c r="E25" s="288"/>
      <c r="F25" s="29" t="s">
        <v>748</v>
      </c>
      <c r="G25" s="288"/>
      <c r="H25" s="29" t="s">
        <v>764</v>
      </c>
      <c r="I25" s="29" t="s">
        <v>765</v>
      </c>
      <c r="J25" s="167">
        <v>0</v>
      </c>
      <c r="K25" s="43" t="s">
        <v>354</v>
      </c>
      <c r="L25" s="167">
        <v>1</v>
      </c>
      <c r="M25" s="179">
        <v>1</v>
      </c>
      <c r="N25" s="29" t="s">
        <v>765</v>
      </c>
      <c r="O25" s="176">
        <v>0.5</v>
      </c>
      <c r="P25" s="172">
        <v>800000</v>
      </c>
      <c r="Q25" s="178">
        <v>85000</v>
      </c>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6" t="s">
        <v>200</v>
      </c>
      <c r="AO25" s="176" t="s">
        <v>200</v>
      </c>
      <c r="AP25" s="176" t="s">
        <v>200</v>
      </c>
      <c r="AQ25" s="176" t="s">
        <v>200</v>
      </c>
      <c r="AR25" s="176" t="s">
        <v>200</v>
      </c>
      <c r="AS25" s="176" t="s">
        <v>200</v>
      </c>
      <c r="AT25" s="176" t="s">
        <v>200</v>
      </c>
      <c r="AU25" s="176" t="s">
        <v>200</v>
      </c>
      <c r="AV25" s="176" t="s">
        <v>200</v>
      </c>
      <c r="AW25" s="176" t="s">
        <v>200</v>
      </c>
      <c r="AX25" s="176" t="s">
        <v>200</v>
      </c>
      <c r="AY25" s="176" t="s">
        <v>200</v>
      </c>
      <c r="AZ25" s="175" t="s">
        <v>861</v>
      </c>
      <c r="BA25" s="166" t="s">
        <v>766</v>
      </c>
      <c r="BB25" s="141"/>
    </row>
    <row r="26" spans="1:54" ht="240" x14ac:dyDescent="0.25">
      <c r="A26" s="165" t="s">
        <v>721</v>
      </c>
      <c r="B26" s="29" t="s">
        <v>722</v>
      </c>
      <c r="C26" s="288"/>
      <c r="D26" s="288"/>
      <c r="E26" s="289"/>
      <c r="F26" s="29" t="s">
        <v>748</v>
      </c>
      <c r="G26" s="288"/>
      <c r="H26" s="29" t="s">
        <v>767</v>
      </c>
      <c r="I26" s="29" t="s">
        <v>768</v>
      </c>
      <c r="J26" s="167">
        <v>451</v>
      </c>
      <c r="K26" s="43" t="s">
        <v>185</v>
      </c>
      <c r="L26" s="169">
        <v>0.5</v>
      </c>
      <c r="M26" s="170">
        <v>0.1</v>
      </c>
      <c r="N26" s="29" t="s">
        <v>768</v>
      </c>
      <c r="O26" s="171">
        <v>0.32</v>
      </c>
      <c r="P26" s="172">
        <v>130000</v>
      </c>
      <c r="Q26" s="172">
        <v>130000</v>
      </c>
      <c r="R26" s="173"/>
      <c r="S26" s="173"/>
      <c r="T26" s="173"/>
      <c r="U26" s="173"/>
      <c r="V26" s="173"/>
      <c r="W26" s="173"/>
      <c r="X26" s="173"/>
      <c r="Y26" s="173"/>
      <c r="Z26" s="173"/>
      <c r="AA26" s="173"/>
      <c r="AB26" s="173"/>
      <c r="AC26" s="173"/>
      <c r="AD26" s="173"/>
      <c r="AE26" s="173"/>
      <c r="AF26" s="173"/>
      <c r="AG26" s="174" t="s">
        <v>769</v>
      </c>
      <c r="AH26" s="184">
        <v>2017003190299</v>
      </c>
      <c r="AI26" s="176">
        <v>42</v>
      </c>
      <c r="AJ26" s="173"/>
      <c r="AK26" s="174" t="s">
        <v>862</v>
      </c>
      <c r="AL26" s="176">
        <v>130000</v>
      </c>
      <c r="AM26" s="174" t="s">
        <v>767</v>
      </c>
      <c r="AN26" s="176" t="s">
        <v>200</v>
      </c>
      <c r="AO26" s="176" t="s">
        <v>200</v>
      </c>
      <c r="AP26" s="176" t="s">
        <v>200</v>
      </c>
      <c r="AQ26" s="176" t="s">
        <v>200</v>
      </c>
      <c r="AR26" s="176" t="s">
        <v>200</v>
      </c>
      <c r="AS26" s="176" t="s">
        <v>200</v>
      </c>
      <c r="AT26" s="176" t="s">
        <v>200</v>
      </c>
      <c r="AU26" s="176" t="s">
        <v>200</v>
      </c>
      <c r="AV26" s="176" t="s">
        <v>200</v>
      </c>
      <c r="AW26" s="176" t="s">
        <v>200</v>
      </c>
      <c r="AX26" s="176" t="s">
        <v>200</v>
      </c>
      <c r="AY26" s="176" t="s">
        <v>200</v>
      </c>
      <c r="AZ26" s="174" t="s">
        <v>863</v>
      </c>
      <c r="BA26" s="166" t="s">
        <v>770</v>
      </c>
      <c r="BB26" s="141"/>
    </row>
    <row r="27" spans="1:54" ht="225" x14ac:dyDescent="0.25">
      <c r="A27" s="165" t="s">
        <v>721</v>
      </c>
      <c r="B27" s="29" t="s">
        <v>722</v>
      </c>
      <c r="C27" s="288"/>
      <c r="D27" s="288"/>
      <c r="E27" s="288"/>
      <c r="F27" s="29" t="s">
        <v>748</v>
      </c>
      <c r="G27" s="288"/>
      <c r="H27" s="29" t="s">
        <v>771</v>
      </c>
      <c r="I27" s="29" t="s">
        <v>772</v>
      </c>
      <c r="J27" s="167">
        <v>0</v>
      </c>
      <c r="K27" s="43" t="s">
        <v>354</v>
      </c>
      <c r="L27" s="167">
        <v>1</v>
      </c>
      <c r="M27" s="167">
        <v>1</v>
      </c>
      <c r="N27" s="29" t="s">
        <v>772</v>
      </c>
      <c r="O27" s="190">
        <v>0.75</v>
      </c>
      <c r="P27" s="172">
        <v>4870000</v>
      </c>
      <c r="Q27" s="172">
        <v>60000</v>
      </c>
      <c r="R27" s="173"/>
      <c r="S27" s="173"/>
      <c r="T27" s="173"/>
      <c r="U27" s="173"/>
      <c r="V27" s="173"/>
      <c r="W27" s="173"/>
      <c r="X27" s="173"/>
      <c r="Y27" s="173"/>
      <c r="Z27" s="173"/>
      <c r="AA27" s="173"/>
      <c r="AB27" s="173"/>
      <c r="AC27" s="173"/>
      <c r="AD27" s="173"/>
      <c r="AE27" s="173"/>
      <c r="AF27" s="173"/>
      <c r="AG27" s="173"/>
      <c r="AH27" s="173"/>
      <c r="AI27" s="173"/>
      <c r="AJ27" s="173"/>
      <c r="AK27" s="173"/>
      <c r="AL27" s="173"/>
      <c r="AM27" s="174" t="s">
        <v>773</v>
      </c>
      <c r="AN27" s="176" t="s">
        <v>200</v>
      </c>
      <c r="AO27" s="176" t="s">
        <v>200</v>
      </c>
      <c r="AP27" s="176" t="s">
        <v>200</v>
      </c>
      <c r="AQ27" s="176" t="s">
        <v>200</v>
      </c>
      <c r="AR27" s="176" t="s">
        <v>200</v>
      </c>
      <c r="AS27" s="176" t="s">
        <v>200</v>
      </c>
      <c r="AT27" s="176" t="s">
        <v>200</v>
      </c>
      <c r="AU27" s="176" t="s">
        <v>200</v>
      </c>
      <c r="AV27" s="176" t="s">
        <v>200</v>
      </c>
      <c r="AW27" s="176" t="s">
        <v>200</v>
      </c>
      <c r="AX27" s="176" t="s">
        <v>200</v>
      </c>
      <c r="AY27" s="176" t="s">
        <v>200</v>
      </c>
      <c r="AZ27" s="174" t="s">
        <v>774</v>
      </c>
      <c r="BA27" s="166" t="s">
        <v>864</v>
      </c>
      <c r="BB27" s="141"/>
    </row>
    <row r="28" spans="1:54" ht="195" x14ac:dyDescent="0.25">
      <c r="A28" s="165" t="s">
        <v>721</v>
      </c>
      <c r="B28" s="29" t="s">
        <v>722</v>
      </c>
      <c r="C28" s="288" t="s">
        <v>775</v>
      </c>
      <c r="D28" s="288" t="s">
        <v>776</v>
      </c>
      <c r="E28" s="288">
        <v>0</v>
      </c>
      <c r="F28" s="29" t="s">
        <v>777</v>
      </c>
      <c r="G28" s="288" t="s">
        <v>778</v>
      </c>
      <c r="H28" s="29" t="s">
        <v>779</v>
      </c>
      <c r="I28" s="29" t="s">
        <v>780</v>
      </c>
      <c r="J28" s="167">
        <v>13</v>
      </c>
      <c r="K28" s="43" t="s">
        <v>185</v>
      </c>
      <c r="L28" s="167">
        <v>150</v>
      </c>
      <c r="M28" s="179">
        <v>84</v>
      </c>
      <c r="N28" s="29" t="s">
        <v>780</v>
      </c>
      <c r="O28" s="183">
        <v>66</v>
      </c>
      <c r="P28" s="172">
        <v>170494</v>
      </c>
      <c r="Q28" s="172">
        <v>60000</v>
      </c>
      <c r="R28" s="173"/>
      <c r="S28" s="173"/>
      <c r="T28" s="173"/>
      <c r="U28" s="173"/>
      <c r="V28" s="173"/>
      <c r="W28" s="173"/>
      <c r="X28" s="173"/>
      <c r="Y28" s="173"/>
      <c r="Z28" s="173"/>
      <c r="AA28" s="173"/>
      <c r="AB28" s="173"/>
      <c r="AC28" s="173"/>
      <c r="AD28" s="173"/>
      <c r="AE28" s="173"/>
      <c r="AF28" s="173"/>
      <c r="AG28" s="174" t="s">
        <v>781</v>
      </c>
      <c r="AH28" s="185" t="s">
        <v>782</v>
      </c>
      <c r="AI28" s="173">
        <v>42</v>
      </c>
      <c r="AJ28" s="173"/>
      <c r="AK28" s="173">
        <f>+AK27</f>
        <v>0</v>
      </c>
      <c r="AL28" s="182">
        <v>772985</v>
      </c>
      <c r="AM28" s="174" t="s">
        <v>783</v>
      </c>
      <c r="AN28" s="176" t="s">
        <v>200</v>
      </c>
      <c r="AO28" s="176" t="s">
        <v>200</v>
      </c>
      <c r="AP28" s="176" t="s">
        <v>200</v>
      </c>
      <c r="AQ28" s="176" t="s">
        <v>200</v>
      </c>
      <c r="AR28" s="176" t="s">
        <v>200</v>
      </c>
      <c r="AS28" s="176" t="s">
        <v>200</v>
      </c>
      <c r="AT28" s="176" t="s">
        <v>200</v>
      </c>
      <c r="AU28" s="176" t="s">
        <v>200</v>
      </c>
      <c r="AV28" s="176" t="s">
        <v>200</v>
      </c>
      <c r="AW28" s="176" t="s">
        <v>200</v>
      </c>
      <c r="AX28" s="176" t="s">
        <v>200</v>
      </c>
      <c r="AY28" s="176" t="s">
        <v>200</v>
      </c>
      <c r="AZ28" s="174" t="s">
        <v>865</v>
      </c>
      <c r="BA28" s="174"/>
      <c r="BB28" s="141"/>
    </row>
    <row r="29" spans="1:54" ht="150" x14ac:dyDescent="0.25">
      <c r="A29" s="165" t="s">
        <v>721</v>
      </c>
      <c r="B29" s="29" t="s">
        <v>722</v>
      </c>
      <c r="C29" s="288"/>
      <c r="D29" s="288"/>
      <c r="E29" s="288"/>
      <c r="F29" s="29" t="s">
        <v>777</v>
      </c>
      <c r="G29" s="288"/>
      <c r="H29" s="29" t="s">
        <v>784</v>
      </c>
      <c r="I29" s="29" t="s">
        <v>785</v>
      </c>
      <c r="J29" s="167">
        <v>13</v>
      </c>
      <c r="K29" s="43" t="s">
        <v>185</v>
      </c>
      <c r="L29" s="167">
        <v>150</v>
      </c>
      <c r="M29" s="179">
        <v>17</v>
      </c>
      <c r="N29" s="29" t="s">
        <v>785</v>
      </c>
      <c r="O29" s="173">
        <v>217</v>
      </c>
      <c r="P29" s="172">
        <v>286000</v>
      </c>
      <c r="Q29" s="172">
        <v>60000</v>
      </c>
      <c r="R29" s="173"/>
      <c r="S29" s="173"/>
      <c r="T29" s="173"/>
      <c r="U29" s="173"/>
      <c r="V29" s="173"/>
      <c r="W29" s="173"/>
      <c r="X29" s="173"/>
      <c r="Y29" s="173"/>
      <c r="Z29" s="173"/>
      <c r="AA29" s="173"/>
      <c r="AB29" s="173"/>
      <c r="AC29" s="173"/>
      <c r="AD29" s="173"/>
      <c r="AE29" s="173"/>
      <c r="AF29" s="173"/>
      <c r="AG29" s="173"/>
      <c r="AH29" s="173"/>
      <c r="AI29" s="173"/>
      <c r="AJ29" s="173"/>
      <c r="AK29" s="173"/>
      <c r="AL29" s="173"/>
      <c r="AM29" s="174" t="s">
        <v>866</v>
      </c>
      <c r="AN29" s="176" t="s">
        <v>200</v>
      </c>
      <c r="AO29" s="176" t="s">
        <v>200</v>
      </c>
      <c r="AP29" s="176" t="s">
        <v>200</v>
      </c>
      <c r="AQ29" s="176" t="s">
        <v>200</v>
      </c>
      <c r="AR29" s="176" t="s">
        <v>200</v>
      </c>
      <c r="AS29" s="176" t="s">
        <v>200</v>
      </c>
      <c r="AT29" s="176" t="s">
        <v>200</v>
      </c>
      <c r="AU29" s="176" t="s">
        <v>200</v>
      </c>
      <c r="AV29" s="176" t="s">
        <v>200</v>
      </c>
      <c r="AW29" s="176" t="s">
        <v>200</v>
      </c>
      <c r="AX29" s="176" t="s">
        <v>200</v>
      </c>
      <c r="AY29" s="176" t="s">
        <v>200</v>
      </c>
      <c r="AZ29" s="174" t="s">
        <v>865</v>
      </c>
      <c r="BA29" s="175" t="s">
        <v>786</v>
      </c>
      <c r="BB29" s="141"/>
    </row>
    <row r="30" spans="1:54" ht="135" x14ac:dyDescent="0.25">
      <c r="A30" s="165" t="s">
        <v>721</v>
      </c>
      <c r="B30" s="29" t="s">
        <v>722</v>
      </c>
      <c r="C30" s="288" t="s">
        <v>787</v>
      </c>
      <c r="D30" s="288" t="s">
        <v>788</v>
      </c>
      <c r="E30" s="288">
        <v>0.06</v>
      </c>
      <c r="F30" s="29" t="s">
        <v>789</v>
      </c>
      <c r="G30" s="288" t="s">
        <v>790</v>
      </c>
      <c r="H30" s="29" t="s">
        <v>791</v>
      </c>
      <c r="I30" s="29" t="s">
        <v>792</v>
      </c>
      <c r="J30" s="167">
        <v>0</v>
      </c>
      <c r="K30" s="43" t="s">
        <v>185</v>
      </c>
      <c r="L30" s="169">
        <v>0.33</v>
      </c>
      <c r="M30" s="179">
        <v>0</v>
      </c>
      <c r="N30" s="29" t="s">
        <v>792</v>
      </c>
      <c r="O30" s="191">
        <v>0.33</v>
      </c>
      <c r="P30" s="178">
        <v>0</v>
      </c>
      <c r="Q30" s="172">
        <v>60000</v>
      </c>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66" t="s">
        <v>793</v>
      </c>
      <c r="BA30" s="175" t="s">
        <v>794</v>
      </c>
      <c r="BB30" s="141"/>
    </row>
    <row r="31" spans="1:54" ht="409.5" x14ac:dyDescent="0.25">
      <c r="A31" s="165" t="s">
        <v>721</v>
      </c>
      <c r="B31" s="29" t="s">
        <v>722</v>
      </c>
      <c r="C31" s="288"/>
      <c r="D31" s="288"/>
      <c r="E31" s="288"/>
      <c r="F31" s="29" t="s">
        <v>789</v>
      </c>
      <c r="G31" s="288"/>
      <c r="H31" s="29" t="s">
        <v>795</v>
      </c>
      <c r="I31" s="29" t="s">
        <v>796</v>
      </c>
      <c r="J31" s="167">
        <v>0</v>
      </c>
      <c r="K31" s="43" t="s">
        <v>185</v>
      </c>
      <c r="L31" s="169">
        <v>0.33</v>
      </c>
      <c r="M31" s="170">
        <v>0.08</v>
      </c>
      <c r="N31" s="29" t="s">
        <v>796</v>
      </c>
      <c r="O31" s="171">
        <v>0.25</v>
      </c>
      <c r="P31" s="178">
        <v>85000</v>
      </c>
      <c r="Q31" s="176" t="s">
        <v>200</v>
      </c>
      <c r="R31" s="173"/>
      <c r="S31" s="173"/>
      <c r="T31" s="173"/>
      <c r="U31" s="173"/>
      <c r="V31" s="173"/>
      <c r="W31" s="173"/>
      <c r="X31" s="173"/>
      <c r="Y31" s="173"/>
      <c r="Z31" s="173"/>
      <c r="AA31" s="173"/>
      <c r="AB31" s="173"/>
      <c r="AC31" s="173"/>
      <c r="AD31" s="173"/>
      <c r="AE31" s="173"/>
      <c r="AF31" s="173"/>
      <c r="AG31" s="174" t="s">
        <v>797</v>
      </c>
      <c r="AH31" s="174" t="s">
        <v>798</v>
      </c>
      <c r="AI31" s="175" t="s">
        <v>799</v>
      </c>
      <c r="AJ31" s="173"/>
      <c r="AK31" s="166" t="s">
        <v>862</v>
      </c>
      <c r="AL31" s="186">
        <v>160</v>
      </c>
      <c r="AM31" s="173"/>
      <c r="AN31" s="176" t="s">
        <v>200</v>
      </c>
      <c r="AO31" s="176" t="s">
        <v>200</v>
      </c>
      <c r="AP31" s="176" t="s">
        <v>200</v>
      </c>
      <c r="AQ31" s="176" t="s">
        <v>200</v>
      </c>
      <c r="AR31" s="176" t="s">
        <v>200</v>
      </c>
      <c r="AS31" s="176" t="s">
        <v>200</v>
      </c>
      <c r="AT31" s="176" t="s">
        <v>200</v>
      </c>
      <c r="AU31" s="176" t="s">
        <v>200</v>
      </c>
      <c r="AV31" s="176" t="s">
        <v>200</v>
      </c>
      <c r="AW31" s="176" t="s">
        <v>200</v>
      </c>
      <c r="AX31" s="176" t="s">
        <v>200</v>
      </c>
      <c r="AY31" s="176" t="s">
        <v>200</v>
      </c>
      <c r="AZ31" s="166" t="s">
        <v>800</v>
      </c>
      <c r="BA31" s="166" t="s">
        <v>867</v>
      </c>
      <c r="BB31" s="141"/>
    </row>
    <row r="32" spans="1:54" ht="409.5" x14ac:dyDescent="0.25">
      <c r="A32" s="165" t="s">
        <v>721</v>
      </c>
      <c r="B32" s="29" t="s">
        <v>722</v>
      </c>
      <c r="C32" s="167" t="s">
        <v>801</v>
      </c>
      <c r="D32" s="29" t="s">
        <v>802</v>
      </c>
      <c r="E32" s="29">
        <v>0</v>
      </c>
      <c r="F32" s="167" t="s">
        <v>803</v>
      </c>
      <c r="G32" s="29" t="s">
        <v>804</v>
      </c>
      <c r="H32" s="29" t="s">
        <v>805</v>
      </c>
      <c r="I32" s="29" t="s">
        <v>806</v>
      </c>
      <c r="J32" s="167">
        <v>0</v>
      </c>
      <c r="K32" s="43" t="s">
        <v>185</v>
      </c>
      <c r="L32" s="167">
        <v>1</v>
      </c>
      <c r="M32" s="179">
        <v>0</v>
      </c>
      <c r="N32" s="29" t="s">
        <v>806</v>
      </c>
      <c r="O32" s="176">
        <v>2.02</v>
      </c>
      <c r="P32" s="178">
        <v>0</v>
      </c>
      <c r="Q32" s="176" t="s">
        <v>200</v>
      </c>
      <c r="R32" s="173"/>
      <c r="S32" s="173"/>
      <c r="T32" s="173"/>
      <c r="U32" s="173"/>
      <c r="V32" s="173"/>
      <c r="W32" s="173"/>
      <c r="X32" s="173"/>
      <c r="Y32" s="173"/>
      <c r="Z32" s="173"/>
      <c r="AA32" s="173"/>
      <c r="AB32" s="173"/>
      <c r="AC32" s="173"/>
      <c r="AD32" s="173"/>
      <c r="AE32" s="173"/>
      <c r="AF32" s="173"/>
      <c r="AG32" s="166" t="s">
        <v>807</v>
      </c>
      <c r="AH32" s="184">
        <v>2018003190071</v>
      </c>
      <c r="AI32" s="175" t="s">
        <v>799</v>
      </c>
      <c r="AJ32" s="173"/>
      <c r="AK32" s="166" t="s">
        <v>862</v>
      </c>
      <c r="AL32" s="176" t="s">
        <v>808</v>
      </c>
      <c r="AM32" s="174" t="s">
        <v>809</v>
      </c>
      <c r="AN32" s="176" t="s">
        <v>200</v>
      </c>
      <c r="AO32" s="176" t="s">
        <v>200</v>
      </c>
      <c r="AP32" s="176" t="s">
        <v>200</v>
      </c>
      <c r="AQ32" s="176" t="s">
        <v>200</v>
      </c>
      <c r="AR32" s="176" t="s">
        <v>200</v>
      </c>
      <c r="AS32" s="176" t="s">
        <v>200</v>
      </c>
      <c r="AT32" s="176" t="s">
        <v>200</v>
      </c>
      <c r="AU32" s="176" t="s">
        <v>200</v>
      </c>
      <c r="AV32" s="176" t="s">
        <v>200</v>
      </c>
      <c r="AW32" s="176" t="s">
        <v>200</v>
      </c>
      <c r="AX32" s="176" t="s">
        <v>200</v>
      </c>
      <c r="AY32" s="176" t="s">
        <v>200</v>
      </c>
      <c r="AZ32" s="166" t="s">
        <v>810</v>
      </c>
      <c r="BA32" s="166" t="s">
        <v>868</v>
      </c>
      <c r="BB32" s="141"/>
    </row>
    <row r="33" spans="1:54" ht="375" x14ac:dyDescent="0.25">
      <c r="A33" s="165" t="s">
        <v>721</v>
      </c>
      <c r="B33" s="29" t="s">
        <v>722</v>
      </c>
      <c r="C33" s="288" t="s">
        <v>811</v>
      </c>
      <c r="D33" s="288" t="s">
        <v>812</v>
      </c>
      <c r="E33" s="288">
        <v>0</v>
      </c>
      <c r="F33" s="29" t="s">
        <v>813</v>
      </c>
      <c r="G33" s="288" t="s">
        <v>814</v>
      </c>
      <c r="H33" s="29" t="s">
        <v>815</v>
      </c>
      <c r="I33" s="168" t="s">
        <v>816</v>
      </c>
      <c r="J33" s="187" t="s">
        <v>817</v>
      </c>
      <c r="K33" s="188" t="s">
        <v>185</v>
      </c>
      <c r="L33" s="187">
        <v>77.599999999999994</v>
      </c>
      <c r="M33" s="189">
        <v>2.6</v>
      </c>
      <c r="N33" s="168" t="s">
        <v>816</v>
      </c>
      <c r="O33" s="176">
        <v>14</v>
      </c>
      <c r="P33" s="172">
        <v>60000</v>
      </c>
      <c r="Q33" s="176" t="s">
        <v>200</v>
      </c>
      <c r="R33" s="173"/>
      <c r="S33" s="173"/>
      <c r="T33" s="173"/>
      <c r="U33" s="173"/>
      <c r="V33" s="173"/>
      <c r="W33" s="173"/>
      <c r="X33" s="173"/>
      <c r="Y33" s="173"/>
      <c r="Z33" s="173"/>
      <c r="AA33" s="173"/>
      <c r="AB33" s="173"/>
      <c r="AC33" s="173"/>
      <c r="AD33" s="176"/>
      <c r="AE33" s="173"/>
      <c r="AF33" s="173"/>
      <c r="AG33" s="174" t="s">
        <v>807</v>
      </c>
      <c r="AH33" s="184">
        <v>2018003190071</v>
      </c>
      <c r="AI33" s="175" t="s">
        <v>799</v>
      </c>
      <c r="AJ33" s="173"/>
      <c r="AK33" s="166" t="s">
        <v>862</v>
      </c>
      <c r="AL33" s="176">
        <v>31.695</v>
      </c>
      <c r="AM33" s="174" t="s">
        <v>818</v>
      </c>
      <c r="AN33" s="176" t="s">
        <v>200</v>
      </c>
      <c r="AO33" s="176" t="s">
        <v>200</v>
      </c>
      <c r="AP33" s="176" t="s">
        <v>200</v>
      </c>
      <c r="AQ33" s="176" t="s">
        <v>200</v>
      </c>
      <c r="AR33" s="176" t="s">
        <v>200</v>
      </c>
      <c r="AS33" s="176" t="s">
        <v>200</v>
      </c>
      <c r="AT33" s="176" t="s">
        <v>200</v>
      </c>
      <c r="AU33" s="176" t="s">
        <v>200</v>
      </c>
      <c r="AV33" s="176" t="s">
        <v>200</v>
      </c>
      <c r="AW33" s="176" t="s">
        <v>200</v>
      </c>
      <c r="AX33" s="176" t="s">
        <v>200</v>
      </c>
      <c r="AY33" s="176" t="s">
        <v>200</v>
      </c>
      <c r="AZ33" s="166" t="s">
        <v>819</v>
      </c>
      <c r="BA33" s="166" t="s">
        <v>869</v>
      </c>
      <c r="BB33" s="141"/>
    </row>
    <row r="34" spans="1:54" ht="375" x14ac:dyDescent="0.25">
      <c r="A34" s="165" t="s">
        <v>721</v>
      </c>
      <c r="B34" s="29" t="s">
        <v>722</v>
      </c>
      <c r="C34" s="288"/>
      <c r="D34" s="288"/>
      <c r="E34" s="288"/>
      <c r="F34" s="29" t="s">
        <v>813</v>
      </c>
      <c r="G34" s="288"/>
      <c r="H34" s="29" t="s">
        <v>820</v>
      </c>
      <c r="I34" s="167" t="s">
        <v>821</v>
      </c>
      <c r="J34" s="187" t="s">
        <v>822</v>
      </c>
      <c r="K34" s="188" t="s">
        <v>185</v>
      </c>
      <c r="L34" s="187">
        <v>77</v>
      </c>
      <c r="M34" s="189">
        <v>1</v>
      </c>
      <c r="N34" s="167" t="s">
        <v>821</v>
      </c>
      <c r="O34" s="176">
        <v>15</v>
      </c>
      <c r="P34" s="172">
        <v>60000</v>
      </c>
      <c r="Q34" s="176" t="s">
        <v>200</v>
      </c>
      <c r="R34" s="173"/>
      <c r="S34" s="173"/>
      <c r="T34" s="173"/>
      <c r="U34" s="173"/>
      <c r="V34" s="173"/>
      <c r="W34" s="173"/>
      <c r="X34" s="173"/>
      <c r="Y34" s="173"/>
      <c r="Z34" s="173"/>
      <c r="AA34" s="173"/>
      <c r="AB34" s="173"/>
      <c r="AC34" s="173"/>
      <c r="AD34" s="176"/>
      <c r="AE34" s="173"/>
      <c r="AF34" s="173"/>
      <c r="AG34" s="174" t="s">
        <v>807</v>
      </c>
      <c r="AH34" s="184">
        <v>2018003190071</v>
      </c>
      <c r="AI34" s="175" t="s">
        <v>799</v>
      </c>
      <c r="AJ34" s="173"/>
      <c r="AK34" s="166" t="s">
        <v>862</v>
      </c>
      <c r="AL34" s="176">
        <v>31.695</v>
      </c>
      <c r="AM34" s="174" t="s">
        <v>818</v>
      </c>
      <c r="AN34" s="176" t="s">
        <v>200</v>
      </c>
      <c r="AO34" s="176" t="s">
        <v>200</v>
      </c>
      <c r="AP34" s="176" t="s">
        <v>200</v>
      </c>
      <c r="AQ34" s="176" t="s">
        <v>200</v>
      </c>
      <c r="AR34" s="176" t="s">
        <v>200</v>
      </c>
      <c r="AS34" s="176" t="s">
        <v>200</v>
      </c>
      <c r="AT34" s="176" t="s">
        <v>200</v>
      </c>
      <c r="AU34" s="176" t="s">
        <v>200</v>
      </c>
      <c r="AV34" s="176" t="s">
        <v>200</v>
      </c>
      <c r="AW34" s="176" t="s">
        <v>200</v>
      </c>
      <c r="AX34" s="176" t="s">
        <v>200</v>
      </c>
      <c r="AY34" s="176" t="s">
        <v>200</v>
      </c>
      <c r="AZ34" s="166" t="s">
        <v>819</v>
      </c>
      <c r="BA34" s="166" t="s">
        <v>869</v>
      </c>
      <c r="BB34" s="141"/>
    </row>
    <row r="35" spans="1:54" ht="375" x14ac:dyDescent="0.25">
      <c r="A35" s="165" t="s">
        <v>721</v>
      </c>
      <c r="B35" s="29" t="s">
        <v>722</v>
      </c>
      <c r="C35" s="288"/>
      <c r="D35" s="288"/>
      <c r="E35" s="288"/>
      <c r="F35" s="29" t="s">
        <v>813</v>
      </c>
      <c r="G35" s="288"/>
      <c r="H35" s="29" t="s">
        <v>823</v>
      </c>
      <c r="I35" s="167" t="s">
        <v>824</v>
      </c>
      <c r="J35" s="187" t="s">
        <v>825</v>
      </c>
      <c r="K35" s="188" t="s">
        <v>185</v>
      </c>
      <c r="L35" s="187">
        <v>90</v>
      </c>
      <c r="M35" s="189">
        <v>0.5</v>
      </c>
      <c r="N35" s="167" t="s">
        <v>824</v>
      </c>
      <c r="O35" s="176">
        <v>13</v>
      </c>
      <c r="P35" s="172">
        <v>60000</v>
      </c>
      <c r="Q35" s="176" t="s">
        <v>200</v>
      </c>
      <c r="R35" s="173"/>
      <c r="S35" s="173"/>
      <c r="T35" s="173"/>
      <c r="U35" s="173"/>
      <c r="V35" s="173"/>
      <c r="W35" s="173"/>
      <c r="X35" s="173"/>
      <c r="Y35" s="173"/>
      <c r="Z35" s="173"/>
      <c r="AA35" s="173"/>
      <c r="AB35" s="173"/>
      <c r="AC35" s="173"/>
      <c r="AD35" s="176"/>
      <c r="AE35" s="173"/>
      <c r="AF35" s="173"/>
      <c r="AG35" s="174" t="s">
        <v>807</v>
      </c>
      <c r="AH35" s="184">
        <v>2018003190071</v>
      </c>
      <c r="AI35" s="175" t="s">
        <v>799</v>
      </c>
      <c r="AJ35" s="173"/>
      <c r="AK35" s="166" t="s">
        <v>862</v>
      </c>
      <c r="AL35" s="176">
        <v>31.695</v>
      </c>
      <c r="AM35" s="174" t="s">
        <v>818</v>
      </c>
      <c r="AN35" s="176" t="s">
        <v>200</v>
      </c>
      <c r="AO35" s="176" t="s">
        <v>200</v>
      </c>
      <c r="AP35" s="176" t="s">
        <v>200</v>
      </c>
      <c r="AQ35" s="176" t="s">
        <v>200</v>
      </c>
      <c r="AR35" s="176" t="s">
        <v>200</v>
      </c>
      <c r="AS35" s="176" t="s">
        <v>200</v>
      </c>
      <c r="AT35" s="176" t="s">
        <v>200</v>
      </c>
      <c r="AU35" s="176" t="s">
        <v>200</v>
      </c>
      <c r="AV35" s="176" t="s">
        <v>200</v>
      </c>
      <c r="AW35" s="176" t="s">
        <v>200</v>
      </c>
      <c r="AX35" s="176" t="s">
        <v>200</v>
      </c>
      <c r="AY35" s="176" t="s">
        <v>200</v>
      </c>
      <c r="AZ35" s="166" t="s">
        <v>819</v>
      </c>
      <c r="BA35" s="166" t="s">
        <v>869</v>
      </c>
      <c r="BB35" s="141"/>
    </row>
    <row r="36" spans="1:54" ht="375" x14ac:dyDescent="0.25">
      <c r="A36" s="165" t="s">
        <v>721</v>
      </c>
      <c r="B36" s="29" t="s">
        <v>722</v>
      </c>
      <c r="C36" s="288"/>
      <c r="D36" s="288"/>
      <c r="E36" s="288"/>
      <c r="F36" s="29" t="s">
        <v>813</v>
      </c>
      <c r="G36" s="288"/>
      <c r="H36" s="29" t="s">
        <v>826</v>
      </c>
      <c r="I36" s="167" t="s">
        <v>827</v>
      </c>
      <c r="J36" s="187" t="s">
        <v>828</v>
      </c>
      <c r="K36" s="188" t="s">
        <v>185</v>
      </c>
      <c r="L36" s="187">
        <v>66</v>
      </c>
      <c r="M36" s="189">
        <v>1</v>
      </c>
      <c r="N36" s="167" t="s">
        <v>827</v>
      </c>
      <c r="O36" s="176">
        <v>13</v>
      </c>
      <c r="P36" s="172">
        <v>60000</v>
      </c>
      <c r="Q36" s="176" t="s">
        <v>200</v>
      </c>
      <c r="R36" s="173"/>
      <c r="S36" s="173"/>
      <c r="T36" s="173"/>
      <c r="U36" s="173"/>
      <c r="V36" s="173"/>
      <c r="W36" s="173"/>
      <c r="X36" s="173"/>
      <c r="Y36" s="173"/>
      <c r="Z36" s="173"/>
      <c r="AA36" s="173"/>
      <c r="AB36" s="173"/>
      <c r="AC36" s="173"/>
      <c r="AD36" s="176"/>
      <c r="AE36" s="173"/>
      <c r="AF36" s="173"/>
      <c r="AG36" s="174" t="s">
        <v>807</v>
      </c>
      <c r="AH36" s="184">
        <v>2018003190071</v>
      </c>
      <c r="AI36" s="175" t="s">
        <v>799</v>
      </c>
      <c r="AJ36" s="173"/>
      <c r="AK36" s="166" t="s">
        <v>862</v>
      </c>
      <c r="AL36" s="176">
        <v>31.695</v>
      </c>
      <c r="AM36" s="174" t="s">
        <v>818</v>
      </c>
      <c r="AN36" s="176" t="s">
        <v>200</v>
      </c>
      <c r="AO36" s="176" t="s">
        <v>200</v>
      </c>
      <c r="AP36" s="176" t="s">
        <v>200</v>
      </c>
      <c r="AQ36" s="176" t="s">
        <v>200</v>
      </c>
      <c r="AR36" s="176" t="s">
        <v>200</v>
      </c>
      <c r="AS36" s="176" t="s">
        <v>200</v>
      </c>
      <c r="AT36" s="176" t="s">
        <v>200</v>
      </c>
      <c r="AU36" s="176" t="s">
        <v>200</v>
      </c>
      <c r="AV36" s="176" t="s">
        <v>200</v>
      </c>
      <c r="AW36" s="176" t="s">
        <v>200</v>
      </c>
      <c r="AX36" s="176" t="s">
        <v>200</v>
      </c>
      <c r="AY36" s="176" t="s">
        <v>200</v>
      </c>
      <c r="AZ36" s="166" t="s">
        <v>819</v>
      </c>
      <c r="BA36" s="166" t="s">
        <v>869</v>
      </c>
      <c r="BB36" s="141"/>
    </row>
    <row r="37" spans="1:54" x14ac:dyDescent="0.25">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row>
    <row r="38" spans="1:54" x14ac:dyDescent="0.25">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row>
    <row r="39" spans="1:54" x14ac:dyDescent="0.25">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row>
    <row r="40" spans="1:54" x14ac:dyDescent="0.25">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row>
    <row r="41" spans="1:54" x14ac:dyDescent="0.25">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row>
  </sheetData>
  <sheetProtection password="DFEF" sheet="1" objects="1" scenarios="1" autoFilter="0"/>
  <autoFilter ref="A15:BB15"/>
  <mergeCells count="52">
    <mergeCell ref="F14:F15"/>
    <mergeCell ref="A2:L2"/>
    <mergeCell ref="A3:L3"/>
    <mergeCell ref="A5:L5"/>
    <mergeCell ref="A6:L6"/>
    <mergeCell ref="A9:M9"/>
    <mergeCell ref="A11:M11"/>
    <mergeCell ref="A14:A15"/>
    <mergeCell ref="B14:B15"/>
    <mergeCell ref="C14:C15"/>
    <mergeCell ref="D14:D15"/>
    <mergeCell ref="E14:E15"/>
    <mergeCell ref="AG14:AG15"/>
    <mergeCell ref="AH14:AH15"/>
    <mergeCell ref="G14:G15"/>
    <mergeCell ref="H14:H15"/>
    <mergeCell ref="I14:I15"/>
    <mergeCell ref="J14:J15"/>
    <mergeCell ref="K14:K15"/>
    <mergeCell ref="L14:L15"/>
    <mergeCell ref="AZ14:AZ15"/>
    <mergeCell ref="BA14:BA15"/>
    <mergeCell ref="C16:C20"/>
    <mergeCell ref="D16:D20"/>
    <mergeCell ref="E16:E20"/>
    <mergeCell ref="G16:G20"/>
    <mergeCell ref="AI14:AI15"/>
    <mergeCell ref="AJ14:AJ15"/>
    <mergeCell ref="AK14:AK15"/>
    <mergeCell ref="AL14:AL15"/>
    <mergeCell ref="AM14:AM15"/>
    <mergeCell ref="AN14:AY14"/>
    <mergeCell ref="M14:M15"/>
    <mergeCell ref="N14:O14"/>
    <mergeCell ref="P14:P15"/>
    <mergeCell ref="Q14:AF14"/>
    <mergeCell ref="C21:C27"/>
    <mergeCell ref="D21:D27"/>
    <mergeCell ref="E21:E27"/>
    <mergeCell ref="G21:G27"/>
    <mergeCell ref="C28:C29"/>
    <mergeCell ref="D28:D29"/>
    <mergeCell ref="E28:E29"/>
    <mergeCell ref="G28:G29"/>
    <mergeCell ref="C30:C31"/>
    <mergeCell ref="D30:D31"/>
    <mergeCell ref="E30:E31"/>
    <mergeCell ref="G30:G31"/>
    <mergeCell ref="C33:C36"/>
    <mergeCell ref="D33:D36"/>
    <mergeCell ref="E33:E36"/>
    <mergeCell ref="G33:G3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AGRICULTURA Y DESARROLLO RURAL</vt:lpstr>
      <vt:lpstr>DESARROLLO ECONÓMICO</vt:lpstr>
      <vt:lpstr>SECRETARÍA DE LA MUJER</vt:lpstr>
      <vt:lpstr>GESTIÓN DEL RIESGO</vt:lpstr>
      <vt:lpstr>SECRETARÍA GENERAL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Hermanos Campo</dc:creator>
  <cp:lastModifiedBy>JANUS</cp:lastModifiedBy>
  <cp:lastPrinted>2019-03-27T23:33:53Z</cp:lastPrinted>
  <dcterms:created xsi:type="dcterms:W3CDTF">2016-04-01T03:31:50Z</dcterms:created>
  <dcterms:modified xsi:type="dcterms:W3CDTF">2019-03-29T00:01:40Z</dcterms:modified>
</cp:coreProperties>
</file>